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6.xml" ContentType="application/vnd.openxmlformats-officedocument.drawing+xml"/>
  <Override PartName="/xl/embeddings/oleObject1.bin" ContentType="application/vnd.openxmlformats-officedocument.oleObject"/>
  <Override PartName="/xl/ctrlProps/ctrlProp20.xml" ContentType="application/vnd.ms-excel.controlproperties+xml"/>
  <Override PartName="/xl/comments2.xml" ContentType="application/vnd.openxmlformats-officedocument.spreadsheetml.comments+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7.xml" ContentType="application/vnd.openxmlformats-officedocument.drawing+xml"/>
  <Override PartName="/xl/embeddings/oleObject2.bin" ContentType="application/vnd.openxmlformats-officedocument.oleObject"/>
  <Override PartName="/xl/ctrlProps/ctrlProp21.xml" ContentType="application/vnd.ms-excel.controlproperties+xml"/>
  <Override PartName="/xl/comments3.xml" ContentType="application/vnd.openxmlformats-officedocument.spreadsheetml.comments+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drawings/drawing8.xml" ContentType="application/vnd.openxmlformats-officedocument.drawingml.chartshapes+xml"/>
  <Override PartName="/xl/charts/chart22.xml" ContentType="application/vnd.openxmlformats-officedocument.drawingml.chart+xml"/>
  <Override PartName="/xl/drawings/drawing9.xml" ContentType="application/vnd.openxmlformats-officedocument.drawingml.chartshapes+xml"/>
  <Override PartName="/xl/charts/chart2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822" codeName="{8C4F1C90-05EB-6A55-5F09-09C24B55AC0B}"/>
  <workbookPr showInkAnnotation="0" codeName="ThisWorkbook" autoCompressPictures="0"/>
  <mc:AlternateContent xmlns:mc="http://schemas.openxmlformats.org/markup-compatibility/2006">
    <mc:Choice Requires="x15">
      <x15ac:absPath xmlns:x15ac="http://schemas.microsoft.com/office/spreadsheetml/2010/11/ac" url="\\wsl.localhost\Ubuntu-24.04\root\TSB_MPPT_Thesis\LTspice\LM5165\"/>
    </mc:Choice>
  </mc:AlternateContent>
  <xr:revisionPtr revIDLastSave="0" documentId="8_{6C72AFDA-071B-4FE5-8619-C964DAF1F792}" xr6:coauthVersionLast="47" xr6:coauthVersionMax="47" xr10:uidLastSave="{00000000-0000-0000-0000-000000000000}"/>
  <workbookProtection workbookPassword="CCC8" lockStructure="1"/>
  <bookViews>
    <workbookView xWindow="-120" yWindow="-120" windowWidth="29040" windowHeight="15720" tabRatio="358" xr2:uid="{00000000-000D-0000-FFFF-FFFF00000000}"/>
  </bookViews>
  <sheets>
    <sheet name="Design Regulator" sheetId="1" r:id="rId1"/>
    <sheet name="BOM &amp; Schematic" sheetId="16" r:id="rId2"/>
    <sheet name="EVM" sheetId="14" r:id="rId3"/>
    <sheet name="Variable Mgmt" sheetId="2" state="hidden" r:id="rId4"/>
    <sheet name="Schematic Mgmt" sheetId="21" state="hidden" r:id="rId5"/>
    <sheet name="Efficiency Plots" sheetId="22" state="hidden" r:id="rId6"/>
    <sheet name="PFM Efficiency" sheetId="20" state="hidden" r:id="rId7"/>
    <sheet name="COT Efficiency" sheetId="19" state="hidden" r:id="rId8"/>
    <sheet name="Standard Value Calculator" sheetId="8" state="hidden" r:id="rId9"/>
    <sheet name="Ripple Injection" sheetId="23" state="hidden" r:id="rId10"/>
  </sheets>
  <definedNames>
    <definedName name="_Don1">'Variable Mgmt'!$B$43</definedName>
    <definedName name="_Don2">'Variable Mgmt'!$B$67</definedName>
    <definedName name="_xlnm.Print_Area" localSheetId="1">'BOM &amp; Schematic'!$A$1:$I$48</definedName>
    <definedName name="_xlnm.Print_Area" localSheetId="0">'Design Regulator'!$A$1:$R$63</definedName>
    <definedName name="BDserR" localSheetId="6">'PFM Efficiency'!$D$52</definedName>
    <definedName name="BDserR">'COT Efficiency'!$D$49</definedName>
    <definedName name="Cb">'Variable Mgmt'!$B$177</definedName>
    <definedName name="Cin" localSheetId="7">'COT Efficiency'!$D$29</definedName>
    <definedName name="Cin" localSheetId="6">'PFM Efficiency'!$D$32</definedName>
    <definedName name="Cin">'Variable Mgmt'!$B$143</definedName>
    <definedName name="CinEsrMax">'Variable Mgmt'!$B$144</definedName>
    <definedName name="Cinmin">'Variable Mgmt'!$B$141</definedName>
    <definedName name="Coss" localSheetId="6">'PFM Efficiency'!$D$46</definedName>
    <definedName name="Coss">'COT Efficiency'!$D$43</definedName>
    <definedName name="Cout" localSheetId="7">'COT Efficiency'!$D$31</definedName>
    <definedName name="Cout" localSheetId="6">'PFM Efficiency'!$D$34</definedName>
    <definedName name="Cout">'Variable Mgmt'!$B$118</definedName>
    <definedName name="Cout_Voltage_Rating">'Variable Mgmt'!$S$36</definedName>
    <definedName name="CoutEsr">'Variable Mgmt'!$B$130</definedName>
    <definedName name="CoutEsrMax">'Variable Mgmt'!$B$119</definedName>
    <definedName name="Coutmin">'Variable Mgmt'!$B$111</definedName>
    <definedName name="Cr">'Ripple Injection'!$E$19</definedName>
    <definedName name="Css">'Variable Mgmt'!$B$156</definedName>
    <definedName name="Css_u">'Variable Mgmt'!$B$157</definedName>
    <definedName name="Csw">'COT Efficiency'!$D$53</definedName>
    <definedName name="D" localSheetId="6">'PFM Efficiency'!$B$20</definedName>
    <definedName name="dead1" localSheetId="6">'PFM Efficiency'!$D$37</definedName>
    <definedName name="dead1">'COT Efficiency'!$D$34</definedName>
    <definedName name="dead2" localSheetId="6">'PFM Efficiency'!$D$38</definedName>
    <definedName name="dead2">'COT Efficiency'!$D$35</definedName>
    <definedName name="Deadtime" localSheetId="7">'COT Efficiency'!$D$34</definedName>
    <definedName name="Deadtime" localSheetId="6">'PFM Efficiency'!$D$37</definedName>
    <definedName name="Deadtime">'Variable Mgmt'!$B$209</definedName>
    <definedName name="Doff1">'Variable Mgmt'!$B$44</definedName>
    <definedName name="Doff2">'Variable Mgmt'!$B$68</definedName>
    <definedName name="Don_Vinmax">'Variable Mgmt'!$B$48</definedName>
    <definedName name="Don_Vinmax_2">'Variable Mgmt'!$B$75</definedName>
    <definedName name="Don_Vinmin">'Variable Mgmt'!$B$46</definedName>
    <definedName name="Don_Vinmin_2">'Variable Mgmt'!$B$73</definedName>
    <definedName name="Don_Vinnom">'Variable Mgmt'!$B$47</definedName>
    <definedName name="Don_Vinnom_2">'Variable Mgmt'!$B$74</definedName>
    <definedName name="EFF_LINEAR">'Efficiency Plots'!$B$5</definedName>
    <definedName name="EFF_LOG">'Efficiency Plots'!$B$7</definedName>
    <definedName name="Efficiency">'Variable Mgmt'!$B$16</definedName>
    <definedName name="FB_hys">'PFM Efficiency'!$D$11</definedName>
    <definedName name="Fsw" localSheetId="7">'COT Efficiency'!$D$20</definedName>
    <definedName name="Fsw" localSheetId="6">'PFM Efficiency'!$D$23</definedName>
    <definedName name="Fsw">'Variable Mgmt'!$B$22</definedName>
    <definedName name="Icinrms">'Variable Mgmt'!$B$140</definedName>
    <definedName name="Icoutrms">'Variable Mgmt'!$B$102</definedName>
    <definedName name="Icrit">'COT Efficiency'!$D$21</definedName>
    <definedName name="Idss" localSheetId="6">'PFM Efficiency'!$D$53</definedName>
    <definedName name="Idss">'COT Efficiency'!$D$52</definedName>
    <definedName name="Ifb">'Variable Mgmt'!$B$188</definedName>
    <definedName name="Iin_Vinmax">'Variable Mgmt'!$B$20</definedName>
    <definedName name="Iin_Vinmin">'Variable Mgmt'!$B$18</definedName>
    <definedName name="Iin_Vinnom">'Variable Mgmt'!$B$19</definedName>
    <definedName name="IL_peak">'PFM Efficiency'!$D$22</definedName>
    <definedName name="IL_valley">'PFM Efficiency'!$F$22</definedName>
    <definedName name="Ilim">'PFM Efficiency'!$D$12</definedName>
    <definedName name="Iout">'Variable Mgmt'!$B$12</definedName>
    <definedName name="Iout_maxload_COT">'COT Efficiency'!$D$10</definedName>
    <definedName name="Iout_maxload_PFM">'PFM Efficiency'!$D$10</definedName>
    <definedName name="Ioutmax">'PFM Efficiency'!$D$24</definedName>
    <definedName name="Iq">'Variable Mgmt'!$B$211</definedName>
    <definedName name="Iq_active" localSheetId="6">'PFM Efficiency'!$D$40</definedName>
    <definedName name="Iq_active">'COT Efficiency'!$D$37</definedName>
    <definedName name="Iq_sleep" localSheetId="6">'PFM Efficiency'!$D$41</definedName>
    <definedName name="Iq_sleep">'COT Efficiency'!$D$38</definedName>
    <definedName name="Iripple">'COT Efficiency'!$D$19</definedName>
    <definedName name="Iripple_Vinmax">'Variable Mgmt'!$B$79</definedName>
    <definedName name="Iripple_Vinmin">'Variable Mgmt'!$B$77</definedName>
    <definedName name="Iripple_Vinnom">'Variable Mgmt'!$B$78</definedName>
    <definedName name="Iripple1">'Variable Mgmt'!$B$95</definedName>
    <definedName name="IripplePFM">'PFM Efficiency'!$D$21</definedName>
    <definedName name="Iss">'Variable Mgmt'!$B$155</definedName>
    <definedName name="Izx">'PFM Efficiency'!$D$15</definedName>
    <definedName name="k_core" localSheetId="6">'PFM Efficiency'!$D$31</definedName>
    <definedName name="k_core">'COT Efficiency'!$D$28</definedName>
    <definedName name="Lf">'Variable Mgmt'!$B$62</definedName>
    <definedName name="Lopt">'Variable Mgmt'!$B$60</definedName>
    <definedName name="LTc" localSheetId="6">'PFM Efficiency'!#REF!</definedName>
    <definedName name="Ltc">'Variable Mgmt'!$B$203</definedName>
    <definedName name="max_I" localSheetId="6">'PFM Efficiency'!$H$109</definedName>
    <definedName name="max_I">'COT Efficiency'!$H$109</definedName>
    <definedName name="min_I" localSheetId="6">'PFM Efficiency'!$H$108</definedName>
    <definedName name="min_I">'COT Efficiency'!$H$108</definedName>
    <definedName name="MODE">'Variable Mgmt'!$C$33</definedName>
    <definedName name="MODE_ILIM">'Variable Mgmt'!$C$39</definedName>
    <definedName name="MODE_SS">'Variable Mgmt'!$J$38</definedName>
    <definedName name="MODE_UVLO">'Variable Mgmt'!$G$37</definedName>
    <definedName name="MODE_VOUT">'Variable Mgmt'!$G$33</definedName>
    <definedName name="newVthTop" localSheetId="6">'PFM Efficiency'!$D$37</definedName>
    <definedName name="newVthTop">'COT Efficiency'!$D$34</definedName>
    <definedName name="OffTime" localSheetId="6">'PFM Efficiency'!$D$19</definedName>
    <definedName name="OffTime">'COT Efficiency'!$D$18</definedName>
    <definedName name="OnTime" localSheetId="6">'PFM Efficiency'!$D$18</definedName>
    <definedName name="OnTime">'COT Efficiency'!$D$17</definedName>
    <definedName name="PFM_Duty_Cycle">'PFM Efficiency'!$B$20</definedName>
    <definedName name="Pi">'Variable Mgmt'!$B$180</definedName>
    <definedName name="PICTURE1">INDIRECT('Schematic Mgmt'!$A$2)</definedName>
    <definedName name="PICTURE3">INDIRECT('Efficiency Plots'!$A$2)</definedName>
    <definedName name="Pin">'Variable Mgmt'!$B$17</definedName>
    <definedName name="PLOT_TYPE">'Variable Mgmt'!$M$38</definedName>
    <definedName name="Pout">'Variable Mgmt'!$B$14</definedName>
    <definedName name="QgBot" localSheetId="6">'PFM Efficiency'!$D$50</definedName>
    <definedName name="QgBot">'COT Efficiency'!$D$47</definedName>
    <definedName name="QgdTop" localSheetId="6">'PFM Efficiency'!#REF!</definedName>
    <definedName name="QgSMBot" localSheetId="6">'PFM Efficiency'!#REF!</definedName>
    <definedName name="QgSMTop" localSheetId="6">'PFM Efficiency'!#REF!</definedName>
    <definedName name="QgsTop" localSheetId="6">'PFM Efficiency'!#REF!</definedName>
    <definedName name="QgTop" localSheetId="6">'PFM Efficiency'!$D$45</definedName>
    <definedName name="QgTop">'COT Efficiency'!$D$42</definedName>
    <definedName name="QrrBot" localSheetId="6">'PFM Efficiency'!#REF!</definedName>
    <definedName name="QrrBot">'COT Efficiency'!$D$50</definedName>
    <definedName name="QrrSky" localSheetId="6">'PFM Efficiency'!#REF!</definedName>
    <definedName name="RCinEsr" localSheetId="7">'COT Efficiency'!$D$30</definedName>
    <definedName name="RCinEsr" localSheetId="6">'PFM Efficiency'!$D$33</definedName>
    <definedName name="RCinEsr">'Variable Mgmt'!$B$145</definedName>
    <definedName name="RCoutEsr" localSheetId="7">'COT Efficiency'!$D$32</definedName>
    <definedName name="RCoutEsr" localSheetId="6">'PFM Efficiency'!$D$35</definedName>
    <definedName name="RCoutEsr">'Variable Mgmt'!$B$130</definedName>
    <definedName name="Rdcr" localSheetId="7">'COT Efficiency'!$D$27</definedName>
    <definedName name="Rdcr" localSheetId="6">'PFM Efficiency'!$D$30</definedName>
    <definedName name="Rdcr">'Variable Mgmt'!$B$63</definedName>
    <definedName name="Rdson1">'Variable Mgmt'!$B$70</definedName>
    <definedName name="Rdson2">'Variable Mgmt'!$B$71</definedName>
    <definedName name="RdsonBot" localSheetId="6">'PFM Efficiency'!$D$48</definedName>
    <definedName name="RdsonBot">'COT Efficiency'!$D$45</definedName>
    <definedName name="RdsonTop" localSheetId="6">'PFM Efficiency'!$D$43</definedName>
    <definedName name="RdsonTop">'COT Efficiency'!$D$40</definedName>
    <definedName name="Rfb1_">'Variable Mgmt'!$B$184</definedName>
    <definedName name="Rfb2_">'Variable Mgmt'!$B$185</definedName>
    <definedName name="Rfb2_u">'Variable Mgmt'!$B$186</definedName>
    <definedName name="Rfets">'Variable Mgmt'!$B$192</definedName>
    <definedName name="Rhys">'Variable Mgmt'!$B$170</definedName>
    <definedName name="Rout">'Variable Mgmt'!$B$13</definedName>
    <definedName name="Rpg">'Variable Mgmt'!$B$176</definedName>
    <definedName name="rr" localSheetId="6">'PFM Efficiency'!$H$110</definedName>
    <definedName name="rr">'COT Efficiency'!$H$110</definedName>
    <definedName name="Rt">'COT Efficiency'!$D$11</definedName>
    <definedName name="Ruvlo1">'Variable Mgmt'!$B$168</definedName>
    <definedName name="Ruvlo2">'Variable Mgmt'!$B$169</definedName>
    <definedName name="SCH_COT_VOUTAdj_UVLOAdj_SSAdj_IlimGND">'Schematic Mgmt'!$B$18</definedName>
    <definedName name="SCH_COT_VOUTAdj_UVLOAdj_SSAdj_IlimRes">'Schematic Mgmt'!$B$7</definedName>
    <definedName name="SCH_COT_VOUTAdj_UVLOAdj_SSfix_IlimGND">'Schematic Mgmt'!$B$20</definedName>
    <definedName name="SCH_COT_VOUTAdj_UVLOAdj_SSfix_IlimRes">'Schematic Mgmt'!$B$11</definedName>
    <definedName name="SCH_COT_VOUTAdj_UVLOAdj_SSno_IlimGND">'Schematic Mgmt'!$B$19</definedName>
    <definedName name="SCH_COT_VOUTAdj_UVLOAdj_SSno_IlimRes">'Schematic Mgmt'!$B$9</definedName>
    <definedName name="SCH_COT_VOUTAdj_UVLOint_SSAdj_IlimGND">'Schematic Mgmt'!$B$21</definedName>
    <definedName name="SCH_COT_VOUTAdj_UVLOint_SSAdj_IlimRes">'Schematic Mgmt'!$B$13</definedName>
    <definedName name="SCH_COT_VOUTAdj_UVLOint_SSfix_IlimGND">'Schematic Mgmt'!$B$25</definedName>
    <definedName name="SCH_COT_VOUTAdj_UVLOint_SSfix_IlimRes">'Schematic Mgmt'!$B$17</definedName>
    <definedName name="SCH_COT_VOUTAdj_UVLOint_SSno_IlimGND">'Schematic Mgmt'!$B$23</definedName>
    <definedName name="SCH_COT_VOUTAdj_UVLOint_SSno_IlimRes">'Schematic Mgmt'!$B$15</definedName>
    <definedName name="SCH_COT_VOUTfixed_UVLOAdj_SSAdj_IlimGND">'Schematic Mgmt'!$B$39</definedName>
    <definedName name="SCH_COT_VOUTfixed_UVLOAdj_SSAdj_IlimRes">'Schematic Mgmt'!$B$27</definedName>
    <definedName name="SCH_COT_VOUTfixed_UVLOAdj_SSfix_IlimGND">'Schematic Mgmt'!$B$43</definedName>
    <definedName name="SCH_COT_VOUTfixed_UVLOAdj_SSfix_IlimRes">'Schematic Mgmt'!$B$31</definedName>
    <definedName name="SCH_COT_VOUTfixed_UVLOAdj_SSno_IlimGND">'Schematic Mgmt'!$B$41</definedName>
    <definedName name="SCH_COT_VOUTfixed_UVLOAdj_SSno_IlimRes">'Schematic Mgmt'!$B$29</definedName>
    <definedName name="SCH_COT_VOUTfixed_UVLOint_SSAdj_IlimGND">'Schematic Mgmt'!$B$45</definedName>
    <definedName name="SCH_COT_VOUTfixed_UVLOint_SSAdj_IlimRes">'Schematic Mgmt'!$B$33</definedName>
    <definedName name="SCH_COT_VOUTfixed_UVLOint_SSfix_IlimGND">'Schematic Mgmt'!$B$49</definedName>
    <definedName name="SCH_COT_VOUTfixed_UVLOint_SSfix_IlimRes">'Schematic Mgmt'!$B$37</definedName>
    <definedName name="SCH_COT_VOUTfixed_UVLOint_SSno_IlimGND">'Schematic Mgmt'!$B$47</definedName>
    <definedName name="SCH_COT_VOUTfixed_UVLOint_SSno_IlimRes">'Schematic Mgmt'!$B$35</definedName>
    <definedName name="SCH_PFM_VOUTAdj_UVLOAdj_SSAdj_IlimGND">'Schematic Mgmt'!$E$18</definedName>
    <definedName name="SCH_PFM_VOUTAdj_UVLOAdj_SSAdj_IlimRes">'Schematic Mgmt'!$E$7</definedName>
    <definedName name="SCH_PFM_VOUTAdj_UVLOAdj_SSfix_IlimGND">'Schematic Mgmt'!$E$20</definedName>
    <definedName name="SCH_PFM_VOUTAdj_UVLOAdj_SSfix_IlimRes">'Schematic Mgmt'!$E$11</definedName>
    <definedName name="SCH_PFM_VOUTAdj_UVLOAdj_SSno_IlimGND">'Schematic Mgmt'!$E$19</definedName>
    <definedName name="SCH_PFM_VOUTAdj_UVLOAdj_SSno_IlimRes">'Schematic Mgmt'!$E$9</definedName>
    <definedName name="SCH_PFM_VOUTAdj_UVLOint_SSAdj_IlimGND">'Schematic Mgmt'!$E$21</definedName>
    <definedName name="SCH_PFM_VOUTAdj_UVLOint_SSAdj_IlimRes">'Schematic Mgmt'!$E$13</definedName>
    <definedName name="SCH_PFM_VOUTAdj_UVLOint_SSfix_IlimGND">'Schematic Mgmt'!$E$25</definedName>
    <definedName name="SCH_PFM_VOUTAdj_UVLOint_SSfix_IlimRes">'Schematic Mgmt'!$E$17</definedName>
    <definedName name="SCH_PFM_VOUTAdj_UVLOint_SSno_IlimGND">'Schematic Mgmt'!$E$23</definedName>
    <definedName name="SCH_PFM_VOUTAdj_UVLOint_SSno_IlimRes">'Schematic Mgmt'!$E$15</definedName>
    <definedName name="SCH_PFM_VOUTfixed_UVLOAdj_SSAdj_IlimGND">'Schematic Mgmt'!$E$39</definedName>
    <definedName name="SCH_PFM_VOUTfixed_UVLOAdj_SSAdj_IlimRes">'Schematic Mgmt'!$E$27</definedName>
    <definedName name="SCH_PFM_VOUTfixed_UVLOAdj_SSfix_IlimGND">'Schematic Mgmt'!$E$43</definedName>
    <definedName name="SCH_PFM_VOUTfixed_UVLOAdj_SSfix_IlimRes">'Schematic Mgmt'!$E$31</definedName>
    <definedName name="SCH_PFM_VOUTfixed_UVLOAdj_SSno_IlimGND">'Schematic Mgmt'!$E$41</definedName>
    <definedName name="SCH_PFM_VOUTfixed_UVLOAdj_SSno_IlimRes">'Schematic Mgmt'!$E$29</definedName>
    <definedName name="SCH_PFM_VOUTfixed_UVLOint_SSAdj_IlimGND">'Schematic Mgmt'!$E$45</definedName>
    <definedName name="SCH_PFM_VOUTfixed_UVLOint_SSAdj_IlimRes">'Schematic Mgmt'!$E$33</definedName>
    <definedName name="SCH_PFM_VOUTfixed_UVLOint_SSfix_IlimGND">'Schematic Mgmt'!$E$49</definedName>
    <definedName name="SCH_PFM_VOUTfixed_UVLOint_SSfix_IlimRes">'Schematic Mgmt'!$E$37</definedName>
    <definedName name="SCH_PFM_VOUTfixed_UVLOint_SSno_IlimGND">'Schematic Mgmt'!$E$47</definedName>
    <definedName name="SCH_PFM_VOUTfixed_UVLOint_SSno_IlimRes">'Schematic Mgmt'!$E$35</definedName>
    <definedName name="SHORT_ILIM">'Variable Mgmt'!$J$33</definedName>
    <definedName name="Ta" localSheetId="7">'COT Efficiency'!$D$12</definedName>
    <definedName name="Ta" localSheetId="6">'PFM Efficiency'!$D$13</definedName>
    <definedName name="Ta">'Variable Mgmt'!$B$201</definedName>
    <definedName name="Tf" localSheetId="7">'COT Efficiency'!$D$23</definedName>
    <definedName name="Tf">'PFM Efficiency'!$D$26</definedName>
    <definedName name="ThetaCa">'Variable Mgmt'!$B$204</definedName>
    <definedName name="TL">'Variable Mgmt'!$B$98</definedName>
    <definedName name="Toff_Vinmax">'Variable Mgmt'!$B$181</definedName>
    <definedName name="Ton_Vinmin">'Variable Mgmt'!$B$182</definedName>
    <definedName name="Tr" localSheetId="7">'COT Efficiency'!$D$22</definedName>
    <definedName name="TrrBot" localSheetId="6">'PFM Efficiency'!#REF!</definedName>
    <definedName name="TrrBot">'COT Efficiency'!$D$51</definedName>
    <definedName name="Tsleep" localSheetId="6">'PFM Efficiency'!$D$39</definedName>
    <definedName name="Tsleep">'COT Efficiency'!$D$36</definedName>
    <definedName name="Tss">'Variable Mgmt'!$B$154</definedName>
    <definedName name="Vdd" localSheetId="7">'COT Efficiency'!$D$13</definedName>
    <definedName name="Vdd" localSheetId="6">'PFM Efficiency'!$D$14</definedName>
    <definedName name="Vdd">'Variable Mgmt'!$B$207</definedName>
    <definedName name="VfdSky" localSheetId="6">'PFM Efficiency'!#REF!</definedName>
    <definedName name="VfdSky">'COT Efficiency'!#REF!</definedName>
    <definedName name="Vin">'Design Regulator'!$E$7</definedName>
    <definedName name="VIN_max">'Variable Mgmt'!$B$9</definedName>
    <definedName name="VIN_min">'Variable Mgmt'!$B$7</definedName>
    <definedName name="VIN_nom">'Variable Mgmt'!$B$8</definedName>
    <definedName name="Vinripple1">'Variable Mgmt'!$B$138</definedName>
    <definedName name="Vinripple2">'Variable Mgmt'!$B$148</definedName>
    <definedName name="VINuvlo_off">'Variable Mgmt'!$B$166</definedName>
    <definedName name="VINuvlo_on">'Variable Mgmt'!$B$165</definedName>
    <definedName name="Vout">'Variable Mgmt'!$B$11</definedName>
    <definedName name="Vout_hys">'PFM Efficiency'!$D$25</definedName>
    <definedName name="Vref">'Variable Mgmt'!$B$23</definedName>
    <definedName name="Vripple_PFM">'Variable Mgmt'!$B$132</definedName>
    <definedName name="Vripple1">'Variable Mgmt'!$B$106</definedName>
    <definedName name="Vripple2">'Variable Mgmt'!$B$134</definedName>
    <definedName name="VSD" localSheetId="6">'PFM Efficiency'!$D$51</definedName>
    <definedName name="VSD">'COT Efficiency'!$D$48</definedName>
    <definedName name="VsdBot" localSheetId="6">'PFM Efficiency'!$D$51</definedName>
    <definedName name="VsdBot">'COT Efficiency'!$D$48</definedName>
    <definedName name="Vuvlo_hys">'Variable Mgmt'!$B$163</definedName>
    <definedName name="Vuvlo_off">'Variable Mgmt'!$B$162</definedName>
    <definedName name="Vuvlo_on">'Variable Mgmt'!$B$161</definedName>
  </definedNames>
  <calcPr calcId="191029"/>
  <fileRecoveryPr repair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123" i="2" l="1"/>
  <c r="F301" i="2" l="1"/>
  <c r="F302" i="2"/>
  <c r="F303" i="2"/>
  <c r="F304" i="2"/>
  <c r="F305" i="2"/>
  <c r="F300" i="2"/>
  <c r="E301" i="2"/>
  <c r="E302" i="2"/>
  <c r="E303" i="2"/>
  <c r="E304" i="2"/>
  <c r="E305" i="2"/>
  <c r="E300" i="2"/>
  <c r="D301" i="2"/>
  <c r="D302" i="2"/>
  <c r="D303" i="2"/>
  <c r="D304" i="2"/>
  <c r="D305" i="2"/>
  <c r="D300" i="2"/>
  <c r="C301" i="2"/>
  <c r="C302" i="2"/>
  <c r="C303" i="2"/>
  <c r="C304" i="2"/>
  <c r="C305" i="2"/>
  <c r="C300" i="2"/>
  <c r="C39" i="16" l="1"/>
  <c r="J39" i="16"/>
  <c r="K39" i="16"/>
  <c r="K33" i="16"/>
  <c r="J33" i="16"/>
  <c r="J36" i="16"/>
  <c r="K36" i="16"/>
  <c r="K43" i="16"/>
  <c r="K42" i="16"/>
  <c r="K41" i="16"/>
  <c r="J43" i="16"/>
  <c r="J42" i="16"/>
  <c r="J41" i="16"/>
  <c r="I33" i="16" l="1"/>
  <c r="H33" i="16"/>
  <c r="I43" i="16"/>
  <c r="I42" i="16"/>
  <c r="I41" i="16"/>
  <c r="H43" i="16"/>
  <c r="H42" i="16"/>
  <c r="H41" i="16"/>
  <c r="J40" i="16"/>
  <c r="K34" i="16"/>
  <c r="J34" i="16"/>
  <c r="K40" i="16"/>
  <c r="I36" i="16"/>
  <c r="H36" i="16"/>
  <c r="I39" i="16"/>
  <c r="H39" i="16"/>
  <c r="K32" i="16"/>
  <c r="J32" i="16"/>
  <c r="K31" i="16"/>
  <c r="J31" i="16" l="1"/>
  <c r="T44" i="2"/>
  <c r="R44" i="2"/>
  <c r="B11" i="2" l="1"/>
  <c r="B39" i="2"/>
  <c r="B12" i="20" s="1"/>
  <c r="D12" i="20" s="1"/>
  <c r="B29" i="20"/>
  <c r="D29" i="20" s="1"/>
  <c r="B12" i="2"/>
  <c r="G126" i="2" s="1"/>
  <c r="B34" i="20"/>
  <c r="D34" i="20" s="1"/>
  <c r="B184" i="2"/>
  <c r="B26" i="19"/>
  <c r="D26" i="19" s="1"/>
  <c r="B20" i="19"/>
  <c r="D20" i="19" s="1"/>
  <c r="B27" i="19"/>
  <c r="D27" i="19" s="1"/>
  <c r="D41" i="20"/>
  <c r="B8" i="2"/>
  <c r="B138" i="2" s="1"/>
  <c r="B30" i="20"/>
  <c r="D30" i="20" s="1"/>
  <c r="D31" i="20"/>
  <c r="B33" i="20"/>
  <c r="D33" i="20" s="1"/>
  <c r="B143" i="2"/>
  <c r="B22" i="2"/>
  <c r="B63" i="2"/>
  <c r="B97" i="2" s="1"/>
  <c r="B62" i="2"/>
  <c r="B145" i="2"/>
  <c r="C271" i="2"/>
  <c r="B271" i="2" s="1"/>
  <c r="D15" i="20"/>
  <c r="H262" i="2"/>
  <c r="C41" i="16" s="1"/>
  <c r="E261" i="2"/>
  <c r="D261" i="2"/>
  <c r="G262" i="2"/>
  <c r="F262" i="2"/>
  <c r="B262" i="2"/>
  <c r="C262" i="2"/>
  <c r="B226" i="2" s="1"/>
  <c r="A226" i="2"/>
  <c r="B168" i="2"/>
  <c r="BM7" i="19"/>
  <c r="BM8" i="19"/>
  <c r="BM9" i="19"/>
  <c r="BM10" i="19"/>
  <c r="BM11" i="19"/>
  <c r="BM12" i="19"/>
  <c r="BM13" i="19"/>
  <c r="BM14" i="19"/>
  <c r="BM15" i="19"/>
  <c r="BM16" i="19"/>
  <c r="BM17" i="19"/>
  <c r="BM18" i="19"/>
  <c r="BM19" i="19"/>
  <c r="BM20" i="19"/>
  <c r="BM21" i="19"/>
  <c r="BM22" i="19"/>
  <c r="BM23" i="19"/>
  <c r="BM24" i="19"/>
  <c r="BM25" i="19"/>
  <c r="BM26" i="19"/>
  <c r="BM27" i="19"/>
  <c r="BM28" i="19"/>
  <c r="BM29" i="19"/>
  <c r="BM30" i="19"/>
  <c r="BM31" i="19"/>
  <c r="BM32" i="19"/>
  <c r="BM33" i="19"/>
  <c r="BM34" i="19"/>
  <c r="BM35" i="19"/>
  <c r="BM36" i="19"/>
  <c r="BM37" i="19"/>
  <c r="BM38" i="19"/>
  <c r="BM39" i="19"/>
  <c r="BM40" i="19"/>
  <c r="BM41" i="19"/>
  <c r="BM42" i="19"/>
  <c r="BM43" i="19"/>
  <c r="BM44" i="19"/>
  <c r="BM45" i="19"/>
  <c r="BM46" i="19"/>
  <c r="BM47" i="19"/>
  <c r="BM48" i="19"/>
  <c r="BM49" i="19"/>
  <c r="BM50" i="19"/>
  <c r="BM51" i="19"/>
  <c r="BM52" i="19"/>
  <c r="BM53" i="19"/>
  <c r="BM54" i="19"/>
  <c r="BM55" i="19"/>
  <c r="BM56" i="19"/>
  <c r="BM57" i="19"/>
  <c r="BM58" i="19"/>
  <c r="BM59" i="19"/>
  <c r="BM60" i="19"/>
  <c r="BM61" i="19"/>
  <c r="BM62" i="19"/>
  <c r="BM63" i="19"/>
  <c r="BM64" i="19"/>
  <c r="BM65" i="19"/>
  <c r="BM66" i="19"/>
  <c r="BM67" i="19"/>
  <c r="BM68" i="19"/>
  <c r="BM69" i="19"/>
  <c r="BM70" i="19"/>
  <c r="BM71" i="19"/>
  <c r="BM72" i="19"/>
  <c r="BM73" i="19"/>
  <c r="BM74" i="19"/>
  <c r="BM75" i="19"/>
  <c r="BM76" i="19"/>
  <c r="BM77" i="19"/>
  <c r="BM78" i="19"/>
  <c r="BM79" i="19"/>
  <c r="BM80" i="19"/>
  <c r="BM81" i="19"/>
  <c r="BM82" i="19"/>
  <c r="BM83" i="19"/>
  <c r="BM84" i="19"/>
  <c r="BM85" i="19"/>
  <c r="BM86" i="19"/>
  <c r="BM87" i="19"/>
  <c r="BM88" i="19"/>
  <c r="BM89" i="19"/>
  <c r="BM90" i="19"/>
  <c r="BM91" i="19"/>
  <c r="BM92" i="19"/>
  <c r="BM93" i="19"/>
  <c r="BM94" i="19"/>
  <c r="BM95" i="19"/>
  <c r="BM96" i="19"/>
  <c r="BM97" i="19"/>
  <c r="BM98" i="19"/>
  <c r="BM99" i="19"/>
  <c r="BM100" i="19"/>
  <c r="BM101" i="19"/>
  <c r="BM102" i="19"/>
  <c r="BM103" i="19"/>
  <c r="BM104" i="19"/>
  <c r="BM105" i="19"/>
  <c r="BM106" i="19"/>
  <c r="BM6" i="19"/>
  <c r="C261" i="2"/>
  <c r="D53" i="19"/>
  <c r="D42" i="1"/>
  <c r="D41" i="1"/>
  <c r="D28" i="1"/>
  <c r="D27" i="1"/>
  <c r="D26" i="1"/>
  <c r="D13" i="1"/>
  <c r="D21" i="1"/>
  <c r="D20" i="1"/>
  <c r="F20" i="1"/>
  <c r="I38" i="2"/>
  <c r="A39" i="16"/>
  <c r="B33" i="16"/>
  <c r="A33" i="16"/>
  <c r="A42" i="16"/>
  <c r="A43" i="16"/>
  <c r="A41" i="16"/>
  <c r="A36" i="16"/>
  <c r="C267" i="2"/>
  <c r="C268" i="2" s="1"/>
  <c r="D38" i="1"/>
  <c r="F37" i="2"/>
  <c r="B281" i="2"/>
  <c r="B33" i="2"/>
  <c r="B277" i="2"/>
  <c r="B258" i="2"/>
  <c r="D39" i="16" s="1"/>
  <c r="B130" i="2"/>
  <c r="F26" i="1"/>
  <c r="A2" i="22"/>
  <c r="BK7" i="20"/>
  <c r="B261" i="2"/>
  <c r="C257" i="2"/>
  <c r="B257" i="2"/>
  <c r="J33" i="2"/>
  <c r="C254" i="2"/>
  <c r="C250" i="2"/>
  <c r="B166" i="2"/>
  <c r="B254" i="2"/>
  <c r="A258" i="2"/>
  <c r="B35" i="20"/>
  <c r="D35" i="20" s="1"/>
  <c r="B32" i="20"/>
  <c r="D32" i="20" s="1"/>
  <c r="B32" i="19"/>
  <c r="B31" i="19"/>
  <c r="D31" i="19" s="1"/>
  <c r="B30" i="19"/>
  <c r="D30" i="19" s="1"/>
  <c r="B29" i="19"/>
  <c r="D29" i="19" s="1"/>
  <c r="F21" i="1"/>
  <c r="B8" i="20"/>
  <c r="D8" i="20" s="1"/>
  <c r="BK106" i="20"/>
  <c r="BK105" i="20"/>
  <c r="BK104" i="20"/>
  <c r="BK103" i="20"/>
  <c r="BK102" i="20"/>
  <c r="BK101" i="20"/>
  <c r="BK100" i="20"/>
  <c r="BK99" i="20"/>
  <c r="BK98" i="20"/>
  <c r="BK97" i="20"/>
  <c r="BK96" i="20"/>
  <c r="BK95" i="20"/>
  <c r="BK94" i="20"/>
  <c r="BK93" i="20"/>
  <c r="BK92" i="20"/>
  <c r="BK91" i="20"/>
  <c r="BK90" i="20"/>
  <c r="BK89" i="20"/>
  <c r="BK88" i="20"/>
  <c r="BK87" i="20"/>
  <c r="BK86" i="20"/>
  <c r="BK85" i="20"/>
  <c r="BK84" i="20"/>
  <c r="BK83" i="20"/>
  <c r="BK82" i="20"/>
  <c r="BK81" i="20"/>
  <c r="BK80" i="20"/>
  <c r="BK79" i="20"/>
  <c r="BK78" i="20"/>
  <c r="BK77" i="20"/>
  <c r="BK76" i="20"/>
  <c r="BK75" i="20"/>
  <c r="BK74" i="20"/>
  <c r="BK73" i="20"/>
  <c r="BK72" i="20"/>
  <c r="BK71" i="20"/>
  <c r="BK70" i="20"/>
  <c r="BK69" i="20"/>
  <c r="BK68" i="20"/>
  <c r="BK67" i="20"/>
  <c r="BK66" i="20"/>
  <c r="BK65" i="20"/>
  <c r="BK64" i="20"/>
  <c r="BK63" i="20"/>
  <c r="BK62" i="20"/>
  <c r="BK61" i="20"/>
  <c r="BK60" i="20"/>
  <c r="BK59" i="20"/>
  <c r="BK58" i="20"/>
  <c r="BK57" i="20"/>
  <c r="BK56" i="20"/>
  <c r="BK55" i="20"/>
  <c r="BK54" i="20"/>
  <c r="BK53" i="20"/>
  <c r="D53" i="20"/>
  <c r="AL7" i="20" s="1"/>
  <c r="BK52" i="20"/>
  <c r="D52" i="20"/>
  <c r="BK51" i="20"/>
  <c r="D51" i="20"/>
  <c r="BK50" i="20"/>
  <c r="D50" i="20"/>
  <c r="BK49" i="20"/>
  <c r="BK48" i="20"/>
  <c r="D48" i="20"/>
  <c r="BK47" i="20"/>
  <c r="BK46" i="20"/>
  <c r="D46" i="20"/>
  <c r="BK45" i="20"/>
  <c r="D45" i="20"/>
  <c r="BK44" i="20"/>
  <c r="BK43" i="20"/>
  <c r="D43" i="20"/>
  <c r="BK42" i="20"/>
  <c r="BK41" i="20"/>
  <c r="BK40" i="20"/>
  <c r="D40" i="20"/>
  <c r="BK39" i="20"/>
  <c r="D39" i="20"/>
  <c r="BK38" i="20"/>
  <c r="D38" i="20"/>
  <c r="BK37" i="20"/>
  <c r="D37" i="20"/>
  <c r="BK36" i="20"/>
  <c r="BK35" i="20"/>
  <c r="BK34" i="20"/>
  <c r="BK33" i="20"/>
  <c r="BK32" i="20"/>
  <c r="BK31" i="20"/>
  <c r="BK30" i="20"/>
  <c r="BK29" i="20"/>
  <c r="BK28" i="20"/>
  <c r="BK27" i="20"/>
  <c r="BK26" i="20"/>
  <c r="D26" i="20"/>
  <c r="BK25" i="20"/>
  <c r="BK24" i="20"/>
  <c r="BK23" i="20"/>
  <c r="BK22" i="20"/>
  <c r="BK21" i="20"/>
  <c r="BK20" i="20"/>
  <c r="BK19" i="20"/>
  <c r="BK18" i="20"/>
  <c r="BK17" i="20"/>
  <c r="BK16" i="20"/>
  <c r="BK15" i="20"/>
  <c r="BK14" i="20"/>
  <c r="D14" i="20"/>
  <c r="BK13" i="20"/>
  <c r="D13" i="20"/>
  <c r="BK12" i="20"/>
  <c r="BK11" i="20"/>
  <c r="D11" i="20"/>
  <c r="BK10" i="20"/>
  <c r="BK9" i="20"/>
  <c r="BK8" i="20"/>
  <c r="BK6" i="20"/>
  <c r="AL11" i="20"/>
  <c r="AL13" i="20"/>
  <c r="AL98" i="20"/>
  <c r="AL95" i="20"/>
  <c r="AL94" i="20"/>
  <c r="AL87" i="20"/>
  <c r="AL83" i="20"/>
  <c r="AL82" i="20"/>
  <c r="AL75" i="20"/>
  <c r="AL71" i="20"/>
  <c r="AL70" i="20"/>
  <c r="AL63" i="20"/>
  <c r="AL47" i="20"/>
  <c r="AL46" i="20"/>
  <c r="AL60" i="20"/>
  <c r="AL56" i="20"/>
  <c r="AL55" i="20"/>
  <c r="AL35" i="20"/>
  <c r="AL25" i="20"/>
  <c r="AL24" i="20"/>
  <c r="AL41" i="20"/>
  <c r="AL30" i="20"/>
  <c r="AL28" i="20"/>
  <c r="AL12" i="20"/>
  <c r="AL17" i="20"/>
  <c r="B8" i="19"/>
  <c r="D8" i="19" s="1"/>
  <c r="F91" i="19"/>
  <c r="F90" i="19"/>
  <c r="F89" i="19"/>
  <c r="D52" i="19"/>
  <c r="D51" i="19"/>
  <c r="D50" i="19"/>
  <c r="D49" i="19"/>
  <c r="D48" i="19"/>
  <c r="D47" i="19"/>
  <c r="D45" i="19"/>
  <c r="B71" i="2" s="1"/>
  <c r="D43" i="19"/>
  <c r="D42" i="19"/>
  <c r="D40" i="19"/>
  <c r="D38" i="19"/>
  <c r="D37" i="19"/>
  <c r="D36" i="19"/>
  <c r="D35" i="19"/>
  <c r="D34" i="19"/>
  <c r="D32" i="19"/>
  <c r="D28" i="19"/>
  <c r="D23" i="19"/>
  <c r="D22" i="19"/>
  <c r="D13" i="19"/>
  <c r="D12" i="19"/>
  <c r="A250" i="2"/>
  <c r="B283" i="2"/>
  <c r="B245" i="2"/>
  <c r="A31" i="16"/>
  <c r="A230" i="2"/>
  <c r="B241" i="2"/>
  <c r="A32" i="16"/>
  <c r="A240" i="2"/>
  <c r="B118" i="2"/>
  <c r="G132" i="2" s="1"/>
  <c r="B9" i="2"/>
  <c r="I6" i="8"/>
  <c r="J6" i="8" s="1"/>
  <c r="D40" i="16"/>
  <c r="C34" i="16"/>
  <c r="B165" i="2"/>
  <c r="B163" i="2"/>
  <c r="I16" i="8"/>
  <c r="J16" i="8" s="1"/>
  <c r="D168" i="2" s="1"/>
  <c r="B230" i="2"/>
  <c r="B240" i="2"/>
  <c r="B7" i="2"/>
  <c r="B154" i="2"/>
  <c r="B203" i="2"/>
  <c r="A34" i="8"/>
  <c r="A35" i="8"/>
  <c r="A47" i="8" s="1"/>
  <c r="A59" i="8" s="1"/>
  <c r="A71" i="8" s="1"/>
  <c r="A83" i="8" s="1"/>
  <c r="A95" i="8" s="1"/>
  <c r="A107" i="8" s="1"/>
  <c r="A119" i="8" s="1"/>
  <c r="A131" i="8" s="1"/>
  <c r="A143" i="8" s="1"/>
  <c r="A155" i="8" s="1"/>
  <c r="A36" i="8"/>
  <c r="A37" i="8"/>
  <c r="A38" i="8"/>
  <c r="A39" i="8"/>
  <c r="A40" i="8"/>
  <c r="A52" i="8" s="1"/>
  <c r="A64" i="8" s="1"/>
  <c r="A76" i="8" s="1"/>
  <c r="A88" i="8" s="1"/>
  <c r="A100" i="8" s="1"/>
  <c r="A112" i="8" s="1"/>
  <c r="A124" i="8" s="1"/>
  <c r="A136" i="8" s="1"/>
  <c r="A148" i="8" s="1"/>
  <c r="A41" i="8"/>
  <c r="A42" i="8"/>
  <c r="A43" i="8"/>
  <c r="A44" i="8"/>
  <c r="A45" i="8"/>
  <c r="A46" i="8"/>
  <c r="A48" i="8"/>
  <c r="A49" i="8"/>
  <c r="A50" i="8"/>
  <c r="A51" i="8"/>
  <c r="A53" i="8"/>
  <c r="A54" i="8"/>
  <c r="A55" i="8"/>
  <c r="A67" i="8" s="1"/>
  <c r="A79" i="8" s="1"/>
  <c r="A91" i="8" s="1"/>
  <c r="A103" i="8" s="1"/>
  <c r="A115" i="8" s="1"/>
  <c r="A127" i="8" s="1"/>
  <c r="A139" i="8" s="1"/>
  <c r="A151" i="8" s="1"/>
  <c r="A56" i="8"/>
  <c r="A68" i="8" s="1"/>
  <c r="A80" i="8" s="1"/>
  <c r="A92" i="8" s="1"/>
  <c r="A104" i="8" s="1"/>
  <c r="A116" i="8" s="1"/>
  <c r="A128" i="8" s="1"/>
  <c r="A140" i="8" s="1"/>
  <c r="A152" i="8" s="1"/>
  <c r="A57" i="8"/>
  <c r="A58" i="8"/>
  <c r="A60" i="8"/>
  <c r="A61" i="8"/>
  <c r="A62" i="8"/>
  <c r="A63" i="8"/>
  <c r="A65" i="8"/>
  <c r="A77" i="8" s="1"/>
  <c r="A89" i="8" s="1"/>
  <c r="A101" i="8" s="1"/>
  <c r="A113" i="8" s="1"/>
  <c r="A125" i="8" s="1"/>
  <c r="A137" i="8" s="1"/>
  <c r="A149" i="8" s="1"/>
  <c r="A66" i="8"/>
  <c r="A69" i="8"/>
  <c r="A70" i="8"/>
  <c r="A72" i="8"/>
  <c r="A73" i="8"/>
  <c r="A74" i="8"/>
  <c r="A75" i="8"/>
  <c r="A78" i="8"/>
  <c r="A81" i="8"/>
  <c r="A82" i="8"/>
  <c r="A84" i="8"/>
  <c r="A85" i="8"/>
  <c r="A86" i="8"/>
  <c r="A87" i="8"/>
  <c r="A90" i="8"/>
  <c r="A93" i="8"/>
  <c r="A94" i="8"/>
  <c r="A96" i="8"/>
  <c r="A97" i="8"/>
  <c r="A98" i="8"/>
  <c r="A99" i="8"/>
  <c r="A102" i="8"/>
  <c r="A105" i="8"/>
  <c r="A106" i="8"/>
  <c r="A108" i="8"/>
  <c r="A109" i="8"/>
  <c r="A110" i="8"/>
  <c r="A111" i="8"/>
  <c r="A114" i="8"/>
  <c r="A117" i="8"/>
  <c r="A118" i="8"/>
  <c r="A120" i="8"/>
  <c r="A121" i="8"/>
  <c r="A122" i="8"/>
  <c r="A123" i="8"/>
  <c r="A126" i="8"/>
  <c r="A129" i="8"/>
  <c r="A130" i="8"/>
  <c r="A132" i="8"/>
  <c r="A133" i="8"/>
  <c r="A134" i="8"/>
  <c r="A135" i="8"/>
  <c r="A138" i="8"/>
  <c r="A141" i="8"/>
  <c r="A142" i="8"/>
  <c r="A144" i="8"/>
  <c r="A145" i="8"/>
  <c r="A146" i="8"/>
  <c r="A147" i="8"/>
  <c r="A150" i="8"/>
  <c r="A153" i="8"/>
  <c r="A154" i="8"/>
  <c r="A156" i="8"/>
  <c r="A157" i="8"/>
  <c r="A158" i="8"/>
  <c r="A159" i="8"/>
  <c r="E3" i="8"/>
  <c r="A238" i="2"/>
  <c r="B238" i="2"/>
  <c r="B205" i="2"/>
  <c r="B232" i="2"/>
  <c r="A232" i="2"/>
  <c r="I14" i="8"/>
  <c r="B215" i="2"/>
  <c r="B216" i="2" s="1"/>
  <c r="I13" i="8"/>
  <c r="J13" i="8" s="1"/>
  <c r="I7" i="8"/>
  <c r="J7" i="8" s="1"/>
  <c r="J14" i="8"/>
  <c r="AL16" i="20" l="1"/>
  <c r="AL32" i="20"/>
  <c r="AL29" i="20"/>
  <c r="AL57" i="20"/>
  <c r="AL50" i="20"/>
  <c r="AL72" i="20"/>
  <c r="AL84" i="20"/>
  <c r="AL96" i="20"/>
  <c r="AL9" i="20"/>
  <c r="AL15" i="20"/>
  <c r="AL34" i="20"/>
  <c r="AL31" i="20"/>
  <c r="AL58" i="20"/>
  <c r="AL52" i="20"/>
  <c r="AL73" i="20"/>
  <c r="AL85" i="20"/>
  <c r="AL101" i="20"/>
  <c r="AL6" i="20"/>
  <c r="AL14" i="20"/>
  <c r="AL37" i="20"/>
  <c r="AL33" i="20"/>
  <c r="AL59" i="20"/>
  <c r="AL62" i="20"/>
  <c r="AL74" i="20"/>
  <c r="AL86" i="20"/>
  <c r="AL97" i="20"/>
  <c r="AL10" i="20"/>
  <c r="AL45" i="20"/>
  <c r="AL39" i="20"/>
  <c r="AL61" i="20"/>
  <c r="AL64" i="20"/>
  <c r="AL76" i="20"/>
  <c r="AL88" i="20"/>
  <c r="AL99" i="20"/>
  <c r="AL8" i="20"/>
  <c r="AL49" i="20"/>
  <c r="AL42" i="20"/>
  <c r="AL36" i="20"/>
  <c r="AL65" i="20"/>
  <c r="AL77" i="20"/>
  <c r="AL89" i="20"/>
  <c r="AL100" i="20"/>
  <c r="AL18" i="20"/>
  <c r="AL20" i="20"/>
  <c r="AL48" i="20"/>
  <c r="AL38" i="20"/>
  <c r="AL66" i="20"/>
  <c r="AL78" i="20"/>
  <c r="AL90" i="20"/>
  <c r="AL102" i="20"/>
  <c r="AL19" i="20"/>
  <c r="AL21" i="20"/>
  <c r="AL51" i="20"/>
  <c r="AL40" i="20"/>
  <c r="AL67" i="20"/>
  <c r="AL79" i="20"/>
  <c r="AL91" i="20"/>
  <c r="AL103" i="20"/>
  <c r="AL106" i="20"/>
  <c r="AL26" i="20"/>
  <c r="AL22" i="20"/>
  <c r="AL53" i="20"/>
  <c r="AL43" i="20"/>
  <c r="AL68" i="20"/>
  <c r="AL80" i="20"/>
  <c r="AL92" i="20"/>
  <c r="AL104" i="20"/>
  <c r="AL27" i="20"/>
  <c r="AL23" i="20"/>
  <c r="AL54" i="20"/>
  <c r="AL44" i="20"/>
  <c r="AL69" i="20"/>
  <c r="AL81" i="20"/>
  <c r="AL93" i="20"/>
  <c r="AL105" i="20"/>
  <c r="B217" i="2"/>
  <c r="B220" i="2" s="1"/>
  <c r="B108" i="2"/>
  <c r="E21" i="23"/>
  <c r="I9" i="8"/>
  <c r="J9" i="8" s="1"/>
  <c r="E15" i="23"/>
  <c r="G15" i="23" s="1"/>
  <c r="E4" i="23"/>
  <c r="B106" i="2"/>
  <c r="G104" i="2" s="1"/>
  <c r="B25" i="20"/>
  <c r="D25" i="20" s="1"/>
  <c r="D34" i="16"/>
  <c r="B169" i="2"/>
  <c r="I17" i="8" s="1"/>
  <c r="J17" i="8" s="1"/>
  <c r="D169" i="2" s="1"/>
  <c r="F263" i="2" s="1"/>
  <c r="E44" i="1" s="1"/>
  <c r="A227" i="2" s="1"/>
  <c r="B11" i="19"/>
  <c r="D11" i="19" s="1"/>
  <c r="I4" i="8" s="1"/>
  <c r="J4" i="8" s="1"/>
  <c r="B235" i="2"/>
  <c r="B132" i="2"/>
  <c r="C32" i="16"/>
  <c r="B156" i="2"/>
  <c r="B3" i="8" s="1"/>
  <c r="B159" i="8" s="1"/>
  <c r="B158" i="8" s="1"/>
  <c r="B157" i="8" s="1"/>
  <c r="B156" i="8" s="1"/>
  <c r="B155" i="8" s="1"/>
  <c r="B154" i="8" s="1"/>
  <c r="B153" i="8" s="1"/>
  <c r="B152" i="8" s="1"/>
  <c r="B151" i="8" s="1"/>
  <c r="B150" i="8" s="1"/>
  <c r="B149" i="8" s="1"/>
  <c r="B148" i="8" s="1"/>
  <c r="B147" i="8" s="1"/>
  <c r="B146" i="8" s="1"/>
  <c r="B145" i="8" s="1"/>
  <c r="B144" i="8" s="1"/>
  <c r="B143" i="8" s="1"/>
  <c r="B142" i="8" s="1"/>
  <c r="B141" i="8" s="1"/>
  <c r="B140" i="8" s="1"/>
  <c r="B139" i="8" s="1"/>
  <c r="B138" i="8" s="1"/>
  <c r="B137" i="8" s="1"/>
  <c r="B136" i="8" s="1"/>
  <c r="B135" i="8" s="1"/>
  <c r="B134" i="8" s="1"/>
  <c r="B133" i="8" s="1"/>
  <c r="B132" i="8" s="1"/>
  <c r="B131" i="8" s="1"/>
  <c r="B130" i="8" s="1"/>
  <c r="B129" i="8" s="1"/>
  <c r="B128" i="8" s="1"/>
  <c r="B127" i="8" s="1"/>
  <c r="B126" i="8" s="1"/>
  <c r="B125" i="8" s="1"/>
  <c r="B124" i="8" s="1"/>
  <c r="B123" i="8" s="1"/>
  <c r="B122" i="8" s="1"/>
  <c r="B121" i="8" s="1"/>
  <c r="B120" i="8" s="1"/>
  <c r="B119" i="8" s="1"/>
  <c r="B118" i="8" s="1"/>
  <c r="B117" i="8" s="1"/>
  <c r="B116" i="8" s="1"/>
  <c r="B115" i="8" s="1"/>
  <c r="B114" i="8" s="1"/>
  <c r="B113" i="8" s="1"/>
  <c r="B112" i="8" s="1"/>
  <c r="B111" i="8" s="1"/>
  <c r="B110" i="8" s="1"/>
  <c r="B109" i="8" s="1"/>
  <c r="B108" i="8" s="1"/>
  <c r="B107" i="8" s="1"/>
  <c r="B106" i="8" s="1"/>
  <c r="B105" i="8" s="1"/>
  <c r="B104" i="8" s="1"/>
  <c r="B103" i="8" s="1"/>
  <c r="B102" i="8" s="1"/>
  <c r="B101" i="8" s="1"/>
  <c r="B100" i="8" s="1"/>
  <c r="B99" i="8" s="1"/>
  <c r="B98" i="8" s="1"/>
  <c r="B97" i="8" s="1"/>
  <c r="B96" i="8" s="1"/>
  <c r="B95" i="8" s="1"/>
  <c r="B94" i="8" s="1"/>
  <c r="B93" i="8" s="1"/>
  <c r="B92" i="8" s="1"/>
  <c r="B91" i="8" s="1"/>
  <c r="B90" i="8" s="1"/>
  <c r="B89" i="8" s="1"/>
  <c r="B88" i="8" s="1"/>
  <c r="B87" i="8" s="1"/>
  <c r="B86" i="8" s="1"/>
  <c r="B85" i="8" s="1"/>
  <c r="B84" i="8" s="1"/>
  <c r="B83" i="8" s="1"/>
  <c r="B82" i="8" s="1"/>
  <c r="B81" i="8" s="1"/>
  <c r="B80" i="8" s="1"/>
  <c r="B79" i="8" s="1"/>
  <c r="B78" i="8" s="1"/>
  <c r="B77" i="8" s="1"/>
  <c r="B76" i="8" s="1"/>
  <c r="B75" i="8" s="1"/>
  <c r="B74" i="8" s="1"/>
  <c r="B73" i="8" s="1"/>
  <c r="B72" i="8" s="1"/>
  <c r="B71" i="8" s="1"/>
  <c r="B70" i="8" s="1"/>
  <c r="B69" i="8" s="1"/>
  <c r="B68" i="8" s="1"/>
  <c r="B67" i="8" s="1"/>
  <c r="B66" i="8" s="1"/>
  <c r="B65" i="8" s="1"/>
  <c r="B64" i="8" s="1"/>
  <c r="B63" i="8" s="1"/>
  <c r="B62" i="8" s="1"/>
  <c r="B61" i="8" s="1"/>
  <c r="B60" i="8" s="1"/>
  <c r="B59" i="8" s="1"/>
  <c r="B58" i="8" s="1"/>
  <c r="B57" i="8" s="1"/>
  <c r="B56" i="8" s="1"/>
  <c r="B55" i="8" s="1"/>
  <c r="B54" i="8" s="1"/>
  <c r="B53" i="8" s="1"/>
  <c r="B52" i="8" s="1"/>
  <c r="B51" i="8" s="1"/>
  <c r="B50" i="8" s="1"/>
  <c r="B49" i="8" s="1"/>
  <c r="B48" i="8" s="1"/>
  <c r="B47" i="8" s="1"/>
  <c r="B46" i="8" s="1"/>
  <c r="B45" i="8" s="1"/>
  <c r="B44" i="8" s="1"/>
  <c r="B43" i="8" s="1"/>
  <c r="B42" i="8" s="1"/>
  <c r="B41" i="8" s="1"/>
  <c r="B40" i="8" s="1"/>
  <c r="B39" i="8" s="1"/>
  <c r="B38" i="8" s="1"/>
  <c r="B37" i="8" s="1"/>
  <c r="B36" i="8" s="1"/>
  <c r="B35" i="8" s="1"/>
  <c r="B34" i="8" s="1"/>
  <c r="B33" i="8" s="1"/>
  <c r="B32" i="8" s="1"/>
  <c r="B31" i="8" s="1"/>
  <c r="B30" i="8" s="1"/>
  <c r="B29" i="8" s="1"/>
  <c r="B28" i="8" s="1"/>
  <c r="B27" i="8" s="1"/>
  <c r="B26" i="8" s="1"/>
  <c r="B25" i="8" s="1"/>
  <c r="B24" i="8" s="1"/>
  <c r="B23" i="8" s="1"/>
  <c r="B22" i="8" s="1"/>
  <c r="B21" i="8" s="1"/>
  <c r="B20" i="8" s="1"/>
  <c r="B19" i="8" s="1"/>
  <c r="B18" i="8" s="1"/>
  <c r="B17" i="8" s="1"/>
  <c r="B16" i="8" s="1"/>
  <c r="B15" i="8" s="1"/>
  <c r="B14" i="8" s="1"/>
  <c r="B13" i="8" s="1"/>
  <c r="B12" i="8" s="1"/>
  <c r="B11" i="8" s="1"/>
  <c r="B10" i="8" s="1"/>
  <c r="B9" i="8" s="1"/>
  <c r="B8" i="8" s="1"/>
  <c r="B7" i="8" s="1"/>
  <c r="B6" i="8" s="1"/>
  <c r="B4" i="8" s="1"/>
  <c r="D33" i="16" s="1"/>
  <c r="C31" i="16"/>
  <c r="H35" i="16"/>
  <c r="K35" i="16"/>
  <c r="J35" i="16"/>
  <c r="D41" i="16"/>
  <c r="B244" i="2"/>
  <c r="D31" i="16" s="1"/>
  <c r="D3" i="8"/>
  <c r="D159" i="8" s="1"/>
  <c r="D158" i="8" s="1"/>
  <c r="D157" i="8" s="1"/>
  <c r="D156" i="8" s="1"/>
  <c r="D155" i="8" s="1"/>
  <c r="D154" i="8" s="1"/>
  <c r="D153" i="8" s="1"/>
  <c r="D152" i="8" s="1"/>
  <c r="D151" i="8" s="1"/>
  <c r="D150" i="8" s="1"/>
  <c r="D149" i="8" s="1"/>
  <c r="D148" i="8" s="1"/>
  <c r="D147" i="8" s="1"/>
  <c r="D146" i="8" s="1"/>
  <c r="D145" i="8" s="1"/>
  <c r="D144" i="8" s="1"/>
  <c r="D143" i="8" s="1"/>
  <c r="D142" i="8" s="1"/>
  <c r="D141" i="8" s="1"/>
  <c r="D140" i="8" s="1"/>
  <c r="D139" i="8" s="1"/>
  <c r="D138" i="8" s="1"/>
  <c r="D137" i="8" s="1"/>
  <c r="D136" i="8" s="1"/>
  <c r="D135" i="8" s="1"/>
  <c r="D134" i="8" s="1"/>
  <c r="D133" i="8" s="1"/>
  <c r="D132" i="8" s="1"/>
  <c r="D131" i="8" s="1"/>
  <c r="D130" i="8" s="1"/>
  <c r="D129" i="8" s="1"/>
  <c r="D128" i="8" s="1"/>
  <c r="D127" i="8" s="1"/>
  <c r="D126" i="8" s="1"/>
  <c r="D125" i="8" s="1"/>
  <c r="D124" i="8" s="1"/>
  <c r="D123" i="8" s="1"/>
  <c r="D122" i="8" s="1"/>
  <c r="D121" i="8" s="1"/>
  <c r="D120" i="8" s="1"/>
  <c r="D119" i="8" s="1"/>
  <c r="D118" i="8" s="1"/>
  <c r="D117" i="8" s="1"/>
  <c r="D116" i="8" s="1"/>
  <c r="D115" i="8" s="1"/>
  <c r="D114" i="8" s="1"/>
  <c r="D113" i="8" s="1"/>
  <c r="D112" i="8" s="1"/>
  <c r="D111" i="8" s="1"/>
  <c r="D110" i="8" s="1"/>
  <c r="D109" i="8" s="1"/>
  <c r="D108" i="8" s="1"/>
  <c r="D107" i="8" s="1"/>
  <c r="D106" i="8" s="1"/>
  <c r="D105" i="8" s="1"/>
  <c r="D104" i="8" s="1"/>
  <c r="D103" i="8" s="1"/>
  <c r="D102" i="8" s="1"/>
  <c r="D101" i="8" s="1"/>
  <c r="D100" i="8" s="1"/>
  <c r="D99" i="8" s="1"/>
  <c r="D98" i="8" s="1"/>
  <c r="D97" i="8" s="1"/>
  <c r="D96" i="8" s="1"/>
  <c r="D95" i="8" s="1"/>
  <c r="D94" i="8" s="1"/>
  <c r="D93" i="8" s="1"/>
  <c r="D92" i="8" s="1"/>
  <c r="D91" i="8" s="1"/>
  <c r="D90" i="8" s="1"/>
  <c r="D89" i="8" s="1"/>
  <c r="D88" i="8" s="1"/>
  <c r="D87" i="8" s="1"/>
  <c r="D86" i="8" s="1"/>
  <c r="D85" i="8" s="1"/>
  <c r="D84" i="8" s="1"/>
  <c r="D83" i="8" s="1"/>
  <c r="D82" i="8" s="1"/>
  <c r="D81" i="8" s="1"/>
  <c r="D80" i="8" s="1"/>
  <c r="D79" i="8" s="1"/>
  <c r="D78" i="8" s="1"/>
  <c r="D77" i="8" s="1"/>
  <c r="D76" i="8" s="1"/>
  <c r="D75" i="8" s="1"/>
  <c r="D74" i="8" s="1"/>
  <c r="D73" i="8" s="1"/>
  <c r="D72" i="8" s="1"/>
  <c r="D71" i="8" s="1"/>
  <c r="D70" i="8" s="1"/>
  <c r="D69" i="8" s="1"/>
  <c r="D68" i="8" s="1"/>
  <c r="D67" i="8" s="1"/>
  <c r="D66" i="8" s="1"/>
  <c r="D65" i="8" s="1"/>
  <c r="D64" i="8" s="1"/>
  <c r="D63" i="8" s="1"/>
  <c r="D62" i="8" s="1"/>
  <c r="D61" i="8" s="1"/>
  <c r="D60" i="8" s="1"/>
  <c r="D59" i="8" s="1"/>
  <c r="D58" i="8" s="1"/>
  <c r="D57" i="8" s="1"/>
  <c r="D56" i="8" s="1"/>
  <c r="D55" i="8" s="1"/>
  <c r="D54" i="8" s="1"/>
  <c r="D53" i="8" s="1"/>
  <c r="D52" i="8" s="1"/>
  <c r="D51" i="8" s="1"/>
  <c r="D50" i="8" s="1"/>
  <c r="D49" i="8" s="1"/>
  <c r="D48" i="8" s="1"/>
  <c r="D47" i="8" s="1"/>
  <c r="D46" i="8" s="1"/>
  <c r="D45" i="8" s="1"/>
  <c r="D44" i="8" s="1"/>
  <c r="D43" i="8" s="1"/>
  <c r="D42" i="8" s="1"/>
  <c r="D41" i="8" s="1"/>
  <c r="D40" i="8" s="1"/>
  <c r="D39" i="8" s="1"/>
  <c r="D38" i="8" s="1"/>
  <c r="D37" i="8" s="1"/>
  <c r="D36" i="8" s="1"/>
  <c r="D35" i="8" s="1"/>
  <c r="D34" i="8" s="1"/>
  <c r="D33" i="8" s="1"/>
  <c r="D32" i="8" s="1"/>
  <c r="D31" i="8" s="1"/>
  <c r="D30" i="8" s="1"/>
  <c r="D29" i="8" s="1"/>
  <c r="D28" i="8" s="1"/>
  <c r="D27" i="8" s="1"/>
  <c r="D26" i="8" s="1"/>
  <c r="D25" i="8" s="1"/>
  <c r="D24" i="8" s="1"/>
  <c r="D23" i="8" s="1"/>
  <c r="D22" i="8" s="1"/>
  <c r="D21" i="8" s="1"/>
  <c r="D20" i="8" s="1"/>
  <c r="D19" i="8" s="1"/>
  <c r="D18" i="8" s="1"/>
  <c r="D17" i="8" s="1"/>
  <c r="D16" i="8" s="1"/>
  <c r="D15" i="8" s="1"/>
  <c r="D14" i="8" s="1"/>
  <c r="D13" i="8" s="1"/>
  <c r="D12" i="8" s="1"/>
  <c r="D11" i="8" s="1"/>
  <c r="D10" i="8" s="1"/>
  <c r="D9" i="8" s="1"/>
  <c r="D8" i="8" s="1"/>
  <c r="D7" i="8" s="1"/>
  <c r="D6" i="8" s="1"/>
  <c r="D4" i="8" s="1"/>
  <c r="E159" i="8"/>
  <c r="E158" i="8" s="1"/>
  <c r="E157" i="8" s="1"/>
  <c r="E156" i="8" s="1"/>
  <c r="E155" i="8" s="1"/>
  <c r="E154" i="8" s="1"/>
  <c r="E153" i="8" s="1"/>
  <c r="E152" i="8" s="1"/>
  <c r="E151" i="8" s="1"/>
  <c r="E150" i="8" s="1"/>
  <c r="E149" i="8" s="1"/>
  <c r="E148" i="8" s="1"/>
  <c r="E147" i="8" s="1"/>
  <c r="E146" i="8" s="1"/>
  <c r="E145" i="8" s="1"/>
  <c r="E144" i="8" s="1"/>
  <c r="E143" i="8" s="1"/>
  <c r="E142" i="8" s="1"/>
  <c r="E141" i="8" s="1"/>
  <c r="E140" i="8" s="1"/>
  <c r="E139" i="8" s="1"/>
  <c r="E138" i="8" s="1"/>
  <c r="E137" i="8" s="1"/>
  <c r="E136" i="8" s="1"/>
  <c r="E135" i="8" s="1"/>
  <c r="E134" i="8" s="1"/>
  <c r="E133" i="8" s="1"/>
  <c r="E132" i="8" s="1"/>
  <c r="E131" i="8" s="1"/>
  <c r="E130" i="8" s="1"/>
  <c r="E129" i="8" s="1"/>
  <c r="E128" i="8" s="1"/>
  <c r="E127" i="8" s="1"/>
  <c r="E126" i="8" s="1"/>
  <c r="E125" i="8" s="1"/>
  <c r="E124" i="8" s="1"/>
  <c r="E123" i="8" s="1"/>
  <c r="E122" i="8" s="1"/>
  <c r="E121" i="8" s="1"/>
  <c r="E120" i="8" s="1"/>
  <c r="E119" i="8" s="1"/>
  <c r="E118" i="8" s="1"/>
  <c r="E117" i="8" s="1"/>
  <c r="E116" i="8" s="1"/>
  <c r="E115" i="8" s="1"/>
  <c r="E114" i="8" s="1"/>
  <c r="E113" i="8" s="1"/>
  <c r="E112" i="8" s="1"/>
  <c r="E111" i="8" s="1"/>
  <c r="E110" i="8" s="1"/>
  <c r="E109" i="8" s="1"/>
  <c r="E108" i="8" s="1"/>
  <c r="E107" i="8" s="1"/>
  <c r="E106" i="8" s="1"/>
  <c r="E105" i="8" s="1"/>
  <c r="E104" i="8" s="1"/>
  <c r="E103" i="8" s="1"/>
  <c r="E102" i="8" s="1"/>
  <c r="E101" i="8" s="1"/>
  <c r="E100" i="8" s="1"/>
  <c r="E99" i="8" s="1"/>
  <c r="E98" i="8" s="1"/>
  <c r="E97" i="8" s="1"/>
  <c r="E96" i="8" s="1"/>
  <c r="E95" i="8" s="1"/>
  <c r="E94" i="8" s="1"/>
  <c r="E93" i="8" s="1"/>
  <c r="E92" i="8" s="1"/>
  <c r="E91" i="8" s="1"/>
  <c r="E90" i="8" s="1"/>
  <c r="E89" i="8" s="1"/>
  <c r="E88" i="8" s="1"/>
  <c r="E87" i="8" s="1"/>
  <c r="E86" i="8" s="1"/>
  <c r="E85" i="8" s="1"/>
  <c r="E84" i="8" s="1"/>
  <c r="E83" i="8" s="1"/>
  <c r="E82" i="8" s="1"/>
  <c r="E81" i="8" s="1"/>
  <c r="E80" i="8" s="1"/>
  <c r="E79" i="8" s="1"/>
  <c r="E78" i="8" s="1"/>
  <c r="E77" i="8" s="1"/>
  <c r="E76" i="8" s="1"/>
  <c r="E75" i="8" s="1"/>
  <c r="E74" i="8" s="1"/>
  <c r="E73" i="8" s="1"/>
  <c r="E72" i="8" s="1"/>
  <c r="E71" i="8" s="1"/>
  <c r="E70" i="8" s="1"/>
  <c r="E69" i="8" s="1"/>
  <c r="E68" i="8" s="1"/>
  <c r="E67" i="8" s="1"/>
  <c r="E66" i="8" s="1"/>
  <c r="E65" i="8" s="1"/>
  <c r="E64" i="8" s="1"/>
  <c r="E63" i="8" s="1"/>
  <c r="E62" i="8" s="1"/>
  <c r="E61" i="8" s="1"/>
  <c r="E60" i="8" s="1"/>
  <c r="E59" i="8" s="1"/>
  <c r="E58" i="8" s="1"/>
  <c r="E57" i="8" s="1"/>
  <c r="E56" i="8" s="1"/>
  <c r="E55" i="8" s="1"/>
  <c r="E54" i="8" s="1"/>
  <c r="E53" i="8" s="1"/>
  <c r="E52" i="8" s="1"/>
  <c r="E51" i="8" s="1"/>
  <c r="E50" i="8" s="1"/>
  <c r="E49" i="8" s="1"/>
  <c r="E48" i="8" s="1"/>
  <c r="E47" i="8" s="1"/>
  <c r="E46" i="8" s="1"/>
  <c r="E45" i="8" s="1"/>
  <c r="E44" i="8" s="1"/>
  <c r="E43" i="8" s="1"/>
  <c r="E42" i="8" s="1"/>
  <c r="E41" i="8" s="1"/>
  <c r="E40" i="8" s="1"/>
  <c r="E39" i="8" s="1"/>
  <c r="E38" i="8" s="1"/>
  <c r="E37" i="8" s="1"/>
  <c r="E36" i="8" s="1"/>
  <c r="E35" i="8" s="1"/>
  <c r="E34" i="8" s="1"/>
  <c r="E33" i="8" s="1"/>
  <c r="E32" i="8" s="1"/>
  <c r="E31" i="8" s="1"/>
  <c r="E30" i="8" s="1"/>
  <c r="E29" i="8" s="1"/>
  <c r="E28" i="8" s="1"/>
  <c r="E27" i="8" s="1"/>
  <c r="E26" i="8" s="1"/>
  <c r="E25" i="8" s="1"/>
  <c r="E24" i="8" s="1"/>
  <c r="E23" i="8" s="1"/>
  <c r="E22" i="8" s="1"/>
  <c r="E21" i="8" s="1"/>
  <c r="E20" i="8" s="1"/>
  <c r="E19" i="8" s="1"/>
  <c r="E18" i="8" s="1"/>
  <c r="E17" i="8" s="1"/>
  <c r="E16" i="8" s="1"/>
  <c r="E15" i="8" s="1"/>
  <c r="E14" i="8" s="1"/>
  <c r="E13" i="8" s="1"/>
  <c r="E12" i="8" s="1"/>
  <c r="E11" i="8" s="1"/>
  <c r="E10" i="8" s="1"/>
  <c r="E9" i="8" s="1"/>
  <c r="E8" i="8" s="1"/>
  <c r="E7" i="8" s="1"/>
  <c r="E6" i="8" s="1"/>
  <c r="E4" i="8" s="1"/>
  <c r="F168" i="2"/>
  <c r="G168" i="2"/>
  <c r="B246" i="2"/>
  <c r="B22" i="20"/>
  <c r="D22" i="20" s="1"/>
  <c r="B114" i="2" s="1"/>
  <c r="B236" i="2"/>
  <c r="F22" i="20"/>
  <c r="B21" i="20"/>
  <c r="D21" i="20" s="1"/>
  <c r="J94" i="20" s="1"/>
  <c r="B48" i="2"/>
  <c r="B56" i="2" s="1"/>
  <c r="C48" i="2"/>
  <c r="S36" i="2"/>
  <c r="B9" i="20"/>
  <c r="D9" i="20" s="1"/>
  <c r="B10" i="19"/>
  <c r="D10" i="19" s="1"/>
  <c r="H109" i="19" s="1"/>
  <c r="H110" i="19" s="1"/>
  <c r="A262" i="2"/>
  <c r="B75" i="2"/>
  <c r="B79" i="2" s="1"/>
  <c r="B104" i="2" s="1"/>
  <c r="B231" i="2"/>
  <c r="B47" i="2"/>
  <c r="B51" i="2" s="1"/>
  <c r="A28" i="16"/>
  <c r="I33" i="2"/>
  <c r="C3" i="8"/>
  <c r="C159" i="8" s="1"/>
  <c r="C158" i="8" s="1"/>
  <c r="B242" i="2"/>
  <c r="C43" i="2"/>
  <c r="G33" i="2"/>
  <c r="C35" i="16"/>
  <c r="G35" i="16"/>
  <c r="A231" i="2"/>
  <c r="B73" i="2"/>
  <c r="B77" i="2" s="1"/>
  <c r="B81" i="2" s="1"/>
  <c r="B185" i="2"/>
  <c r="I10" i="8" s="1"/>
  <c r="J10" i="8" s="1"/>
  <c r="B186" i="2" s="1"/>
  <c r="E5" i="23" s="1"/>
  <c r="C47" i="2"/>
  <c r="B46" i="2"/>
  <c r="B50" i="2" s="1"/>
  <c r="B43" i="2"/>
  <c r="B44" i="2" s="1"/>
  <c r="C46" i="2"/>
  <c r="F36" i="1"/>
  <c r="B67" i="2"/>
  <c r="B68" i="2" s="1"/>
  <c r="B194" i="2" s="1"/>
  <c r="B9" i="19"/>
  <c r="D9" i="19" s="1"/>
  <c r="B123" i="2"/>
  <c r="B124" i="2" s="1"/>
  <c r="B14" i="2"/>
  <c r="B17" i="2" s="1"/>
  <c r="B19" i="2" s="1"/>
  <c r="G90" i="2" s="1"/>
  <c r="B17" i="19"/>
  <c r="D17" i="19" s="1"/>
  <c r="B19" i="19" s="1"/>
  <c r="D19" i="19" s="1"/>
  <c r="C219" i="2"/>
  <c r="B219" i="2" s="1"/>
  <c r="B218" i="2"/>
  <c r="B270" i="2"/>
  <c r="D35" i="16"/>
  <c r="I35" i="16"/>
  <c r="C270" i="2"/>
  <c r="A35" i="16"/>
  <c r="F270" i="2"/>
  <c r="B74" i="2"/>
  <c r="B140" i="2" s="1"/>
  <c r="B10" i="20"/>
  <c r="D10" i="20" s="1"/>
  <c r="H109" i="20" s="1"/>
  <c r="H110" i="20" s="1"/>
  <c r="B13" i="2"/>
  <c r="E7" i="23" l="1"/>
  <c r="E10" i="23" s="1"/>
  <c r="G10" i="23" s="1"/>
  <c r="B170" i="2"/>
  <c r="I18" i="8" s="1"/>
  <c r="J18" i="8" s="1"/>
  <c r="D170" i="2" s="1"/>
  <c r="G264" i="2" s="1"/>
  <c r="F45" i="1" s="1"/>
  <c r="A266" i="2"/>
  <c r="B266" i="2"/>
  <c r="F169" i="2"/>
  <c r="H263" i="2"/>
  <c r="C42" i="16" s="1"/>
  <c r="B263" i="2"/>
  <c r="C263" i="2"/>
  <c r="A263" i="2" s="1"/>
  <c r="B173" i="2"/>
  <c r="G169" i="2"/>
  <c r="G263" i="2"/>
  <c r="F44" i="1" s="1"/>
  <c r="J38" i="16"/>
  <c r="K37" i="16"/>
  <c r="J37" i="16"/>
  <c r="K38" i="16"/>
  <c r="I38" i="16"/>
  <c r="I37" i="16"/>
  <c r="H38" i="16"/>
  <c r="H37" i="16"/>
  <c r="B249" i="2"/>
  <c r="H44" i="16"/>
  <c r="D32" i="16"/>
  <c r="R36" i="2"/>
  <c r="B52" i="2"/>
  <c r="F20" i="19"/>
  <c r="B24" i="2"/>
  <c r="B55" i="2"/>
  <c r="B267" i="2"/>
  <c r="D267" i="2" s="1"/>
  <c r="C33" i="16"/>
  <c r="B157" i="2"/>
  <c r="B181" i="2"/>
  <c r="E148" i="2"/>
  <c r="C38" i="16"/>
  <c r="K32" i="2"/>
  <c r="C37" i="16"/>
  <c r="B18" i="2"/>
  <c r="G89" i="2" s="1"/>
  <c r="K33" i="2"/>
  <c r="D249" i="2"/>
  <c r="C157" i="8"/>
  <c r="C156" i="8" s="1"/>
  <c r="C155" i="8" s="1"/>
  <c r="C154" i="8" s="1"/>
  <c r="C153" i="8" s="1"/>
  <c r="C152" i="8" s="1"/>
  <c r="C151" i="8" s="1"/>
  <c r="C150" i="8" s="1"/>
  <c r="C149" i="8" s="1"/>
  <c r="C148" i="8" s="1"/>
  <c r="C147" i="8" s="1"/>
  <c r="C146" i="8" s="1"/>
  <c r="C145" i="8" s="1"/>
  <c r="C144" i="8" s="1"/>
  <c r="C143" i="8" s="1"/>
  <c r="C142" i="8" s="1"/>
  <c r="C141" i="8" s="1"/>
  <c r="C140" i="8" s="1"/>
  <c r="C139" i="8" s="1"/>
  <c r="C138" i="8" s="1"/>
  <c r="C137" i="8" s="1"/>
  <c r="C136" i="8" s="1"/>
  <c r="C135" i="8" s="1"/>
  <c r="C134" i="8" s="1"/>
  <c r="C133" i="8" s="1"/>
  <c r="C132" i="8" s="1"/>
  <c r="C131" i="8" s="1"/>
  <c r="C130" i="8" s="1"/>
  <c r="C129" i="8" s="1"/>
  <c r="C128" i="8" s="1"/>
  <c r="C127" i="8" s="1"/>
  <c r="C126" i="8" s="1"/>
  <c r="C125" i="8" s="1"/>
  <c r="C124" i="8" s="1"/>
  <c r="C123" i="8" s="1"/>
  <c r="C122" i="8" s="1"/>
  <c r="C121" i="8" s="1"/>
  <c r="C120" i="8" s="1"/>
  <c r="C119" i="8" s="1"/>
  <c r="C118" i="8" s="1"/>
  <c r="C117" i="8" s="1"/>
  <c r="C116" i="8" s="1"/>
  <c r="C115" i="8" s="1"/>
  <c r="C114" i="8" s="1"/>
  <c r="C113" i="8" s="1"/>
  <c r="C112" i="8" s="1"/>
  <c r="C111" i="8" s="1"/>
  <c r="C110" i="8" s="1"/>
  <c r="C109" i="8" s="1"/>
  <c r="C108" i="8" s="1"/>
  <c r="C107" i="8" s="1"/>
  <c r="C106" i="8" s="1"/>
  <c r="C105" i="8" s="1"/>
  <c r="C104" i="8" s="1"/>
  <c r="C103" i="8" s="1"/>
  <c r="C102" i="8" s="1"/>
  <c r="C101" i="8" s="1"/>
  <c r="C100" i="8" s="1"/>
  <c r="C99" i="8" s="1"/>
  <c r="C98" i="8" s="1"/>
  <c r="C97" i="8" s="1"/>
  <c r="C96" i="8" s="1"/>
  <c r="C95" i="8" s="1"/>
  <c r="C94" i="8" s="1"/>
  <c r="C93" i="8" s="1"/>
  <c r="C92" i="8" s="1"/>
  <c r="C91" i="8" s="1"/>
  <c r="C90" i="8" s="1"/>
  <c r="C89" i="8" s="1"/>
  <c r="C88" i="8" s="1"/>
  <c r="C87" i="8" s="1"/>
  <c r="C86" i="8" s="1"/>
  <c r="C85" i="8" s="1"/>
  <c r="C84" i="8" s="1"/>
  <c r="C83" i="8" s="1"/>
  <c r="C82" i="8" s="1"/>
  <c r="C81" i="8" s="1"/>
  <c r="C80" i="8" s="1"/>
  <c r="C79" i="8" s="1"/>
  <c r="C78" i="8" s="1"/>
  <c r="C77" i="8" s="1"/>
  <c r="C76" i="8" s="1"/>
  <c r="C75" i="8" s="1"/>
  <c r="C74" i="8" s="1"/>
  <c r="C73" i="8" s="1"/>
  <c r="C72" i="8" s="1"/>
  <c r="C71" i="8" s="1"/>
  <c r="C70" i="8" s="1"/>
  <c r="C69" i="8" s="1"/>
  <c r="C68" i="8" s="1"/>
  <c r="C67" i="8" s="1"/>
  <c r="C66" i="8" s="1"/>
  <c r="C65" i="8" s="1"/>
  <c r="C64" i="8" s="1"/>
  <c r="C63" i="8" s="1"/>
  <c r="C62" i="8" s="1"/>
  <c r="C61" i="8" s="1"/>
  <c r="C60" i="8" s="1"/>
  <c r="C59" i="8" s="1"/>
  <c r="C58" i="8" s="1"/>
  <c r="C57" i="8" s="1"/>
  <c r="C56" i="8" s="1"/>
  <c r="C55" i="8" s="1"/>
  <c r="C54" i="8" s="1"/>
  <c r="C53" i="8" s="1"/>
  <c r="C52" i="8" s="1"/>
  <c r="C51" i="8" s="1"/>
  <c r="C50" i="8" s="1"/>
  <c r="C49" i="8" s="1"/>
  <c r="C48" i="8" s="1"/>
  <c r="C47" i="8" s="1"/>
  <c r="C46" i="8" s="1"/>
  <c r="C45" i="8" s="1"/>
  <c r="C44" i="8" s="1"/>
  <c r="C43" i="8" s="1"/>
  <c r="C42" i="8" s="1"/>
  <c r="C41" i="8" s="1"/>
  <c r="C40" i="8" s="1"/>
  <c r="C39" i="8" s="1"/>
  <c r="C38" i="8" s="1"/>
  <c r="C37" i="8" s="1"/>
  <c r="C36" i="8" s="1"/>
  <c r="C35" i="8" s="1"/>
  <c r="C34" i="8" s="1"/>
  <c r="C33" i="8" s="1"/>
  <c r="C32" i="8" s="1"/>
  <c r="C31" i="8" s="1"/>
  <c r="C30" i="8" s="1"/>
  <c r="C29" i="8" s="1"/>
  <c r="C28" i="8" s="1"/>
  <c r="C27" i="8" s="1"/>
  <c r="C26" i="8" s="1"/>
  <c r="C25" i="8" s="1"/>
  <c r="C24" i="8" s="1"/>
  <c r="C23" i="8" s="1"/>
  <c r="C22" i="8" s="1"/>
  <c r="C21" i="8" s="1"/>
  <c r="C20" i="8" s="1"/>
  <c r="C19" i="8" s="1"/>
  <c r="C18" i="8" s="1"/>
  <c r="C17" i="8" s="1"/>
  <c r="C16" i="8" s="1"/>
  <c r="C15" i="8" s="1"/>
  <c r="C14" i="8" s="1"/>
  <c r="C13" i="8" s="1"/>
  <c r="C12" i="8" s="1"/>
  <c r="C11" i="8" s="1"/>
  <c r="C10" i="8" s="1"/>
  <c r="C9" i="8" s="1"/>
  <c r="C8" i="8" s="1"/>
  <c r="C7" i="8" s="1"/>
  <c r="C6" i="8" s="1"/>
  <c r="C4" i="8" s="1"/>
  <c r="B182" i="2"/>
  <c r="D35" i="1"/>
  <c r="A37" i="16"/>
  <c r="B248" i="2"/>
  <c r="F33" i="2"/>
  <c r="C249" i="2"/>
  <c r="A38" i="16"/>
  <c r="B250" i="2"/>
  <c r="D37" i="16" s="1"/>
  <c r="D36" i="1"/>
  <c r="J14" i="20"/>
  <c r="B24" i="20"/>
  <c r="D24" i="20" s="1"/>
  <c r="J34" i="20"/>
  <c r="J104" i="20"/>
  <c r="J19" i="20"/>
  <c r="J47" i="20"/>
  <c r="J90" i="20"/>
  <c r="J52" i="20"/>
  <c r="J97" i="20"/>
  <c r="J8" i="20"/>
  <c r="J20" i="20"/>
  <c r="J81" i="20"/>
  <c r="J45" i="20"/>
  <c r="J69" i="20"/>
  <c r="E36" i="1"/>
  <c r="A251" i="2" s="1"/>
  <c r="B251" i="2"/>
  <c r="D38" i="16" s="1"/>
  <c r="B188" i="2"/>
  <c r="C251" i="2"/>
  <c r="B78" i="2"/>
  <c r="B54" i="2"/>
  <c r="B20" i="2"/>
  <c r="G91" i="2" s="1"/>
  <c r="J70" i="20"/>
  <c r="J98" i="20"/>
  <c r="J72" i="20"/>
  <c r="J84" i="20"/>
  <c r="J62" i="20"/>
  <c r="F91" i="2"/>
  <c r="B91" i="2"/>
  <c r="B83" i="2"/>
  <c r="J75" i="20"/>
  <c r="J26" i="20"/>
  <c r="J35" i="20"/>
  <c r="J40" i="20"/>
  <c r="J17" i="20"/>
  <c r="J71" i="20"/>
  <c r="J30" i="20"/>
  <c r="J73" i="20"/>
  <c r="J22" i="20"/>
  <c r="J102" i="20"/>
  <c r="J43" i="20"/>
  <c r="J106" i="20"/>
  <c r="J42" i="20"/>
  <c r="J51" i="20"/>
  <c r="J15" i="20"/>
  <c r="J50" i="20"/>
  <c r="J67" i="20"/>
  <c r="J61" i="20"/>
  <c r="J11" i="20"/>
  <c r="J80" i="20"/>
  <c r="J48" i="20"/>
  <c r="J16" i="20"/>
  <c r="J63" i="20"/>
  <c r="J85" i="20"/>
  <c r="J25" i="20"/>
  <c r="J92" i="20"/>
  <c r="J60" i="20"/>
  <c r="J28" i="20"/>
  <c r="J87" i="20"/>
  <c r="J27" i="20"/>
  <c r="J9" i="20"/>
  <c r="J59" i="20"/>
  <c r="J78" i="20"/>
  <c r="J86" i="20"/>
  <c r="J6" i="20"/>
  <c r="J38" i="20"/>
  <c r="J49" i="20"/>
  <c r="J74" i="20"/>
  <c r="J10" i="20"/>
  <c r="J65" i="20"/>
  <c r="J82" i="20"/>
  <c r="J18" i="20"/>
  <c r="J93" i="20"/>
  <c r="J31" i="20"/>
  <c r="J96" i="20"/>
  <c r="J64" i="20"/>
  <c r="J32" i="20"/>
  <c r="J95" i="20"/>
  <c r="J29" i="20"/>
  <c r="J53" i="20"/>
  <c r="J7" i="20"/>
  <c r="J76" i="20"/>
  <c r="J44" i="20"/>
  <c r="J12" i="20"/>
  <c r="J55" i="20"/>
  <c r="J57" i="20"/>
  <c r="J91" i="20"/>
  <c r="J13" i="20"/>
  <c r="J54" i="20"/>
  <c r="J41" i="20"/>
  <c r="J105" i="20"/>
  <c r="J23" i="20"/>
  <c r="J58" i="20"/>
  <c r="J83" i="20"/>
  <c r="J33" i="20"/>
  <c r="J66" i="20"/>
  <c r="J99" i="20"/>
  <c r="J77" i="20"/>
  <c r="J21" i="20"/>
  <c r="J88" i="20"/>
  <c r="J56" i="20"/>
  <c r="J24" i="20"/>
  <c r="J79" i="20"/>
  <c r="J101" i="20"/>
  <c r="J37" i="20"/>
  <c r="J100" i="20"/>
  <c r="J68" i="20"/>
  <c r="J36" i="20"/>
  <c r="J103" i="20"/>
  <c r="J39" i="20"/>
  <c r="J46" i="20"/>
  <c r="J89" i="20"/>
  <c r="B255" i="2"/>
  <c r="D36" i="16" s="1"/>
  <c r="E13" i="1"/>
  <c r="C36" i="16" s="1"/>
  <c r="F89" i="2"/>
  <c r="B95" i="2"/>
  <c r="B102" i="2"/>
  <c r="B141" i="2"/>
  <c r="B142" i="2" s="1"/>
  <c r="E29" i="1" s="1"/>
  <c r="I7" i="20"/>
  <c r="I10" i="20"/>
  <c r="I14" i="20"/>
  <c r="I18" i="20"/>
  <c r="I22" i="20"/>
  <c r="I26" i="20"/>
  <c r="I30" i="20"/>
  <c r="I34" i="20"/>
  <c r="I38" i="20"/>
  <c r="I42" i="20"/>
  <c r="I46" i="20"/>
  <c r="I50" i="20"/>
  <c r="I54" i="20"/>
  <c r="I58" i="20"/>
  <c r="I62" i="20"/>
  <c r="I66" i="20"/>
  <c r="I70" i="20"/>
  <c r="I74" i="20"/>
  <c r="I78" i="20"/>
  <c r="I82" i="20"/>
  <c r="I86" i="20"/>
  <c r="I90" i="20"/>
  <c r="I94" i="20"/>
  <c r="I98" i="20"/>
  <c r="I102" i="20"/>
  <c r="I106" i="20"/>
  <c r="I11" i="20"/>
  <c r="I15" i="20"/>
  <c r="I19" i="20"/>
  <c r="I23" i="20"/>
  <c r="I27" i="20"/>
  <c r="I31" i="20"/>
  <c r="I35" i="20"/>
  <c r="I39" i="20"/>
  <c r="I43" i="20"/>
  <c r="I47" i="20"/>
  <c r="I51" i="20"/>
  <c r="I55" i="20"/>
  <c r="I59" i="20"/>
  <c r="I63" i="20"/>
  <c r="I67" i="20"/>
  <c r="I71" i="20"/>
  <c r="I8" i="20"/>
  <c r="I12" i="20"/>
  <c r="I16" i="20"/>
  <c r="I20" i="20"/>
  <c r="I24" i="20"/>
  <c r="I28" i="20"/>
  <c r="I32" i="20"/>
  <c r="I36" i="20"/>
  <c r="I40" i="20"/>
  <c r="I44" i="20"/>
  <c r="I48" i="20"/>
  <c r="I52" i="20"/>
  <c r="I56" i="20"/>
  <c r="I60" i="20"/>
  <c r="I64" i="20"/>
  <c r="I68" i="20"/>
  <c r="I72" i="20"/>
  <c r="I76" i="20"/>
  <c r="I80" i="20"/>
  <c r="I84" i="20"/>
  <c r="I88" i="20"/>
  <c r="I92" i="20"/>
  <c r="I96" i="20"/>
  <c r="I100" i="20"/>
  <c r="I104" i="20"/>
  <c r="I9" i="20"/>
  <c r="I13" i="20"/>
  <c r="I17" i="20"/>
  <c r="I21" i="20"/>
  <c r="I25" i="20"/>
  <c r="I29" i="20"/>
  <c r="I33" i="20"/>
  <c r="I37" i="20"/>
  <c r="I41" i="20"/>
  <c r="I45" i="20"/>
  <c r="I49" i="20"/>
  <c r="I53" i="20"/>
  <c r="I57" i="20"/>
  <c r="I61" i="20"/>
  <c r="I65" i="20"/>
  <c r="I69" i="20"/>
  <c r="I73" i="20"/>
  <c r="I77" i="20"/>
  <c r="I81" i="20"/>
  <c r="I85" i="20"/>
  <c r="I79" i="20"/>
  <c r="I91" i="20"/>
  <c r="I99" i="20"/>
  <c r="I6" i="20"/>
  <c r="I83" i="20"/>
  <c r="I93" i="20"/>
  <c r="I101" i="20"/>
  <c r="I87" i="20"/>
  <c r="I95" i="20"/>
  <c r="I103" i="20"/>
  <c r="I75" i="20"/>
  <c r="I89" i="20"/>
  <c r="I97" i="20"/>
  <c r="I105" i="20"/>
  <c r="B89" i="2"/>
  <c r="I7" i="19"/>
  <c r="I11" i="19"/>
  <c r="I15" i="19"/>
  <c r="I19" i="19"/>
  <c r="I23" i="19"/>
  <c r="I27" i="19"/>
  <c r="I31" i="19"/>
  <c r="I35" i="19"/>
  <c r="I39" i="19"/>
  <c r="I43" i="19"/>
  <c r="I47" i="19"/>
  <c r="I51" i="19"/>
  <c r="I55" i="19"/>
  <c r="I59" i="19"/>
  <c r="I63" i="19"/>
  <c r="I67" i="19"/>
  <c r="I71" i="19"/>
  <c r="I75" i="19"/>
  <c r="I79" i="19"/>
  <c r="I83" i="19"/>
  <c r="I87" i="19"/>
  <c r="I91" i="19"/>
  <c r="I95" i="19"/>
  <c r="I99" i="19"/>
  <c r="I103" i="19"/>
  <c r="I6" i="19"/>
  <c r="I9" i="19"/>
  <c r="I13" i="19"/>
  <c r="I17" i="19"/>
  <c r="I21" i="19"/>
  <c r="I25" i="19"/>
  <c r="I29" i="19"/>
  <c r="I33" i="19"/>
  <c r="I37" i="19"/>
  <c r="I41" i="19"/>
  <c r="I45" i="19"/>
  <c r="I49" i="19"/>
  <c r="I53" i="19"/>
  <c r="I57" i="19"/>
  <c r="I61" i="19"/>
  <c r="I65" i="19"/>
  <c r="I69" i="19"/>
  <c r="I73" i="19"/>
  <c r="I77" i="19"/>
  <c r="I81" i="19"/>
  <c r="I85" i="19"/>
  <c r="I89" i="19"/>
  <c r="I93" i="19"/>
  <c r="I97" i="19"/>
  <c r="I101" i="19"/>
  <c r="I105" i="19"/>
  <c r="I10" i="19"/>
  <c r="I18" i="19"/>
  <c r="I26" i="19"/>
  <c r="I34" i="19"/>
  <c r="I42" i="19"/>
  <c r="I50" i="19"/>
  <c r="I58" i="19"/>
  <c r="I66" i="19"/>
  <c r="I74" i="19"/>
  <c r="I82" i="19"/>
  <c r="I90" i="19"/>
  <c r="I98" i="19"/>
  <c r="I106" i="19"/>
  <c r="I14" i="19"/>
  <c r="I22" i="19"/>
  <c r="I30" i="19"/>
  <c r="I38" i="19"/>
  <c r="I46" i="19"/>
  <c r="I54" i="19"/>
  <c r="I62" i="19"/>
  <c r="I70" i="19"/>
  <c r="I78" i="19"/>
  <c r="I86" i="19"/>
  <c r="I94" i="19"/>
  <c r="I102" i="19"/>
  <c r="I20" i="19"/>
  <c r="I36" i="19"/>
  <c r="I52" i="19"/>
  <c r="I68" i="19"/>
  <c r="I84" i="19"/>
  <c r="I100" i="19"/>
  <c r="I8" i="19"/>
  <c r="I24" i="19"/>
  <c r="I40" i="19"/>
  <c r="I56" i="19"/>
  <c r="I72" i="19"/>
  <c r="I88" i="19"/>
  <c r="I104" i="19"/>
  <c r="I12" i="19"/>
  <c r="I28" i="19"/>
  <c r="I44" i="19"/>
  <c r="I60" i="19"/>
  <c r="I76" i="19"/>
  <c r="I92" i="19"/>
  <c r="I16" i="19"/>
  <c r="I32" i="19"/>
  <c r="I48" i="19"/>
  <c r="I64" i="19"/>
  <c r="I80" i="19"/>
  <c r="I96" i="19"/>
  <c r="B18" i="19"/>
  <c r="D18" i="19" s="1"/>
  <c r="D21" i="19"/>
  <c r="B21" i="19"/>
  <c r="P2" i="20"/>
  <c r="N105" i="20" l="1"/>
  <c r="N93" i="20"/>
  <c r="N77" i="20"/>
  <c r="N61" i="20"/>
  <c r="N45" i="20"/>
  <c r="N29" i="20"/>
  <c r="N13" i="20"/>
  <c r="N19" i="20"/>
  <c r="N102" i="20"/>
  <c r="N86" i="20"/>
  <c r="N54" i="20"/>
  <c r="N22" i="20"/>
  <c r="N7" i="20"/>
  <c r="AL2" i="19"/>
  <c r="AO2" i="20"/>
  <c r="G170" i="2"/>
  <c r="C264" i="2"/>
  <c r="D43" i="16" s="1"/>
  <c r="B174" i="2"/>
  <c r="H264" i="2"/>
  <c r="C43" i="16" s="1"/>
  <c r="F170" i="2"/>
  <c r="B264" i="2"/>
  <c r="F264" i="2"/>
  <c r="E45" i="1" s="1"/>
  <c r="A228" i="2" s="1"/>
  <c r="B227" i="2"/>
  <c r="D42" i="16"/>
  <c r="K109" i="2"/>
  <c r="B109" i="2"/>
  <c r="B85" i="2"/>
  <c r="B148" i="2"/>
  <c r="K46" i="16"/>
  <c r="M46" i="16" s="1"/>
  <c r="B233" i="2"/>
  <c r="A233" i="2"/>
  <c r="E39" i="1"/>
  <c r="N52" i="20"/>
  <c r="K27" i="2"/>
  <c r="A2" i="21" s="1"/>
  <c r="K31" i="2"/>
  <c r="K25" i="2"/>
  <c r="B103" i="2"/>
  <c r="N6" i="20"/>
  <c r="N85" i="20"/>
  <c r="N69" i="20"/>
  <c r="N53" i="20"/>
  <c r="N37" i="20"/>
  <c r="N21" i="20"/>
  <c r="N59" i="20"/>
  <c r="N43" i="20"/>
  <c r="N27" i="20"/>
  <c r="N11" i="20"/>
  <c r="N78" i="20"/>
  <c r="N46" i="20"/>
  <c r="N30" i="20"/>
  <c r="N14" i="20"/>
  <c r="N84" i="20"/>
  <c r="N55" i="20"/>
  <c r="N75" i="20"/>
  <c r="N65" i="20"/>
  <c r="N20" i="20"/>
  <c r="N9" i="20"/>
  <c r="N50" i="20"/>
  <c r="N68" i="20"/>
  <c r="N97" i="20"/>
  <c r="N70" i="20"/>
  <c r="N100" i="20"/>
  <c r="N36" i="20"/>
  <c r="N33" i="20"/>
  <c r="N39" i="20"/>
  <c r="N82" i="20"/>
  <c r="N51" i="20"/>
  <c r="N76" i="20"/>
  <c r="N44" i="20"/>
  <c r="N12" i="20"/>
  <c r="N49" i="20"/>
  <c r="N31" i="20"/>
  <c r="N94" i="20"/>
  <c r="N18" i="20"/>
  <c r="N92" i="20"/>
  <c r="N60" i="20"/>
  <c r="N28" i="20"/>
  <c r="N81" i="20"/>
  <c r="N17" i="20"/>
  <c r="N79" i="20"/>
  <c r="B19" i="20"/>
  <c r="D19" i="20" s="1"/>
  <c r="L104" i="20" s="1"/>
  <c r="N38" i="20"/>
  <c r="N62" i="20"/>
  <c r="N66" i="20"/>
  <c r="N91" i="20"/>
  <c r="N35" i="20"/>
  <c r="N96" i="20"/>
  <c r="N80" i="20"/>
  <c r="N64" i="20"/>
  <c r="N48" i="20"/>
  <c r="N32" i="20"/>
  <c r="N16" i="20"/>
  <c r="N89" i="20"/>
  <c r="N57" i="20"/>
  <c r="N25" i="20"/>
  <c r="N71" i="20"/>
  <c r="N106" i="20"/>
  <c r="N74" i="20"/>
  <c r="N42" i="20"/>
  <c r="N10" i="20"/>
  <c r="B18" i="20"/>
  <c r="N87" i="20"/>
  <c r="N103" i="20"/>
  <c r="N99" i="20"/>
  <c r="N98" i="20"/>
  <c r="N34" i="20"/>
  <c r="N67" i="20"/>
  <c r="N104" i="20"/>
  <c r="N88" i="20"/>
  <c r="N72" i="20"/>
  <c r="N56" i="20"/>
  <c r="N40" i="20"/>
  <c r="N24" i="20"/>
  <c r="N8" i="20"/>
  <c r="N73" i="20"/>
  <c r="N41" i="20"/>
  <c r="B87" i="2"/>
  <c r="F90" i="2"/>
  <c r="B120" i="2"/>
  <c r="F258" i="2" s="1"/>
  <c r="B144" i="2"/>
  <c r="B146" i="2" s="1"/>
  <c r="B119" i="2"/>
  <c r="B128" i="2" s="1"/>
  <c r="B82" i="2"/>
  <c r="B110" i="2" s="1"/>
  <c r="B134" i="2"/>
  <c r="E28" i="1" s="1"/>
  <c r="B90" i="2"/>
  <c r="B93" i="2" s="1"/>
  <c r="E21" i="1" s="1"/>
  <c r="AV48" i="19"/>
  <c r="AV76" i="19"/>
  <c r="AV12" i="19"/>
  <c r="G89" i="19"/>
  <c r="AV56" i="19"/>
  <c r="G64" i="19"/>
  <c r="AV100" i="19"/>
  <c r="AV36" i="19"/>
  <c r="AV86" i="19"/>
  <c r="AV54" i="19"/>
  <c r="AV22" i="19"/>
  <c r="AV90" i="19"/>
  <c r="AV58" i="19"/>
  <c r="AV26" i="19"/>
  <c r="AV101" i="19"/>
  <c r="AV85" i="19"/>
  <c r="AV69" i="19"/>
  <c r="AV53" i="19"/>
  <c r="AV37" i="19"/>
  <c r="AV21" i="19"/>
  <c r="AV6" i="19"/>
  <c r="AV91" i="19"/>
  <c r="AV75" i="19"/>
  <c r="AV59" i="19"/>
  <c r="AV43" i="19"/>
  <c r="AV27" i="19"/>
  <c r="AV11" i="19"/>
  <c r="O97" i="20"/>
  <c r="AT97" i="20"/>
  <c r="BI97" i="20"/>
  <c r="BK97" i="19" s="1"/>
  <c r="O95" i="20"/>
  <c r="AT95" i="20"/>
  <c r="BI95" i="20"/>
  <c r="BK95" i="19" s="1"/>
  <c r="O83" i="20"/>
  <c r="AT83" i="20"/>
  <c r="BI83" i="20"/>
  <c r="BK83" i="19" s="1"/>
  <c r="O79" i="20"/>
  <c r="AT79" i="20"/>
  <c r="BI79" i="20"/>
  <c r="BK79" i="19" s="1"/>
  <c r="O73" i="20"/>
  <c r="BI73" i="20"/>
  <c r="BK73" i="19" s="1"/>
  <c r="AT73" i="20"/>
  <c r="O57" i="20"/>
  <c r="AT57" i="20"/>
  <c r="BI57" i="20"/>
  <c r="BK57" i="19" s="1"/>
  <c r="O41" i="20"/>
  <c r="AT41" i="20"/>
  <c r="BI41" i="20"/>
  <c r="BK41" i="19" s="1"/>
  <c r="O25" i="20"/>
  <c r="BI25" i="20"/>
  <c r="BK25" i="19" s="1"/>
  <c r="AT25" i="20"/>
  <c r="O9" i="20"/>
  <c r="BI9" i="20"/>
  <c r="BK9" i="19" s="1"/>
  <c r="AT9" i="20"/>
  <c r="O92" i="20"/>
  <c r="BI92" i="20"/>
  <c r="BK92" i="19" s="1"/>
  <c r="AT92" i="20"/>
  <c r="O76" i="20"/>
  <c r="BI76" i="20"/>
  <c r="BK76" i="19" s="1"/>
  <c r="AT76" i="20"/>
  <c r="O60" i="20"/>
  <c r="BI60" i="20"/>
  <c r="BK60" i="19" s="1"/>
  <c r="AT60" i="20"/>
  <c r="O44" i="20"/>
  <c r="BI44" i="20"/>
  <c r="BK44" i="19" s="1"/>
  <c r="AT44" i="20"/>
  <c r="O28" i="20"/>
  <c r="AT28" i="20"/>
  <c r="BI28" i="20"/>
  <c r="BK28" i="19" s="1"/>
  <c r="O12" i="20"/>
  <c r="AT12" i="20"/>
  <c r="BI12" i="20"/>
  <c r="BK12" i="19" s="1"/>
  <c r="O63" i="20"/>
  <c r="AT63" i="20"/>
  <c r="BI63" i="20"/>
  <c r="BK63" i="19" s="1"/>
  <c r="O47" i="20"/>
  <c r="AT47" i="20"/>
  <c r="BI47" i="20"/>
  <c r="BK47" i="19" s="1"/>
  <c r="O31" i="20"/>
  <c r="BI31" i="20"/>
  <c r="BK31" i="19" s="1"/>
  <c r="AT31" i="20"/>
  <c r="O15" i="20"/>
  <c r="AT15" i="20"/>
  <c r="BI15" i="20"/>
  <c r="BK15" i="19" s="1"/>
  <c r="O98" i="20"/>
  <c r="AT98" i="20"/>
  <c r="BI98" i="20"/>
  <c r="BK98" i="19" s="1"/>
  <c r="O82" i="20"/>
  <c r="AT82" i="20"/>
  <c r="BI82" i="20"/>
  <c r="BK82" i="19" s="1"/>
  <c r="O66" i="20"/>
  <c r="AT66" i="20"/>
  <c r="BI66" i="20"/>
  <c r="BK66" i="19" s="1"/>
  <c r="O50" i="20"/>
  <c r="BI50" i="20"/>
  <c r="BK50" i="19" s="1"/>
  <c r="AT50" i="20"/>
  <c r="O34" i="20"/>
  <c r="AT34" i="20"/>
  <c r="BI34" i="20"/>
  <c r="BK34" i="19" s="1"/>
  <c r="O18" i="20"/>
  <c r="BI18" i="20"/>
  <c r="AT18" i="20"/>
  <c r="N15" i="20"/>
  <c r="N95" i="20"/>
  <c r="AV96" i="19"/>
  <c r="AV32" i="19"/>
  <c r="AV60" i="19"/>
  <c r="AV104" i="19"/>
  <c r="AV40" i="19"/>
  <c r="AV84" i="19"/>
  <c r="AV20" i="19"/>
  <c r="AV78" i="19"/>
  <c r="AV46" i="19"/>
  <c r="AV14" i="19"/>
  <c r="AV82" i="19"/>
  <c r="AV50" i="19"/>
  <c r="BK18" i="19"/>
  <c r="AV18" i="19"/>
  <c r="AV97" i="19"/>
  <c r="G65" i="19"/>
  <c r="G90" i="19"/>
  <c r="AV81" i="19"/>
  <c r="AV65" i="19"/>
  <c r="AV49" i="19"/>
  <c r="AV33" i="19"/>
  <c r="AV17" i="19"/>
  <c r="AV103" i="19"/>
  <c r="AV87" i="19"/>
  <c r="AV71" i="19"/>
  <c r="AV55" i="19"/>
  <c r="AV39" i="19"/>
  <c r="AV23" i="19"/>
  <c r="AV7" i="19"/>
  <c r="O89" i="20"/>
  <c r="AT89" i="20"/>
  <c r="BI89" i="20"/>
  <c r="BK89" i="19" s="1"/>
  <c r="O87" i="20"/>
  <c r="AT87" i="20"/>
  <c r="BI87" i="20"/>
  <c r="BK87" i="19" s="1"/>
  <c r="O6" i="20"/>
  <c r="AT6" i="20"/>
  <c r="BI6" i="20"/>
  <c r="BK6" i="19" s="1"/>
  <c r="O85" i="20"/>
  <c r="AT85" i="20"/>
  <c r="BI85" i="20"/>
  <c r="BK85" i="19" s="1"/>
  <c r="O69" i="20"/>
  <c r="AT69" i="20"/>
  <c r="BI69" i="20"/>
  <c r="BK69" i="19" s="1"/>
  <c r="O53" i="20"/>
  <c r="BI53" i="20"/>
  <c r="BK53" i="19" s="1"/>
  <c r="AT53" i="20"/>
  <c r="O37" i="20"/>
  <c r="BI37" i="20"/>
  <c r="BK37" i="19" s="1"/>
  <c r="AT37" i="20"/>
  <c r="O21" i="20"/>
  <c r="AT21" i="20"/>
  <c r="BI21" i="20"/>
  <c r="BK21" i="19" s="1"/>
  <c r="O104" i="20"/>
  <c r="AT104" i="20"/>
  <c r="BI104" i="20"/>
  <c r="BK104" i="19" s="1"/>
  <c r="O88" i="20"/>
  <c r="AT88" i="20"/>
  <c r="BI88" i="20"/>
  <c r="BK88" i="19" s="1"/>
  <c r="O72" i="20"/>
  <c r="AT72" i="20"/>
  <c r="BI72" i="20"/>
  <c r="BK72" i="19" s="1"/>
  <c r="O56" i="20"/>
  <c r="G67" i="20"/>
  <c r="AT56" i="20"/>
  <c r="BI56" i="20"/>
  <c r="BK56" i="19" s="1"/>
  <c r="G95" i="20"/>
  <c r="O40" i="20"/>
  <c r="AT40" i="20"/>
  <c r="BI40" i="20"/>
  <c r="BK40" i="19" s="1"/>
  <c r="O24" i="20"/>
  <c r="AT24" i="20"/>
  <c r="BI24" i="20"/>
  <c r="BK24" i="19" s="1"/>
  <c r="O8" i="20"/>
  <c r="BI8" i="20"/>
  <c r="BK8" i="19" s="1"/>
  <c r="AT8" i="20"/>
  <c r="O59" i="20"/>
  <c r="AT59" i="20"/>
  <c r="BI59" i="20"/>
  <c r="BK59" i="19" s="1"/>
  <c r="O43" i="20"/>
  <c r="AT43" i="20"/>
  <c r="BI43" i="20"/>
  <c r="BK43" i="19" s="1"/>
  <c r="O27" i="20"/>
  <c r="AT27" i="20"/>
  <c r="BI27" i="20"/>
  <c r="BK27" i="19" s="1"/>
  <c r="O11" i="20"/>
  <c r="AT11" i="20"/>
  <c r="BI11" i="20"/>
  <c r="BK11" i="19" s="1"/>
  <c r="O94" i="20"/>
  <c r="AT94" i="20"/>
  <c r="BI94" i="20"/>
  <c r="BK94" i="19" s="1"/>
  <c r="O78" i="20"/>
  <c r="BI78" i="20"/>
  <c r="BK78" i="19" s="1"/>
  <c r="AT78" i="20"/>
  <c r="O62" i="20"/>
  <c r="AT62" i="20"/>
  <c r="BI62" i="20"/>
  <c r="BK62" i="19" s="1"/>
  <c r="O46" i="20"/>
  <c r="AT46" i="20"/>
  <c r="BI46" i="20"/>
  <c r="BK46" i="19" s="1"/>
  <c r="O30" i="20"/>
  <c r="AT30" i="20"/>
  <c r="BI30" i="20"/>
  <c r="BK30" i="19" s="1"/>
  <c r="O14" i="20"/>
  <c r="BI14" i="20"/>
  <c r="BK14" i="19" s="1"/>
  <c r="AT14" i="20"/>
  <c r="AV80" i="19"/>
  <c r="AV16" i="19"/>
  <c r="AV44" i="19"/>
  <c r="AV88" i="19"/>
  <c r="AV24" i="19"/>
  <c r="AV68" i="19"/>
  <c r="AV102" i="19"/>
  <c r="AV70" i="19"/>
  <c r="AV38" i="19"/>
  <c r="G91" i="19"/>
  <c r="AV106" i="19"/>
  <c r="G66" i="19"/>
  <c r="AV74" i="19"/>
  <c r="AV42" i="19"/>
  <c r="AV10" i="19"/>
  <c r="AV93" i="19"/>
  <c r="AV77" i="19"/>
  <c r="AV61" i="19"/>
  <c r="AV45" i="19"/>
  <c r="AV29" i="19"/>
  <c r="AV13" i="19"/>
  <c r="AV99" i="19"/>
  <c r="AV83" i="19"/>
  <c r="AV67" i="19"/>
  <c r="AV51" i="19"/>
  <c r="AV35" i="19"/>
  <c r="AV19" i="19"/>
  <c r="O75" i="20"/>
  <c r="AT75" i="20"/>
  <c r="BI75" i="20"/>
  <c r="BK75" i="19" s="1"/>
  <c r="O101" i="20"/>
  <c r="AT101" i="20"/>
  <c r="BI101" i="20"/>
  <c r="BK101" i="19" s="1"/>
  <c r="O99" i="20"/>
  <c r="AT99" i="20"/>
  <c r="BI99" i="20"/>
  <c r="BK99" i="19" s="1"/>
  <c r="O81" i="20"/>
  <c r="AT81" i="20"/>
  <c r="G96" i="20"/>
  <c r="BI81" i="20"/>
  <c r="BK81" i="19" s="1"/>
  <c r="G68" i="20"/>
  <c r="O65" i="20"/>
  <c r="AT65" i="20"/>
  <c r="BI65" i="20"/>
  <c r="BK65" i="19" s="1"/>
  <c r="O49" i="20"/>
  <c r="BI49" i="20"/>
  <c r="BK49" i="19" s="1"/>
  <c r="AT49" i="20"/>
  <c r="O33" i="20"/>
  <c r="BI33" i="20"/>
  <c r="BK33" i="19" s="1"/>
  <c r="AT33" i="20"/>
  <c r="O17" i="20"/>
  <c r="AT17" i="20"/>
  <c r="BI17" i="20"/>
  <c r="BK17" i="19" s="1"/>
  <c r="O100" i="20"/>
  <c r="AT100" i="20"/>
  <c r="BI100" i="20"/>
  <c r="BK100" i="19" s="1"/>
  <c r="O84" i="20"/>
  <c r="BI84" i="20"/>
  <c r="BK84" i="19" s="1"/>
  <c r="AT84" i="20"/>
  <c r="O68" i="20"/>
  <c r="BI68" i="20"/>
  <c r="BK68" i="19" s="1"/>
  <c r="AT68" i="20"/>
  <c r="O52" i="20"/>
  <c r="BI52" i="20"/>
  <c r="BK52" i="19" s="1"/>
  <c r="AT52" i="20"/>
  <c r="O36" i="20"/>
  <c r="AT36" i="20"/>
  <c r="BI36" i="20"/>
  <c r="BK36" i="19" s="1"/>
  <c r="O20" i="20"/>
  <c r="BI20" i="20"/>
  <c r="BK20" i="19" s="1"/>
  <c r="AT20" i="20"/>
  <c r="O71" i="20"/>
  <c r="AT71" i="20"/>
  <c r="BI71" i="20"/>
  <c r="BK71" i="19" s="1"/>
  <c r="O55" i="20"/>
  <c r="BI55" i="20"/>
  <c r="BK55" i="19" s="1"/>
  <c r="AT55" i="20"/>
  <c r="O39" i="20"/>
  <c r="AT39" i="20"/>
  <c r="BI39" i="20"/>
  <c r="BK39" i="19" s="1"/>
  <c r="O23" i="20"/>
  <c r="AT23" i="20"/>
  <c r="BI23" i="20"/>
  <c r="BK23" i="19" s="1"/>
  <c r="O106" i="20"/>
  <c r="N109" i="20" s="1"/>
  <c r="AT106" i="20"/>
  <c r="G69" i="20"/>
  <c r="BI106" i="20"/>
  <c r="BK106" i="19" s="1"/>
  <c r="G97" i="20"/>
  <c r="O90" i="20"/>
  <c r="AT90" i="20"/>
  <c r="BI90" i="20"/>
  <c r="BK90" i="19" s="1"/>
  <c r="O74" i="20"/>
  <c r="AT74" i="20"/>
  <c r="BI74" i="20"/>
  <c r="BK74" i="19" s="1"/>
  <c r="O58" i="20"/>
  <c r="AT58" i="20"/>
  <c r="BI58" i="20"/>
  <c r="BK58" i="19" s="1"/>
  <c r="O42" i="20"/>
  <c r="BI42" i="20"/>
  <c r="BK42" i="19" s="1"/>
  <c r="AT42" i="20"/>
  <c r="O26" i="20"/>
  <c r="AT26" i="20"/>
  <c r="BI26" i="20"/>
  <c r="BK26" i="19" s="1"/>
  <c r="O10" i="20"/>
  <c r="BI10" i="20"/>
  <c r="BK10" i="19" s="1"/>
  <c r="AT10" i="20"/>
  <c r="B195" i="2"/>
  <c r="H192" i="2"/>
  <c r="B193" i="2"/>
  <c r="N47" i="20"/>
  <c r="N63" i="20"/>
  <c r="N23" i="20"/>
  <c r="N90" i="20"/>
  <c r="AO90" i="20" s="1"/>
  <c r="N58" i="20"/>
  <c r="N26" i="20"/>
  <c r="N83" i="20"/>
  <c r="AO83" i="20" s="1"/>
  <c r="N101" i="20"/>
  <c r="AV64" i="19"/>
  <c r="AV92" i="19"/>
  <c r="AV28" i="19"/>
  <c r="AV72" i="19"/>
  <c r="AV8" i="19"/>
  <c r="AV52" i="19"/>
  <c r="AV94" i="19"/>
  <c r="AV62" i="19"/>
  <c r="AV30" i="19"/>
  <c r="AV98" i="19"/>
  <c r="AV66" i="19"/>
  <c r="AV34" i="19"/>
  <c r="AV105" i="19"/>
  <c r="AV89" i="19"/>
  <c r="AV73" i="19"/>
  <c r="AV57" i="19"/>
  <c r="AV41" i="19"/>
  <c r="AV25" i="19"/>
  <c r="AV9" i="19"/>
  <c r="AV95" i="19"/>
  <c r="AV79" i="19"/>
  <c r="AV63" i="19"/>
  <c r="AV47" i="19"/>
  <c r="AV31" i="19"/>
  <c r="AV15" i="19"/>
  <c r="O105" i="20"/>
  <c r="AT105" i="20"/>
  <c r="BI105" i="20"/>
  <c r="BK105" i="19" s="1"/>
  <c r="O103" i="20"/>
  <c r="AT103" i="20"/>
  <c r="BI103" i="20"/>
  <c r="BK103" i="19" s="1"/>
  <c r="O93" i="20"/>
  <c r="BI93" i="20"/>
  <c r="BK93" i="19" s="1"/>
  <c r="AT93" i="20"/>
  <c r="O91" i="20"/>
  <c r="AT91" i="20"/>
  <c r="BI91" i="20"/>
  <c r="BK91" i="19" s="1"/>
  <c r="O77" i="20"/>
  <c r="BI77" i="20"/>
  <c r="BK77" i="19" s="1"/>
  <c r="AT77" i="20"/>
  <c r="O61" i="20"/>
  <c r="BI61" i="20"/>
  <c r="BK61" i="19" s="1"/>
  <c r="AT61" i="20"/>
  <c r="O45" i="20"/>
  <c r="BI45" i="20"/>
  <c r="BK45" i="19" s="1"/>
  <c r="AT45" i="20"/>
  <c r="O29" i="20"/>
  <c r="M29" i="20" s="1"/>
  <c r="AT29" i="20"/>
  <c r="BI29" i="20"/>
  <c r="BK29" i="19" s="1"/>
  <c r="O13" i="20"/>
  <c r="AT13" i="20"/>
  <c r="BI13" i="20"/>
  <c r="BK13" i="19" s="1"/>
  <c r="O96" i="20"/>
  <c r="AT96" i="20"/>
  <c r="BI96" i="20"/>
  <c r="BK96" i="19" s="1"/>
  <c r="O80" i="20"/>
  <c r="AT80" i="20"/>
  <c r="BI80" i="20"/>
  <c r="BK80" i="19" s="1"/>
  <c r="O64" i="20"/>
  <c r="AT64" i="20"/>
  <c r="BI64" i="20"/>
  <c r="BK64" i="19" s="1"/>
  <c r="O48" i="20"/>
  <c r="AT48" i="20"/>
  <c r="BI48" i="20"/>
  <c r="BK48" i="19" s="1"/>
  <c r="O32" i="20"/>
  <c r="BI32" i="20"/>
  <c r="BK32" i="19" s="1"/>
  <c r="AT32" i="20"/>
  <c r="O16" i="20"/>
  <c r="BI16" i="20"/>
  <c r="BK16" i="19" s="1"/>
  <c r="AT16" i="20"/>
  <c r="O67" i="20"/>
  <c r="BI67" i="20"/>
  <c r="BK67" i="19" s="1"/>
  <c r="AT67" i="20"/>
  <c r="O51" i="20"/>
  <c r="AT51" i="20"/>
  <c r="BI51" i="20"/>
  <c r="BK51" i="19" s="1"/>
  <c r="O35" i="20"/>
  <c r="AT35" i="20"/>
  <c r="BI35" i="20"/>
  <c r="BK35" i="19" s="1"/>
  <c r="O19" i="20"/>
  <c r="AT19" i="20"/>
  <c r="BI19" i="20"/>
  <c r="BK19" i="19" s="1"/>
  <c r="O102" i="20"/>
  <c r="AT102" i="20"/>
  <c r="BI102" i="20"/>
  <c r="BK102" i="19" s="1"/>
  <c r="O86" i="20"/>
  <c r="AT86" i="20"/>
  <c r="BI86" i="20"/>
  <c r="BK86" i="19" s="1"/>
  <c r="O70" i="20"/>
  <c r="BI70" i="20"/>
  <c r="BK70" i="19" s="1"/>
  <c r="AT70" i="20"/>
  <c r="O54" i="20"/>
  <c r="BI54" i="20"/>
  <c r="BK54" i="19" s="1"/>
  <c r="AT54" i="20"/>
  <c r="O38" i="20"/>
  <c r="AT38" i="20"/>
  <c r="BI38" i="20"/>
  <c r="BK38" i="19" s="1"/>
  <c r="O22" i="20"/>
  <c r="AT22" i="20"/>
  <c r="BI22" i="20"/>
  <c r="BK22" i="19" s="1"/>
  <c r="AT7" i="20"/>
  <c r="O7" i="20"/>
  <c r="P7" i="20" s="1"/>
  <c r="BI7" i="20"/>
  <c r="BK7" i="19" s="1"/>
  <c r="J21" i="19"/>
  <c r="M21" i="19" s="1"/>
  <c r="O21" i="19" s="1"/>
  <c r="S21" i="19" s="1"/>
  <c r="T21" i="19" s="1"/>
  <c r="J37" i="19"/>
  <c r="M37" i="19" s="1"/>
  <c r="O37" i="19" s="1"/>
  <c r="AI37" i="19" s="1"/>
  <c r="J61" i="19"/>
  <c r="M61" i="19" s="1"/>
  <c r="AG95" i="19"/>
  <c r="AG93" i="19"/>
  <c r="AG61" i="19"/>
  <c r="AG29" i="19"/>
  <c r="AG98" i="19"/>
  <c r="AG66" i="19"/>
  <c r="AG34" i="19"/>
  <c r="AG103" i="19"/>
  <c r="AG47" i="19"/>
  <c r="AG15" i="19"/>
  <c r="AG84" i="19"/>
  <c r="AG52" i="19"/>
  <c r="AG20" i="19"/>
  <c r="AG71" i="19"/>
  <c r="AG81" i="19"/>
  <c r="AG49" i="19"/>
  <c r="AG17" i="19"/>
  <c r="AG86" i="19"/>
  <c r="AG54" i="19"/>
  <c r="AG22" i="19"/>
  <c r="AG75" i="19"/>
  <c r="AG35" i="19"/>
  <c r="AG104" i="19"/>
  <c r="AG72" i="19"/>
  <c r="AG40" i="19"/>
  <c r="AG8" i="19"/>
  <c r="J13" i="19"/>
  <c r="M13" i="19" s="1"/>
  <c r="J29" i="19"/>
  <c r="M29" i="19" s="1"/>
  <c r="J45" i="19"/>
  <c r="M45" i="19" s="1"/>
  <c r="AG59" i="19"/>
  <c r="AG77" i="19"/>
  <c r="AG45" i="19"/>
  <c r="AG13" i="19"/>
  <c r="AG82" i="19"/>
  <c r="AG50" i="19"/>
  <c r="AG18" i="19"/>
  <c r="AG67" i="19"/>
  <c r="AG31" i="19"/>
  <c r="AG100" i="19"/>
  <c r="AG68" i="19"/>
  <c r="AG36" i="19"/>
  <c r="AG99" i="19"/>
  <c r="AG97" i="19"/>
  <c r="AG65" i="19"/>
  <c r="AG33" i="19"/>
  <c r="AG102" i="19"/>
  <c r="AG70" i="19"/>
  <c r="AG38" i="19"/>
  <c r="AG6" i="19"/>
  <c r="AG51" i="19"/>
  <c r="AG19" i="19"/>
  <c r="AG88" i="19"/>
  <c r="AG56" i="19"/>
  <c r="AG24" i="19"/>
  <c r="J9" i="19"/>
  <c r="M9" i="19" s="1"/>
  <c r="O9" i="19" s="1"/>
  <c r="AC9" i="19" s="1"/>
  <c r="AD9" i="19" s="1"/>
  <c r="J41" i="19"/>
  <c r="M41" i="19" s="1"/>
  <c r="O41" i="19" s="1"/>
  <c r="AI41" i="19" s="1"/>
  <c r="AG69" i="19"/>
  <c r="AG106" i="19"/>
  <c r="AG42" i="19"/>
  <c r="AG55" i="19"/>
  <c r="AG92" i="19"/>
  <c r="AG28" i="19"/>
  <c r="AG89" i="19"/>
  <c r="AG25" i="19"/>
  <c r="AG62" i="19"/>
  <c r="AG91" i="19"/>
  <c r="AG11" i="19"/>
  <c r="AG48" i="19"/>
  <c r="AG37" i="19"/>
  <c r="AG10" i="19"/>
  <c r="AG60" i="19"/>
  <c r="AG57" i="19"/>
  <c r="AG30" i="19"/>
  <c r="AG80" i="19"/>
  <c r="J17" i="19"/>
  <c r="M17" i="19" s="1"/>
  <c r="J53" i="19"/>
  <c r="M53" i="19" s="1"/>
  <c r="AG79" i="19"/>
  <c r="AG53" i="19"/>
  <c r="AG90" i="19"/>
  <c r="AG26" i="19"/>
  <c r="AG39" i="19"/>
  <c r="AG76" i="19"/>
  <c r="AG12" i="19"/>
  <c r="AG73" i="19"/>
  <c r="AG9" i="19"/>
  <c r="AG46" i="19"/>
  <c r="AG63" i="19"/>
  <c r="AG96" i="19"/>
  <c r="AG32" i="19"/>
  <c r="J25" i="19"/>
  <c r="M25" i="19" s="1"/>
  <c r="AG101" i="19"/>
  <c r="AG74" i="19"/>
  <c r="AG23" i="19"/>
  <c r="AG87" i="19"/>
  <c r="AG94" i="19"/>
  <c r="AG43" i="19"/>
  <c r="AG16" i="19"/>
  <c r="AG58" i="19"/>
  <c r="AG105" i="19"/>
  <c r="AG27" i="19"/>
  <c r="AG85" i="19"/>
  <c r="AG78" i="19"/>
  <c r="J33" i="19"/>
  <c r="M33" i="19" s="1"/>
  <c r="O33" i="19" s="1"/>
  <c r="AI33" i="19" s="1"/>
  <c r="AG21" i="19"/>
  <c r="AG14" i="19"/>
  <c r="AG83" i="19"/>
  <c r="AG41" i="19"/>
  <c r="AG64" i="19"/>
  <c r="AG7" i="19"/>
  <c r="AG44" i="19"/>
  <c r="J15" i="19"/>
  <c r="M15" i="19" s="1"/>
  <c r="J23" i="19"/>
  <c r="M23" i="19" s="1"/>
  <c r="J35" i="19"/>
  <c r="M35" i="19" s="1"/>
  <c r="J43" i="19"/>
  <c r="M43" i="19" s="1"/>
  <c r="J16" i="19"/>
  <c r="M16" i="19" s="1"/>
  <c r="O16" i="19" s="1"/>
  <c r="AI16" i="19" s="1"/>
  <c r="J40" i="19"/>
  <c r="M40" i="19" s="1"/>
  <c r="J60" i="19"/>
  <c r="M60" i="19" s="1"/>
  <c r="J18" i="19"/>
  <c r="M18" i="19" s="1"/>
  <c r="J34" i="19"/>
  <c r="M34" i="19" s="1"/>
  <c r="O34" i="19" s="1"/>
  <c r="AK34" i="19" s="1"/>
  <c r="AL34" i="19" s="1"/>
  <c r="J50" i="19"/>
  <c r="M50" i="19" s="1"/>
  <c r="O50" i="19" s="1"/>
  <c r="AI50" i="19" s="1"/>
  <c r="J58" i="19"/>
  <c r="M58" i="19" s="1"/>
  <c r="J69" i="19"/>
  <c r="M69" i="19" s="1"/>
  <c r="O69" i="19" s="1"/>
  <c r="BN69" i="19" s="1"/>
  <c r="J77" i="19"/>
  <c r="M77" i="19" s="1"/>
  <c r="O77" i="19" s="1"/>
  <c r="Q77" i="19" s="1"/>
  <c r="J38" i="19"/>
  <c r="M38" i="19" s="1"/>
  <c r="J36" i="19"/>
  <c r="M36" i="19" s="1"/>
  <c r="J67" i="19"/>
  <c r="M67" i="19" s="1"/>
  <c r="O67" i="19" s="1"/>
  <c r="Q67" i="19" s="1"/>
  <c r="J80" i="19"/>
  <c r="M80" i="19" s="1"/>
  <c r="O80" i="19" s="1"/>
  <c r="AI80" i="19" s="1"/>
  <c r="J94" i="19"/>
  <c r="K94" i="19" s="1"/>
  <c r="L94" i="19" s="1"/>
  <c r="J71" i="19"/>
  <c r="M71" i="19" s="1"/>
  <c r="O71" i="19" s="1"/>
  <c r="AC71" i="19" s="1"/>
  <c r="AD71" i="19" s="1"/>
  <c r="J84" i="19"/>
  <c r="M84" i="19" s="1"/>
  <c r="J100" i="19"/>
  <c r="M100" i="19" s="1"/>
  <c r="O100" i="19" s="1"/>
  <c r="W100" i="19" s="1"/>
  <c r="X100" i="19" s="1"/>
  <c r="Y100" i="19" s="1"/>
  <c r="J46" i="19"/>
  <c r="M46" i="19" s="1"/>
  <c r="J74" i="19"/>
  <c r="M74" i="19" s="1"/>
  <c r="J85" i="19"/>
  <c r="M85" i="19" s="1"/>
  <c r="J99" i="19"/>
  <c r="M99" i="19" s="1"/>
  <c r="O99" i="19" s="1"/>
  <c r="W99" i="19" s="1"/>
  <c r="X99" i="19" s="1"/>
  <c r="Y99" i="19" s="1"/>
  <c r="J105" i="19"/>
  <c r="K105" i="19" s="1"/>
  <c r="L105" i="19" s="1"/>
  <c r="J63" i="19"/>
  <c r="M63" i="19" s="1"/>
  <c r="J20" i="19"/>
  <c r="M20" i="19" s="1"/>
  <c r="J86" i="19"/>
  <c r="M86" i="19" s="1"/>
  <c r="J76" i="19"/>
  <c r="M76" i="19" s="1"/>
  <c r="O76" i="19" s="1"/>
  <c r="S76" i="19" s="1"/>
  <c r="T76" i="19" s="1"/>
  <c r="J96" i="19"/>
  <c r="M96" i="19" s="1"/>
  <c r="O96" i="19" s="1"/>
  <c r="S96" i="19" s="1"/>
  <c r="T96" i="19" s="1"/>
  <c r="J97" i="19"/>
  <c r="M97" i="19" s="1"/>
  <c r="J6" i="19"/>
  <c r="M6" i="19" s="1"/>
  <c r="O6" i="19" s="1"/>
  <c r="Q6" i="19" s="1"/>
  <c r="J24" i="19"/>
  <c r="M24" i="19" s="1"/>
  <c r="J48" i="19"/>
  <c r="M48" i="19" s="1"/>
  <c r="O48" i="19" s="1"/>
  <c r="AI48" i="19" s="1"/>
  <c r="J55" i="19"/>
  <c r="M55" i="19" s="1"/>
  <c r="O55" i="19" s="1"/>
  <c r="BN55" i="19" s="1"/>
  <c r="J49" i="19"/>
  <c r="M49" i="19" s="1"/>
  <c r="J75" i="19"/>
  <c r="M75" i="19" s="1"/>
  <c r="J106" i="19"/>
  <c r="K106" i="19" s="1"/>
  <c r="L106" i="19" s="1"/>
  <c r="J68" i="19"/>
  <c r="M68" i="19" s="1"/>
  <c r="O68" i="19" s="1"/>
  <c r="AI68" i="19" s="1"/>
  <c r="J70" i="19"/>
  <c r="M70" i="19" s="1"/>
  <c r="O70" i="19" s="1"/>
  <c r="AI70" i="19" s="1"/>
  <c r="J89" i="19"/>
  <c r="M89" i="19" s="1"/>
  <c r="J7" i="19"/>
  <c r="M7" i="19" s="1"/>
  <c r="J27" i="19"/>
  <c r="M27" i="19" s="1"/>
  <c r="O27" i="19" s="1"/>
  <c r="AI27" i="19" s="1"/>
  <c r="J8" i="19"/>
  <c r="M8" i="19" s="1"/>
  <c r="O8" i="19" s="1"/>
  <c r="P8" i="19" s="1"/>
  <c r="J52" i="19"/>
  <c r="M52" i="19" s="1"/>
  <c r="O52" i="19" s="1"/>
  <c r="AI52" i="19" s="1"/>
  <c r="J10" i="19"/>
  <c r="M10" i="19" s="1"/>
  <c r="J81" i="19"/>
  <c r="M81" i="19" s="1"/>
  <c r="O81" i="19" s="1"/>
  <c r="AI81" i="19" s="1"/>
  <c r="J22" i="19"/>
  <c r="M22" i="19" s="1"/>
  <c r="J12" i="19"/>
  <c r="M12" i="19" s="1"/>
  <c r="J51" i="19"/>
  <c r="M51" i="19" s="1"/>
  <c r="O51" i="19" s="1"/>
  <c r="AI51" i="19" s="1"/>
  <c r="J82" i="19"/>
  <c r="M82" i="19" s="1"/>
  <c r="J98" i="19"/>
  <c r="M98" i="19" s="1"/>
  <c r="J57" i="19"/>
  <c r="M57" i="19" s="1"/>
  <c r="O57" i="19" s="1"/>
  <c r="AC57" i="19" s="1"/>
  <c r="AD57" i="19" s="1"/>
  <c r="J92" i="19"/>
  <c r="K92" i="19" s="1"/>
  <c r="L92" i="19" s="1"/>
  <c r="J44" i="19"/>
  <c r="M44" i="19" s="1"/>
  <c r="O44" i="19" s="1"/>
  <c r="AI44" i="19" s="1"/>
  <c r="J54" i="19"/>
  <c r="M54" i="19" s="1"/>
  <c r="J78" i="19"/>
  <c r="M78" i="19" s="1"/>
  <c r="O78" i="19" s="1"/>
  <c r="P78" i="19" s="1"/>
  <c r="J87" i="19"/>
  <c r="M87" i="19" s="1"/>
  <c r="J91" i="19"/>
  <c r="M91" i="19" s="1"/>
  <c r="O91" i="19" s="1"/>
  <c r="Q91" i="19" s="1"/>
  <c r="J95" i="19"/>
  <c r="M95" i="19" s="1"/>
  <c r="J101" i="19"/>
  <c r="M101" i="19" s="1"/>
  <c r="J19" i="19"/>
  <c r="M19" i="19" s="1"/>
  <c r="J31" i="19"/>
  <c r="M31" i="19" s="1"/>
  <c r="O31" i="19" s="1"/>
  <c r="AI31" i="19" s="1"/>
  <c r="J39" i="19"/>
  <c r="M39" i="19" s="1"/>
  <c r="J32" i="19"/>
  <c r="M32" i="19" s="1"/>
  <c r="J64" i="19"/>
  <c r="M64" i="19" s="1"/>
  <c r="J26" i="19"/>
  <c r="M26" i="19" s="1"/>
  <c r="O26" i="19" s="1"/>
  <c r="AI26" i="19" s="1"/>
  <c r="J42" i="19"/>
  <c r="M42" i="19" s="1"/>
  <c r="J73" i="19"/>
  <c r="M73" i="19" s="1"/>
  <c r="J30" i="19"/>
  <c r="M30" i="19" s="1"/>
  <c r="J72" i="19"/>
  <c r="M72" i="19" s="1"/>
  <c r="J102" i="19"/>
  <c r="M102" i="19" s="1"/>
  <c r="J59" i="19"/>
  <c r="M59" i="19" s="1"/>
  <c r="O59" i="19" s="1"/>
  <c r="AI59" i="19" s="1"/>
  <c r="J88" i="19"/>
  <c r="M88" i="19" s="1"/>
  <c r="J104" i="19"/>
  <c r="M104" i="19" s="1"/>
  <c r="J62" i="19"/>
  <c r="M62" i="19" s="1"/>
  <c r="J103" i="19"/>
  <c r="M103" i="19" s="1"/>
  <c r="O103" i="19" s="1"/>
  <c r="AI103" i="19" s="1"/>
  <c r="J11" i="19"/>
  <c r="M11" i="19" s="1"/>
  <c r="O11" i="19" s="1"/>
  <c r="AI11" i="19" s="1"/>
  <c r="J56" i="19"/>
  <c r="M56" i="19" s="1"/>
  <c r="O56" i="19" s="1"/>
  <c r="AI56" i="19" s="1"/>
  <c r="J47" i="19"/>
  <c r="M47" i="19" s="1"/>
  <c r="O47" i="19" s="1"/>
  <c r="BN47" i="19" s="1"/>
  <c r="J66" i="19"/>
  <c r="M66" i="19" s="1"/>
  <c r="O66" i="19" s="1"/>
  <c r="AI66" i="19" s="1"/>
  <c r="J14" i="19"/>
  <c r="M14" i="19" s="1"/>
  <c r="J28" i="19"/>
  <c r="M28" i="19" s="1"/>
  <c r="O28" i="19" s="1"/>
  <c r="S28" i="19" s="1"/>
  <c r="T28" i="19" s="1"/>
  <c r="J65" i="19"/>
  <c r="M65" i="19" s="1"/>
  <c r="O65" i="19" s="1"/>
  <c r="AC65" i="19" s="1"/>
  <c r="AD65" i="19" s="1"/>
  <c r="J90" i="19"/>
  <c r="M90" i="19" s="1"/>
  <c r="O90" i="19" s="1"/>
  <c r="AI90" i="19" s="1"/>
  <c r="J79" i="19"/>
  <c r="M79" i="19" s="1"/>
  <c r="J83" i="19"/>
  <c r="M83" i="19" s="1"/>
  <c r="O83" i="19" s="1"/>
  <c r="AI83" i="19" s="1"/>
  <c r="J93" i="19"/>
  <c r="M93" i="19" s="1"/>
  <c r="O93" i="19" s="1"/>
  <c r="S93" i="19" s="1"/>
  <c r="T93" i="19" s="1"/>
  <c r="AO63" i="20" l="1"/>
  <c r="AO61" i="20"/>
  <c r="AO54" i="20"/>
  <c r="AO47" i="20"/>
  <c r="AO93" i="20"/>
  <c r="AO86" i="20"/>
  <c r="AO19" i="20"/>
  <c r="AO22" i="20"/>
  <c r="AO105" i="20"/>
  <c r="AO45" i="20"/>
  <c r="AO102" i="20"/>
  <c r="AO13" i="20"/>
  <c r="AO77" i="20"/>
  <c r="B20" i="20"/>
  <c r="AA7" i="20" s="1"/>
  <c r="AB7" i="20" s="1"/>
  <c r="AO58" i="20"/>
  <c r="AO95" i="20"/>
  <c r="AO16" i="20"/>
  <c r="AO80" i="20"/>
  <c r="AO66" i="20"/>
  <c r="AO79" i="20"/>
  <c r="AO60" i="20"/>
  <c r="AO31" i="20"/>
  <c r="AO20" i="20"/>
  <c r="AO84" i="20"/>
  <c r="AO59" i="20"/>
  <c r="AO23" i="20"/>
  <c r="AO34" i="20"/>
  <c r="AO87" i="20"/>
  <c r="AO57" i="20"/>
  <c r="AO48" i="20"/>
  <c r="AO81" i="20"/>
  <c r="AO30" i="20"/>
  <c r="AO27" i="20"/>
  <c r="AO26" i="20"/>
  <c r="AO41" i="20"/>
  <c r="AO40" i="20"/>
  <c r="AO104" i="20"/>
  <c r="AO99" i="20"/>
  <c r="AO10" i="20"/>
  <c r="AO71" i="20"/>
  <c r="AO76" i="20"/>
  <c r="AO33" i="20"/>
  <c r="AO97" i="20"/>
  <c r="AO78" i="20"/>
  <c r="AO69" i="20"/>
  <c r="AO29" i="20"/>
  <c r="AO101" i="20"/>
  <c r="AO15" i="20"/>
  <c r="AO73" i="20"/>
  <c r="AO56" i="20"/>
  <c r="AO67" i="20"/>
  <c r="AO103" i="20"/>
  <c r="AO42" i="20"/>
  <c r="AO25" i="20"/>
  <c r="AO32" i="20"/>
  <c r="AO96" i="20"/>
  <c r="AO62" i="20"/>
  <c r="AO17" i="20"/>
  <c r="AO92" i="20"/>
  <c r="AO49" i="20"/>
  <c r="AO51" i="20"/>
  <c r="AO36" i="20"/>
  <c r="AO68" i="20"/>
  <c r="AO65" i="20"/>
  <c r="AO14" i="20"/>
  <c r="AO11" i="20"/>
  <c r="AO21" i="20"/>
  <c r="AO85" i="20"/>
  <c r="AO8" i="20"/>
  <c r="AO72" i="20"/>
  <c r="AO74" i="20"/>
  <c r="AO35" i="20"/>
  <c r="AO38" i="20"/>
  <c r="AO18" i="20"/>
  <c r="AO12" i="20"/>
  <c r="AO82" i="20"/>
  <c r="AO100" i="20"/>
  <c r="AO50" i="20"/>
  <c r="AO75" i="20"/>
  <c r="AO37" i="20"/>
  <c r="AO6" i="20"/>
  <c r="AO24" i="20"/>
  <c r="AO88" i="20"/>
  <c r="AO98" i="20"/>
  <c r="AO106" i="20"/>
  <c r="AO89" i="20"/>
  <c r="AO64" i="20"/>
  <c r="AO91" i="20"/>
  <c r="AO28" i="20"/>
  <c r="AO94" i="20"/>
  <c r="AO44" i="20"/>
  <c r="AO39" i="20"/>
  <c r="AO70" i="20"/>
  <c r="AO9" i="20"/>
  <c r="AO55" i="20"/>
  <c r="AO46" i="20"/>
  <c r="AO43" i="20"/>
  <c r="AO53" i="20"/>
  <c r="AO52" i="20"/>
  <c r="AO7" i="20"/>
  <c r="B228" i="2"/>
  <c r="A264" i="2"/>
  <c r="AI67" i="19"/>
  <c r="AI21" i="19"/>
  <c r="AI69" i="19"/>
  <c r="AI55" i="19"/>
  <c r="AI9" i="19"/>
  <c r="AI77" i="19"/>
  <c r="AI100" i="19"/>
  <c r="AI6" i="19"/>
  <c r="AI65" i="19"/>
  <c r="AI28" i="19"/>
  <c r="AI93" i="19"/>
  <c r="AI91" i="19"/>
  <c r="AI96" i="19"/>
  <c r="AI76" i="19"/>
  <c r="AI57" i="19"/>
  <c r="AI78" i="19"/>
  <c r="AI47" i="19"/>
  <c r="AI34" i="19"/>
  <c r="AI71" i="19"/>
  <c r="AI8" i="19"/>
  <c r="AI99" i="19"/>
  <c r="AH21" i="19"/>
  <c r="AH27" i="19"/>
  <c r="AH68" i="19"/>
  <c r="AH91" i="19"/>
  <c r="AH52" i="19"/>
  <c r="AH41" i="19"/>
  <c r="AH90" i="19"/>
  <c r="AH11" i="19"/>
  <c r="AH50" i="19"/>
  <c r="AH81" i="19"/>
  <c r="AH57" i="19"/>
  <c r="AH44" i="19"/>
  <c r="AH83" i="19"/>
  <c r="AH78" i="19"/>
  <c r="AH76" i="19"/>
  <c r="AH28" i="19"/>
  <c r="AH59" i="19"/>
  <c r="AH70" i="19"/>
  <c r="AH34" i="19"/>
  <c r="AH80" i="19"/>
  <c r="AH31" i="19"/>
  <c r="AH8" i="19"/>
  <c r="AH71" i="19"/>
  <c r="AH66" i="19"/>
  <c r="AH93" i="19"/>
  <c r="AH77" i="19"/>
  <c r="AH16" i="19"/>
  <c r="AH9" i="19"/>
  <c r="AH37" i="19"/>
  <c r="AH69" i="19"/>
  <c r="AH56" i="19"/>
  <c r="AH6" i="19"/>
  <c r="AH33" i="19"/>
  <c r="AH67" i="19"/>
  <c r="AH47" i="19"/>
  <c r="AH100" i="19"/>
  <c r="AH96" i="19"/>
  <c r="AH26" i="19"/>
  <c r="AH48" i="19"/>
  <c r="AH55" i="19"/>
  <c r="AH103" i="19"/>
  <c r="AH99" i="19"/>
  <c r="AH51" i="19"/>
  <c r="AH65" i="19"/>
  <c r="K9" i="19"/>
  <c r="L9" i="19" s="1"/>
  <c r="K8" i="19"/>
  <c r="L8" i="19" s="1"/>
  <c r="K7" i="19"/>
  <c r="L7" i="19" s="1"/>
  <c r="M72" i="20"/>
  <c r="P82" i="20"/>
  <c r="U82" i="20" s="1"/>
  <c r="V82" i="20" s="1"/>
  <c r="W82" i="20" s="1"/>
  <c r="M104" i="20"/>
  <c r="K13" i="19"/>
  <c r="L13" i="19" s="1"/>
  <c r="K6" i="19"/>
  <c r="L6" i="19" s="1"/>
  <c r="K10" i="19"/>
  <c r="L10" i="19" s="1"/>
  <c r="K11" i="19"/>
  <c r="L11" i="19" s="1"/>
  <c r="K37" i="19"/>
  <c r="L37" i="19" s="1"/>
  <c r="S103" i="19"/>
  <c r="T103" i="19" s="1"/>
  <c r="P6" i="20"/>
  <c r="K12" i="19"/>
  <c r="L12" i="19" s="1"/>
  <c r="K18" i="19"/>
  <c r="L18" i="19" s="1"/>
  <c r="K14" i="19"/>
  <c r="L14" i="19" s="1"/>
  <c r="K19" i="19"/>
  <c r="L19" i="19" s="1"/>
  <c r="K15" i="19"/>
  <c r="L15" i="19" s="1"/>
  <c r="K16" i="19"/>
  <c r="L16" i="19" s="1"/>
  <c r="K17" i="19"/>
  <c r="L17" i="19" s="1"/>
  <c r="K29" i="19"/>
  <c r="L29" i="19" s="1"/>
  <c r="K20" i="19"/>
  <c r="L20" i="19" s="1"/>
  <c r="K21" i="19"/>
  <c r="L21" i="19" s="1"/>
  <c r="K22" i="19"/>
  <c r="L22" i="19" s="1"/>
  <c r="K30" i="19"/>
  <c r="L30" i="19" s="1"/>
  <c r="K23" i="19"/>
  <c r="L23" i="19" s="1"/>
  <c r="K26" i="19"/>
  <c r="L26" i="19" s="1"/>
  <c r="K28" i="19"/>
  <c r="L28" i="19" s="1"/>
  <c r="K31" i="19"/>
  <c r="L31" i="19" s="1"/>
  <c r="K25" i="19"/>
  <c r="L25" i="19" s="1"/>
  <c r="K27" i="19"/>
  <c r="L27" i="19" s="1"/>
  <c r="K24" i="19"/>
  <c r="L24" i="19" s="1"/>
  <c r="P75" i="20"/>
  <c r="U75" i="20" s="1"/>
  <c r="V75" i="20" s="1"/>
  <c r="W75" i="20" s="1"/>
  <c r="K81" i="19"/>
  <c r="L81" i="19" s="1"/>
  <c r="K59" i="19"/>
  <c r="L59" i="19" s="1"/>
  <c r="K57" i="19"/>
  <c r="L57" i="19" s="1"/>
  <c r="K43" i="19"/>
  <c r="L43" i="19" s="1"/>
  <c r="K44" i="19"/>
  <c r="L44" i="19" s="1"/>
  <c r="K52" i="19"/>
  <c r="L52" i="19" s="1"/>
  <c r="K82" i="19"/>
  <c r="L82" i="19" s="1"/>
  <c r="K45" i="19"/>
  <c r="L45" i="19" s="1"/>
  <c r="K40" i="19"/>
  <c r="L40" i="19" s="1"/>
  <c r="K46" i="19"/>
  <c r="L46" i="19" s="1"/>
  <c r="K50" i="19"/>
  <c r="L50" i="19" s="1"/>
  <c r="K84" i="19"/>
  <c r="L84" i="19" s="1"/>
  <c r="K83" i="19"/>
  <c r="L83" i="19" s="1"/>
  <c r="K41" i="19"/>
  <c r="L41" i="19" s="1"/>
  <c r="K34" i="19"/>
  <c r="L34" i="19" s="1"/>
  <c r="K35" i="19"/>
  <c r="L35" i="19" s="1"/>
  <c r="K38" i="19"/>
  <c r="L38" i="19" s="1"/>
  <c r="K33" i="19"/>
  <c r="L33" i="19" s="1"/>
  <c r="K42" i="19"/>
  <c r="L42" i="19" s="1"/>
  <c r="K61" i="19"/>
  <c r="L61" i="19" s="1"/>
  <c r="K75" i="19"/>
  <c r="L75" i="19" s="1"/>
  <c r="K39" i="19"/>
  <c r="L39" i="19" s="1"/>
  <c r="K68" i="19"/>
  <c r="L68" i="19" s="1"/>
  <c r="K32" i="19"/>
  <c r="L32" i="19" s="1"/>
  <c r="K36" i="19"/>
  <c r="L36" i="19" s="1"/>
  <c r="K77" i="19"/>
  <c r="L77" i="19" s="1"/>
  <c r="K80" i="19"/>
  <c r="L80" i="19" s="1"/>
  <c r="K79" i="19"/>
  <c r="L79" i="19" s="1"/>
  <c r="K70" i="19"/>
  <c r="L70" i="19" s="1"/>
  <c r="K63" i="19"/>
  <c r="L63" i="19" s="1"/>
  <c r="K87" i="19"/>
  <c r="L87" i="19" s="1"/>
  <c r="K65" i="19"/>
  <c r="L65" i="19" s="1"/>
  <c r="K73" i="19"/>
  <c r="L73" i="19" s="1"/>
  <c r="K47" i="19"/>
  <c r="L47" i="19" s="1"/>
  <c r="K69" i="19"/>
  <c r="L69" i="19" s="1"/>
  <c r="K54" i="19"/>
  <c r="L54" i="19" s="1"/>
  <c r="K60" i="19"/>
  <c r="L60" i="19" s="1"/>
  <c r="K67" i="19"/>
  <c r="L67" i="19" s="1"/>
  <c r="K53" i="19"/>
  <c r="L53" i="19" s="1"/>
  <c r="K85" i="19"/>
  <c r="L85" i="19" s="1"/>
  <c r="K58" i="19"/>
  <c r="L58" i="19" s="1"/>
  <c r="K74" i="19"/>
  <c r="L74" i="19" s="1"/>
  <c r="K48" i="19"/>
  <c r="L48" i="19" s="1"/>
  <c r="K62" i="19"/>
  <c r="L62" i="19" s="1"/>
  <c r="K64" i="19"/>
  <c r="L64" i="19" s="1"/>
  <c r="K55" i="19"/>
  <c r="L55" i="19" s="1"/>
  <c r="K66" i="19"/>
  <c r="L66" i="19" s="1"/>
  <c r="K49" i="19"/>
  <c r="L49" i="19" s="1"/>
  <c r="K51" i="19"/>
  <c r="L51" i="19" s="1"/>
  <c r="K71" i="19"/>
  <c r="L71" i="19" s="1"/>
  <c r="K78" i="19"/>
  <c r="L78" i="19" s="1"/>
  <c r="K76" i="19"/>
  <c r="L76" i="19" s="1"/>
  <c r="K56" i="19"/>
  <c r="L56" i="19" s="1"/>
  <c r="K72" i="19"/>
  <c r="L72" i="19" s="1"/>
  <c r="L39" i="20"/>
  <c r="P11" i="20"/>
  <c r="L11" i="20"/>
  <c r="L27" i="20"/>
  <c r="L91" i="20"/>
  <c r="L65" i="20"/>
  <c r="L30" i="20"/>
  <c r="L55" i="20"/>
  <c r="L60" i="20"/>
  <c r="L94" i="20"/>
  <c r="P70" i="20"/>
  <c r="L79" i="20"/>
  <c r="L100" i="20"/>
  <c r="L68" i="20"/>
  <c r="L81" i="20"/>
  <c r="L97" i="20"/>
  <c r="L37" i="20"/>
  <c r="D18" i="20"/>
  <c r="B23" i="20" s="1"/>
  <c r="D23" i="20" s="1"/>
  <c r="L63" i="20"/>
  <c r="L33" i="20"/>
  <c r="L24" i="20"/>
  <c r="L40" i="20"/>
  <c r="L10" i="20"/>
  <c r="L47" i="20"/>
  <c r="L86" i="20"/>
  <c r="L12" i="20"/>
  <c r="L64" i="20"/>
  <c r="L41" i="20"/>
  <c r="P78" i="20"/>
  <c r="Q78" i="20" s="1"/>
  <c r="R78" i="20" s="1"/>
  <c r="P43" i="20"/>
  <c r="U43" i="20" s="1"/>
  <c r="V43" i="20" s="1"/>
  <c r="W43" i="20" s="1"/>
  <c r="M35" i="20"/>
  <c r="P12" i="20"/>
  <c r="Q12" i="20" s="1"/>
  <c r="R12" i="20" s="1"/>
  <c r="P30" i="20"/>
  <c r="P25" i="20"/>
  <c r="U25" i="20" s="1"/>
  <c r="V25" i="20" s="1"/>
  <c r="W25" i="20" s="1"/>
  <c r="P45" i="20"/>
  <c r="U45" i="20" s="1"/>
  <c r="V45" i="20" s="1"/>
  <c r="W45" i="20" s="1"/>
  <c r="P65" i="20"/>
  <c r="P20" i="20"/>
  <c r="U20" i="20" s="1"/>
  <c r="V20" i="20" s="1"/>
  <c r="W20" i="20" s="1"/>
  <c r="P33" i="20"/>
  <c r="P97" i="20"/>
  <c r="L36" i="20"/>
  <c r="L15" i="20"/>
  <c r="L92" i="20"/>
  <c r="L89" i="20"/>
  <c r="L102" i="20"/>
  <c r="L18" i="20"/>
  <c r="L17" i="20"/>
  <c r="L77" i="20"/>
  <c r="L67" i="20"/>
  <c r="L96" i="20"/>
  <c r="L50" i="20"/>
  <c r="L46" i="20"/>
  <c r="L88" i="20"/>
  <c r="P49" i="20"/>
  <c r="P28" i="20"/>
  <c r="P92" i="20"/>
  <c r="P79" i="20"/>
  <c r="P42" i="20"/>
  <c r="L105" i="20"/>
  <c r="L69" i="20"/>
  <c r="L20" i="20"/>
  <c r="L58" i="20"/>
  <c r="L43" i="20"/>
  <c r="L87" i="20"/>
  <c r="L54" i="20"/>
  <c r="L106" i="20"/>
  <c r="L21" i="20"/>
  <c r="L53" i="20"/>
  <c r="L90" i="20"/>
  <c r="L32" i="20"/>
  <c r="P59" i="20"/>
  <c r="S100" i="19"/>
  <c r="T100" i="19" s="1"/>
  <c r="P71" i="20"/>
  <c r="M40" i="20"/>
  <c r="P60" i="20"/>
  <c r="M79" i="20"/>
  <c r="P76" i="20"/>
  <c r="S99" i="19"/>
  <c r="T99" i="19" s="1"/>
  <c r="P19" i="20"/>
  <c r="M8" i="20"/>
  <c r="M88" i="20"/>
  <c r="M98" i="20"/>
  <c r="P56" i="20"/>
  <c r="M54" i="20"/>
  <c r="M65" i="20"/>
  <c r="P87" i="20"/>
  <c r="M30" i="20"/>
  <c r="L76" i="20"/>
  <c r="L7" i="20"/>
  <c r="L70" i="20"/>
  <c r="L31" i="20"/>
  <c r="L45" i="20"/>
  <c r="L23" i="20"/>
  <c r="L34" i="20"/>
  <c r="L85" i="20"/>
  <c r="L71" i="20"/>
  <c r="L98" i="20"/>
  <c r="L61" i="20"/>
  <c r="L38" i="20"/>
  <c r="L84" i="20"/>
  <c r="L14" i="20"/>
  <c r="L51" i="20"/>
  <c r="L74" i="20"/>
  <c r="L59" i="20"/>
  <c r="L16" i="20"/>
  <c r="L80" i="20"/>
  <c r="L101" i="20"/>
  <c r="L49" i="20"/>
  <c r="L44" i="20"/>
  <c r="L42" i="20"/>
  <c r="L9" i="20"/>
  <c r="L72" i="20"/>
  <c r="P93" i="20"/>
  <c r="M16" i="20"/>
  <c r="L29" i="20"/>
  <c r="L99" i="20"/>
  <c r="L66" i="20"/>
  <c r="L48" i="20"/>
  <c r="L103" i="20"/>
  <c r="L73" i="20"/>
  <c r="L95" i="20"/>
  <c r="L62" i="20"/>
  <c r="L6" i="20"/>
  <c r="L25" i="20"/>
  <c r="L28" i="20"/>
  <c r="L82" i="20"/>
  <c r="L26" i="20"/>
  <c r="L57" i="20"/>
  <c r="L78" i="20"/>
  <c r="L13" i="20"/>
  <c r="L19" i="20"/>
  <c r="L83" i="20"/>
  <c r="L56" i="20"/>
  <c r="L22" i="20"/>
  <c r="L52" i="20"/>
  <c r="L93" i="20"/>
  <c r="L8" i="20"/>
  <c r="L75" i="20"/>
  <c r="L35" i="20"/>
  <c r="P36" i="20"/>
  <c r="U36" i="20" s="1"/>
  <c r="V36" i="20" s="1"/>
  <c r="W36" i="20" s="1"/>
  <c r="M39" i="20"/>
  <c r="M67" i="20"/>
  <c r="P52" i="20"/>
  <c r="P98" i="20"/>
  <c r="M60" i="20"/>
  <c r="M95" i="20"/>
  <c r="M25" i="20"/>
  <c r="M34" i="20"/>
  <c r="B259" i="2"/>
  <c r="E26" i="1" s="1"/>
  <c r="B126" i="2"/>
  <c r="B122" i="2" s="1"/>
  <c r="M63" i="20"/>
  <c r="P67" i="20"/>
  <c r="M64" i="20"/>
  <c r="P27" i="20"/>
  <c r="P29" i="20"/>
  <c r="M84" i="20"/>
  <c r="M102" i="20"/>
  <c r="M83" i="20"/>
  <c r="M38" i="20"/>
  <c r="M49" i="20"/>
  <c r="M14" i="20"/>
  <c r="P91" i="20"/>
  <c r="P72" i="20"/>
  <c r="M78" i="20"/>
  <c r="P47" i="20"/>
  <c r="M20" i="20"/>
  <c r="M43" i="20"/>
  <c r="M6" i="20"/>
  <c r="P23" i="20"/>
  <c r="Q23" i="20" s="1"/>
  <c r="R23" i="20" s="1"/>
  <c r="M37" i="20"/>
  <c r="P90" i="20"/>
  <c r="P81" i="20"/>
  <c r="P40" i="20"/>
  <c r="M82" i="20"/>
  <c r="P26" i="20"/>
  <c r="P101" i="20"/>
  <c r="Q100" i="19"/>
  <c r="U27" i="19"/>
  <c r="AM47" i="19"/>
  <c r="AO65" i="19"/>
  <c r="B111" i="2"/>
  <c r="B116" i="2" s="1"/>
  <c r="E24" i="1" s="1"/>
  <c r="U65" i="19"/>
  <c r="AC47" i="19"/>
  <c r="AD47" i="19" s="1"/>
  <c r="AE100" i="19"/>
  <c r="AK67" i="19"/>
  <c r="AL67" i="19" s="1"/>
  <c r="S77" i="19"/>
  <c r="T77" i="19" s="1"/>
  <c r="BN78" i="19"/>
  <c r="M48" i="20"/>
  <c r="M75" i="20"/>
  <c r="M33" i="20"/>
  <c r="M70" i="20"/>
  <c r="M50" i="20"/>
  <c r="P41" i="20"/>
  <c r="M53" i="20"/>
  <c r="M80" i="20"/>
  <c r="P94" i="20"/>
  <c r="M87" i="20"/>
  <c r="M100" i="20"/>
  <c r="P34" i="20"/>
  <c r="M99" i="20"/>
  <c r="AC100" i="19"/>
  <c r="AD100" i="19" s="1"/>
  <c r="Q66" i="19"/>
  <c r="AM28" i="19"/>
  <c r="AM99" i="19"/>
  <c r="BN100" i="19"/>
  <c r="U100" i="19"/>
  <c r="AE91" i="19"/>
  <c r="P85" i="20"/>
  <c r="P21" i="20"/>
  <c r="P35" i="20"/>
  <c r="P89" i="20"/>
  <c r="P8" i="20"/>
  <c r="M62" i="20"/>
  <c r="M12" i="20"/>
  <c r="M46" i="20"/>
  <c r="P55" i="20"/>
  <c r="M71" i="20"/>
  <c r="P81" i="19"/>
  <c r="U81" i="19"/>
  <c r="S81" i="19"/>
  <c r="T81" i="19" s="1"/>
  <c r="K104" i="19"/>
  <c r="L104" i="19" s="1"/>
  <c r="AE27" i="19"/>
  <c r="P67" i="19"/>
  <c r="R67" i="19" s="1"/>
  <c r="AQ67" i="19" s="1"/>
  <c r="AM55" i="19"/>
  <c r="BN67" i="19"/>
  <c r="M105" i="19"/>
  <c r="O105" i="19" s="1"/>
  <c r="AI105" i="19" s="1"/>
  <c r="AO8" i="19"/>
  <c r="AK99" i="19"/>
  <c r="AL99" i="19" s="1"/>
  <c r="Q99" i="19"/>
  <c r="AC56" i="19"/>
  <c r="AD56" i="19" s="1"/>
  <c r="AK76" i="19"/>
  <c r="AL76" i="19" s="1"/>
  <c r="P70" i="19"/>
  <c r="Q70" i="19"/>
  <c r="BN70" i="19"/>
  <c r="W93" i="19"/>
  <c r="X93" i="19" s="1"/>
  <c r="Y93" i="19" s="1"/>
  <c r="P93" i="19"/>
  <c r="BN93" i="19"/>
  <c r="U93" i="19"/>
  <c r="V93" i="19" s="1"/>
  <c r="BT93" i="19" s="1"/>
  <c r="AM93" i="19"/>
  <c r="AO93" i="19"/>
  <c r="N93" i="19"/>
  <c r="AN93" i="19" s="1"/>
  <c r="W47" i="19"/>
  <c r="X47" i="19" s="1"/>
  <c r="Y47" i="19" s="1"/>
  <c r="S65" i="19"/>
  <c r="T65" i="19" s="1"/>
  <c r="Q65" i="19"/>
  <c r="S47" i="19"/>
  <c r="T47" i="19" s="1"/>
  <c r="N47" i="19"/>
  <c r="Z47" i="19" s="1"/>
  <c r="AA47" i="19" s="1"/>
  <c r="AB47" i="19" s="1"/>
  <c r="Q47" i="19"/>
  <c r="AC6" i="19"/>
  <c r="AD6" i="19" s="1"/>
  <c r="AE99" i="19"/>
  <c r="AK65" i="19"/>
  <c r="AL65" i="19" s="1"/>
  <c r="AE65" i="19"/>
  <c r="AE55" i="19"/>
  <c r="AE47" i="19"/>
  <c r="W67" i="19"/>
  <c r="X67" i="19" s="1"/>
  <c r="Y67" i="19" s="1"/>
  <c r="U67" i="19"/>
  <c r="AO67" i="19"/>
  <c r="AO6" i="19"/>
  <c r="AK31" i="19"/>
  <c r="AL31" i="19" s="1"/>
  <c r="AM81" i="19"/>
  <c r="M92" i="19"/>
  <c r="O92" i="19" s="1"/>
  <c r="AI92" i="19" s="1"/>
  <c r="M94" i="19"/>
  <c r="O94" i="19" s="1"/>
  <c r="AI94" i="19" s="1"/>
  <c r="AC99" i="19"/>
  <c r="AD99" i="19" s="1"/>
  <c r="AO56" i="19"/>
  <c r="AM65" i="19"/>
  <c r="U47" i="19"/>
  <c r="N67" i="19"/>
  <c r="Z67" i="19" s="1"/>
  <c r="AA67" i="19" s="1"/>
  <c r="AB67" i="19" s="1"/>
  <c r="AK6" i="19"/>
  <c r="AL6" i="19" s="1"/>
  <c r="P6" i="19"/>
  <c r="R6" i="19" s="1"/>
  <c r="Q48" i="19"/>
  <c r="BN48" i="19"/>
  <c r="AC48" i="19"/>
  <c r="AD48" i="19" s="1"/>
  <c r="U48" i="19"/>
  <c r="P50" i="19"/>
  <c r="AO50" i="19"/>
  <c r="AE56" i="19"/>
  <c r="P56" i="19"/>
  <c r="W57" i="19"/>
  <c r="X57" i="19" s="1"/>
  <c r="Y57" i="19" s="1"/>
  <c r="AM31" i="19"/>
  <c r="S8" i="19"/>
  <c r="T8" i="19" s="1"/>
  <c r="AK56" i="19"/>
  <c r="AL56" i="19" s="1"/>
  <c r="BN56" i="19"/>
  <c r="Q56" i="19"/>
  <c r="P15" i="20"/>
  <c r="AM27" i="19"/>
  <c r="S67" i="19"/>
  <c r="T67" i="19" s="1"/>
  <c r="AC67" i="19"/>
  <c r="AD67" i="19" s="1"/>
  <c r="AM70" i="19"/>
  <c r="W8" i="19"/>
  <c r="X8" i="19" s="1"/>
  <c r="Y8" i="19" s="1"/>
  <c r="P31" i="19"/>
  <c r="U77" i="19"/>
  <c r="AM57" i="19"/>
  <c r="N8" i="19"/>
  <c r="Z8" i="19" s="1"/>
  <c r="AA8" i="19" s="1"/>
  <c r="AB8" i="19" s="1"/>
  <c r="U8" i="19"/>
  <c r="AC70" i="19"/>
  <c r="AD70" i="19" s="1"/>
  <c r="W103" i="19"/>
  <c r="X103" i="19" s="1"/>
  <c r="Y103" i="19" s="1"/>
  <c r="U56" i="19"/>
  <c r="N27" i="19"/>
  <c r="P27" i="19"/>
  <c r="AM67" i="19"/>
  <c r="AE67" i="19"/>
  <c r="S70" i="19"/>
  <c r="T70" i="19" s="1"/>
  <c r="AO66" i="19"/>
  <c r="AK8" i="19"/>
  <c r="AL8" i="19" s="1"/>
  <c r="Q8" i="19"/>
  <c r="R8" i="19" s="1"/>
  <c r="AQ8" i="19" s="1"/>
  <c r="AK103" i="19"/>
  <c r="AL103" i="19" s="1"/>
  <c r="P24" i="20"/>
  <c r="M10" i="20"/>
  <c r="P17" i="20"/>
  <c r="M76" i="20"/>
  <c r="P57" i="20"/>
  <c r="M66" i="20"/>
  <c r="M31" i="20"/>
  <c r="P61" i="20"/>
  <c r="M106" i="20"/>
  <c r="P95" i="20"/>
  <c r="Q95" i="20" s="1"/>
  <c r="R95" i="20" s="1"/>
  <c r="M28" i="20"/>
  <c r="M92" i="20"/>
  <c r="M58" i="20"/>
  <c r="M51" i="20"/>
  <c r="P77" i="20"/>
  <c r="M105" i="20"/>
  <c r="M68" i="20"/>
  <c r="P66" i="20"/>
  <c r="M69" i="20"/>
  <c r="P32" i="20"/>
  <c r="M96" i="20"/>
  <c r="M103" i="20"/>
  <c r="M13" i="20"/>
  <c r="M56" i="20"/>
  <c r="M74" i="20"/>
  <c r="M11" i="20"/>
  <c r="P22" i="20"/>
  <c r="M57" i="20"/>
  <c r="P31" i="20"/>
  <c r="P104" i="20"/>
  <c r="M7" i="20"/>
  <c r="M86" i="20"/>
  <c r="Q44" i="19"/>
  <c r="N44" i="19"/>
  <c r="AN44" i="19" s="1"/>
  <c r="U44" i="19"/>
  <c r="O49" i="19"/>
  <c r="AI49" i="19" s="1"/>
  <c r="Q16" i="19"/>
  <c r="AC16" i="19"/>
  <c r="AD16" i="19" s="1"/>
  <c r="U16" i="19"/>
  <c r="BN26" i="19"/>
  <c r="AO26" i="19"/>
  <c r="M47" i="20"/>
  <c r="AO99" i="19"/>
  <c r="N99" i="19"/>
  <c r="Z99" i="19" s="1"/>
  <c r="AA99" i="19" s="1"/>
  <c r="AB99" i="19" s="1"/>
  <c r="P99" i="19"/>
  <c r="U78" i="19"/>
  <c r="M21" i="20"/>
  <c r="P53" i="20"/>
  <c r="P48" i="20"/>
  <c r="U48" i="20" s="1"/>
  <c r="V48" i="20" s="1"/>
  <c r="W48" i="20" s="1"/>
  <c r="P80" i="20"/>
  <c r="P51" i="20"/>
  <c r="M94" i="20"/>
  <c r="U50" i="19"/>
  <c r="M45" i="20"/>
  <c r="M24" i="20"/>
  <c r="P88" i="20"/>
  <c r="P10" i="20"/>
  <c r="P62" i="20"/>
  <c r="P44" i="20"/>
  <c r="M22" i="20"/>
  <c r="AK70" i="19"/>
  <c r="AL70" i="19" s="1"/>
  <c r="AE70" i="19"/>
  <c r="U70" i="19"/>
  <c r="S6" i="19"/>
  <c r="T6" i="19" s="1"/>
  <c r="AM6" i="19"/>
  <c r="P73" i="20"/>
  <c r="P68" i="20"/>
  <c r="P100" i="20"/>
  <c r="M59" i="20"/>
  <c r="P54" i="20"/>
  <c r="U54" i="20" s="1"/>
  <c r="V54" i="20" s="1"/>
  <c r="W54" i="20" s="1"/>
  <c r="AC31" i="19"/>
  <c r="AD31" i="19" s="1"/>
  <c r="AO31" i="19"/>
  <c r="Q31" i="19"/>
  <c r="BN66" i="19"/>
  <c r="AO81" i="19"/>
  <c r="AE8" i="19"/>
  <c r="AC8" i="19"/>
  <c r="AD8" i="19" s="1"/>
  <c r="AM8" i="19"/>
  <c r="M42" i="20"/>
  <c r="M97" i="20"/>
  <c r="M18" i="20"/>
  <c r="P86" i="20"/>
  <c r="K93" i="19"/>
  <c r="L93" i="19" s="1"/>
  <c r="P58" i="20"/>
  <c r="S31" i="19"/>
  <c r="T31" i="19" s="1"/>
  <c r="U31" i="19"/>
  <c r="BN31" i="19"/>
  <c r="P83" i="20"/>
  <c r="BN99" i="19"/>
  <c r="U99" i="19"/>
  <c r="M85" i="20"/>
  <c r="P16" i="20"/>
  <c r="M19" i="20"/>
  <c r="P13" i="20"/>
  <c r="M77" i="20"/>
  <c r="P74" i="20"/>
  <c r="AO70" i="19"/>
  <c r="N70" i="19"/>
  <c r="Z70" i="19" s="1"/>
  <c r="AA70" i="19" s="1"/>
  <c r="AB70" i="19" s="1"/>
  <c r="BN6" i="19"/>
  <c r="P9" i="20"/>
  <c r="P105" i="20"/>
  <c r="M36" i="20"/>
  <c r="M27" i="20"/>
  <c r="P99" i="20"/>
  <c r="P39" i="20"/>
  <c r="AE31" i="19"/>
  <c r="N31" i="19"/>
  <c r="Z31" i="19" s="1"/>
  <c r="AA31" i="19" s="1"/>
  <c r="AB31" i="19" s="1"/>
  <c r="W28" i="19"/>
  <c r="X28" i="19" s="1"/>
  <c r="Y28" i="19" s="1"/>
  <c r="AK81" i="19"/>
  <c r="AL81" i="19" s="1"/>
  <c r="BN8" i="19"/>
  <c r="M93" i="20"/>
  <c r="P106" i="20"/>
  <c r="BN28" i="19"/>
  <c r="Q103" i="19"/>
  <c r="K96" i="19"/>
  <c r="L96" i="19" s="1"/>
  <c r="M23" i="20"/>
  <c r="N83" i="19"/>
  <c r="AN83" i="19" s="1"/>
  <c r="AO83" i="19"/>
  <c r="Q83" i="19"/>
  <c r="AM83" i="19"/>
  <c r="AK83" i="19"/>
  <c r="AL83" i="19" s="1"/>
  <c r="AO33" i="19"/>
  <c r="P33" i="19"/>
  <c r="AK33" i="19"/>
  <c r="AL33" i="19" s="1"/>
  <c r="W33" i="19"/>
  <c r="X33" i="19" s="1"/>
  <c r="Y33" i="19" s="1"/>
  <c r="O10" i="19"/>
  <c r="AI10" i="19" s="1"/>
  <c r="AO90" i="19"/>
  <c r="AC90" i="19"/>
  <c r="AD90" i="19" s="1"/>
  <c r="W52" i="19"/>
  <c r="X52" i="19" s="1"/>
  <c r="Y52" i="19" s="1"/>
  <c r="Q52" i="19"/>
  <c r="AO52" i="19"/>
  <c r="AK52" i="19"/>
  <c r="AL52" i="19" s="1"/>
  <c r="P52" i="19"/>
  <c r="BN52" i="19"/>
  <c r="AC52" i="19"/>
  <c r="AD52" i="19" s="1"/>
  <c r="AE52" i="19"/>
  <c r="AM52" i="19"/>
  <c r="N52" i="19"/>
  <c r="Z52" i="19" s="1"/>
  <c r="AA52" i="19" s="1"/>
  <c r="AB52" i="19" s="1"/>
  <c r="U52" i="19"/>
  <c r="S52" i="19"/>
  <c r="T52" i="19" s="1"/>
  <c r="AC96" i="19"/>
  <c r="AD96" i="19" s="1"/>
  <c r="N96" i="19"/>
  <c r="AN96" i="19" s="1"/>
  <c r="Q96" i="19"/>
  <c r="P96" i="19"/>
  <c r="BN96" i="19"/>
  <c r="U96" i="19"/>
  <c r="V96" i="19" s="1"/>
  <c r="BT96" i="19" s="1"/>
  <c r="AM96" i="19"/>
  <c r="AE96" i="19"/>
  <c r="AO96" i="19"/>
  <c r="AK96" i="19"/>
  <c r="AL96" i="19" s="1"/>
  <c r="P80" i="19"/>
  <c r="BN80" i="19"/>
  <c r="O38" i="19"/>
  <c r="AI38" i="19" s="1"/>
  <c r="P68" i="19"/>
  <c r="AM68" i="19"/>
  <c r="AO68" i="19"/>
  <c r="AC68" i="19"/>
  <c r="AD68" i="19" s="1"/>
  <c r="S68" i="19"/>
  <c r="T68" i="19" s="1"/>
  <c r="Q68" i="19"/>
  <c r="U68" i="19"/>
  <c r="AK68" i="19"/>
  <c r="AL68" i="19" s="1"/>
  <c r="BN68" i="19"/>
  <c r="AE16" i="19"/>
  <c r="S16" i="19"/>
  <c r="T16" i="19" s="1"/>
  <c r="P16" i="19"/>
  <c r="AE77" i="19"/>
  <c r="S66" i="19"/>
  <c r="T66" i="19" s="1"/>
  <c r="AC66" i="19"/>
  <c r="AD66" i="19" s="1"/>
  <c r="U66" i="19"/>
  <c r="U103" i="19"/>
  <c r="AE103" i="19"/>
  <c r="K100" i="19"/>
  <c r="L100" i="19" s="1"/>
  <c r="K101" i="19"/>
  <c r="L101" i="19" s="1"/>
  <c r="K88" i="19"/>
  <c r="L88" i="19" s="1"/>
  <c r="K86" i="19"/>
  <c r="L86" i="19" s="1"/>
  <c r="K97" i="19"/>
  <c r="L97" i="19" s="1"/>
  <c r="O86" i="19"/>
  <c r="AI86" i="19" s="1"/>
  <c r="AK93" i="19"/>
  <c r="AL93" i="19" s="1"/>
  <c r="BN44" i="19"/>
  <c r="W50" i="19"/>
  <c r="X50" i="19" s="1"/>
  <c r="Y50" i="19" s="1"/>
  <c r="P37" i="20"/>
  <c r="P69" i="20"/>
  <c r="Q69" i="20" s="1"/>
  <c r="R69" i="20" s="1"/>
  <c r="M101" i="20"/>
  <c r="M32" i="20"/>
  <c r="P64" i="20"/>
  <c r="P96" i="20"/>
  <c r="M26" i="20"/>
  <c r="M90" i="20"/>
  <c r="P103" i="20"/>
  <c r="P63" i="20"/>
  <c r="Q63" i="20" s="1"/>
  <c r="R63" i="20" s="1"/>
  <c r="M15" i="20"/>
  <c r="AC55" i="19"/>
  <c r="AD55" i="19" s="1"/>
  <c r="Q55" i="19"/>
  <c r="N100" i="19"/>
  <c r="AM100" i="19"/>
  <c r="P100" i="19"/>
  <c r="M17" i="20"/>
  <c r="M81" i="20"/>
  <c r="M44" i="20"/>
  <c r="P50" i="20"/>
  <c r="P48" i="19"/>
  <c r="M89" i="20"/>
  <c r="M52" i="20"/>
  <c r="P84" i="20"/>
  <c r="M91" i="20"/>
  <c r="P46" i="20"/>
  <c r="M55" i="20"/>
  <c r="AM16" i="19"/>
  <c r="BN16" i="19"/>
  <c r="N16" i="19"/>
  <c r="AN16" i="19" s="1"/>
  <c r="W80" i="19"/>
  <c r="X80" i="19" s="1"/>
  <c r="Y80" i="19" s="1"/>
  <c r="BN77" i="19"/>
  <c r="AM66" i="19"/>
  <c r="AE66" i="19"/>
  <c r="P66" i="19"/>
  <c r="M61" i="20"/>
  <c r="AK28" i="19"/>
  <c r="AL28" i="19" s="1"/>
  <c r="AM103" i="19"/>
  <c r="BN103" i="19"/>
  <c r="P18" i="20"/>
  <c r="P102" i="20"/>
  <c r="K95" i="19"/>
  <c r="L95" i="19" s="1"/>
  <c r="K102" i="19"/>
  <c r="L102" i="19" s="1"/>
  <c r="K91" i="19"/>
  <c r="L91" i="19" s="1"/>
  <c r="K103" i="19"/>
  <c r="L103" i="19" s="1"/>
  <c r="K89" i="19"/>
  <c r="L89" i="19" s="1"/>
  <c r="AC93" i="19"/>
  <c r="AD93" i="19" s="1"/>
  <c r="AE93" i="19"/>
  <c r="Q93" i="19"/>
  <c r="AC78" i="19"/>
  <c r="AD78" i="19" s="1"/>
  <c r="Q78" i="19"/>
  <c r="R78" i="19" s="1"/>
  <c r="AQ78" i="19" s="1"/>
  <c r="P38" i="20"/>
  <c r="N55" i="19"/>
  <c r="AN55" i="19" s="1"/>
  <c r="AK100" i="19"/>
  <c r="AL100" i="19" s="1"/>
  <c r="AO100" i="19"/>
  <c r="P14" i="20"/>
  <c r="W66" i="19"/>
  <c r="X66" i="19" s="1"/>
  <c r="Y66" i="19" s="1"/>
  <c r="AO48" i="19"/>
  <c r="M9" i="20"/>
  <c r="M41" i="20"/>
  <c r="M73" i="20"/>
  <c r="AK16" i="19"/>
  <c r="AL16" i="19" s="1"/>
  <c r="AO16" i="19"/>
  <c r="AC77" i="19"/>
  <c r="AD77" i="19" s="1"/>
  <c r="AK66" i="19"/>
  <c r="AL66" i="19" s="1"/>
  <c r="N66" i="19"/>
  <c r="AN66" i="19" s="1"/>
  <c r="N28" i="19"/>
  <c r="Z28" i="19" s="1"/>
  <c r="AA28" i="19" s="1"/>
  <c r="AB28" i="19" s="1"/>
  <c r="N103" i="19"/>
  <c r="AN103" i="19" s="1"/>
  <c r="AC103" i="19"/>
  <c r="AD103" i="19" s="1"/>
  <c r="P103" i="19"/>
  <c r="K99" i="19"/>
  <c r="L99" i="19" s="1"/>
  <c r="K90" i="19"/>
  <c r="L90" i="19" s="1"/>
  <c r="K98" i="19"/>
  <c r="L98" i="19" s="1"/>
  <c r="S59" i="19"/>
  <c r="T59" i="19" s="1"/>
  <c r="BN59" i="19"/>
  <c r="U59" i="19"/>
  <c r="AM59" i="19"/>
  <c r="AK59" i="19"/>
  <c r="AL59" i="19" s="1"/>
  <c r="P59" i="19"/>
  <c r="AC59" i="19"/>
  <c r="AD59" i="19" s="1"/>
  <c r="Q59" i="19"/>
  <c r="AE59" i="19"/>
  <c r="N59" i="19"/>
  <c r="AO59" i="19"/>
  <c r="BN34" i="19"/>
  <c r="N34" i="19"/>
  <c r="Z34" i="19" s="1"/>
  <c r="AA34" i="19" s="1"/>
  <c r="AB34" i="19" s="1"/>
  <c r="AE34" i="19"/>
  <c r="AM34" i="19"/>
  <c r="U34" i="19"/>
  <c r="AO34" i="19"/>
  <c r="Q34" i="19"/>
  <c r="AC34" i="19"/>
  <c r="AD34" i="19" s="1"/>
  <c r="W34" i="19"/>
  <c r="X34" i="19" s="1"/>
  <c r="Y34" i="19" s="1"/>
  <c r="AC44" i="19"/>
  <c r="AD44" i="19" s="1"/>
  <c r="AK44" i="19"/>
  <c r="AL44" i="19" s="1"/>
  <c r="Q26" i="19"/>
  <c r="AM26" i="19"/>
  <c r="AE26" i="19"/>
  <c r="AC26" i="19"/>
  <c r="AD26" i="19" s="1"/>
  <c r="AK26" i="19"/>
  <c r="AL26" i="19" s="1"/>
  <c r="P26" i="19"/>
  <c r="S26" i="19"/>
  <c r="T26" i="19" s="1"/>
  <c r="U26" i="19"/>
  <c r="AC91" i="19"/>
  <c r="AD91" i="19" s="1"/>
  <c r="AO91" i="19"/>
  <c r="AK91" i="19"/>
  <c r="AL91" i="19" s="1"/>
  <c r="P91" i="19"/>
  <c r="R91" i="19" s="1"/>
  <c r="AQ91" i="19" s="1"/>
  <c r="N91" i="19"/>
  <c r="AN91" i="19" s="1"/>
  <c r="U91" i="19"/>
  <c r="S91" i="19"/>
  <c r="T91" i="19" s="1"/>
  <c r="AM91" i="19"/>
  <c r="W44" i="19"/>
  <c r="X44" i="19" s="1"/>
  <c r="Y44" i="19" s="1"/>
  <c r="P57" i="19"/>
  <c r="U57" i="19"/>
  <c r="S57" i="19"/>
  <c r="T57" i="19" s="1"/>
  <c r="N57" i="19"/>
  <c r="AN57" i="19" s="1"/>
  <c r="AK57" i="19"/>
  <c r="AL57" i="19" s="1"/>
  <c r="BN57" i="19"/>
  <c r="AE57" i="19"/>
  <c r="N51" i="19"/>
  <c r="AE51" i="19"/>
  <c r="U51" i="19"/>
  <c r="P51" i="19"/>
  <c r="BN51" i="19"/>
  <c r="Q51" i="19"/>
  <c r="AK51" i="19"/>
  <c r="AL51" i="19" s="1"/>
  <c r="AM51" i="19"/>
  <c r="AO51" i="19"/>
  <c r="AC51" i="19"/>
  <c r="AD51" i="19" s="1"/>
  <c r="S51" i="19"/>
  <c r="T51" i="19" s="1"/>
  <c r="O75" i="19"/>
  <c r="AI75" i="19" s="1"/>
  <c r="O97" i="19"/>
  <c r="AI97" i="19" s="1"/>
  <c r="P76" i="19"/>
  <c r="U76" i="19"/>
  <c r="V76" i="19" s="1"/>
  <c r="BT76" i="19" s="1"/>
  <c r="AO76" i="19"/>
  <c r="Q76" i="19"/>
  <c r="AC76" i="19"/>
  <c r="AD76" i="19" s="1"/>
  <c r="AE76" i="19"/>
  <c r="BN76" i="19"/>
  <c r="N76" i="19"/>
  <c r="Z76" i="19" s="1"/>
  <c r="AA76" i="19" s="1"/>
  <c r="AB76" i="19" s="1"/>
  <c r="O20" i="19"/>
  <c r="AI20" i="19" s="1"/>
  <c r="O14" i="19"/>
  <c r="AI14" i="19" s="1"/>
  <c r="N50" i="19"/>
  <c r="Z50" i="19" s="1"/>
  <c r="AA50" i="19" s="1"/>
  <c r="AB50" i="19" s="1"/>
  <c r="AM50" i="19"/>
  <c r="S50" i="19"/>
  <c r="T50" i="19" s="1"/>
  <c r="P69" i="19"/>
  <c r="AK69" i="19"/>
  <c r="AL69" i="19" s="1"/>
  <c r="AO69" i="19"/>
  <c r="U69" i="19"/>
  <c r="AE69" i="19"/>
  <c r="Q69" i="19"/>
  <c r="S69" i="19"/>
  <c r="T69" i="19" s="1"/>
  <c r="AM69" i="19"/>
  <c r="O18" i="19"/>
  <c r="AI18" i="19" s="1"/>
  <c r="W91" i="19"/>
  <c r="X91" i="19" s="1"/>
  <c r="Y91" i="19" s="1"/>
  <c r="AE78" i="19"/>
  <c r="AO44" i="19"/>
  <c r="AM44" i="19"/>
  <c r="W69" i="19"/>
  <c r="X69" i="19" s="1"/>
  <c r="Y69" i="19" s="1"/>
  <c r="AK55" i="19"/>
  <c r="AL55" i="19" s="1"/>
  <c r="AE50" i="19"/>
  <c r="BN50" i="19"/>
  <c r="AC27" i="19"/>
  <c r="AD27" i="19" s="1"/>
  <c r="W76" i="19"/>
  <c r="X76" i="19" s="1"/>
  <c r="Y76" i="19" s="1"/>
  <c r="Q57" i="19"/>
  <c r="N26" i="19"/>
  <c r="Z26" i="19" s="1"/>
  <c r="AA26" i="19" s="1"/>
  <c r="AB26" i="19" s="1"/>
  <c r="P34" i="19"/>
  <c r="AC69" i="19"/>
  <c r="AD69" i="19" s="1"/>
  <c r="O79" i="19"/>
  <c r="AI79" i="19" s="1"/>
  <c r="W56" i="19"/>
  <c r="X56" i="19" s="1"/>
  <c r="Y56" i="19" s="1"/>
  <c r="AM56" i="19"/>
  <c r="N56" i="19"/>
  <c r="AN56" i="19" s="1"/>
  <c r="S56" i="19"/>
  <c r="T56" i="19" s="1"/>
  <c r="O53" i="19"/>
  <c r="AI53" i="19" s="1"/>
  <c r="P9" i="19"/>
  <c r="AM9" i="19"/>
  <c r="U9" i="19"/>
  <c r="N9" i="19"/>
  <c r="BN9" i="19"/>
  <c r="AE9" i="19"/>
  <c r="Q9" i="19"/>
  <c r="AO9" i="19"/>
  <c r="AK9" i="19"/>
  <c r="AL9" i="19" s="1"/>
  <c r="S9" i="19"/>
  <c r="T9" i="19" s="1"/>
  <c r="O12" i="19"/>
  <c r="AI12" i="19" s="1"/>
  <c r="BN37" i="19"/>
  <c r="U37" i="19"/>
  <c r="N37" i="19"/>
  <c r="P37" i="19"/>
  <c r="AE37" i="19"/>
  <c r="Q37" i="19"/>
  <c r="AM37" i="19"/>
  <c r="AC37" i="19"/>
  <c r="AD37" i="19" s="1"/>
  <c r="S37" i="19"/>
  <c r="T37" i="19" s="1"/>
  <c r="AK37" i="19"/>
  <c r="AL37" i="19" s="1"/>
  <c r="AO37" i="19"/>
  <c r="O104" i="19"/>
  <c r="AI104" i="19" s="1"/>
  <c r="O101" i="19"/>
  <c r="AI101" i="19" s="1"/>
  <c r="AM78" i="19"/>
  <c r="AO78" i="19"/>
  <c r="S78" i="19"/>
  <c r="T78" i="19" s="1"/>
  <c r="O85" i="19"/>
  <c r="AI85" i="19" s="1"/>
  <c r="O98" i="19"/>
  <c r="AI98" i="19" s="1"/>
  <c r="W27" i="19"/>
  <c r="X27" i="19" s="1"/>
  <c r="Y27" i="19" s="1"/>
  <c r="Q27" i="19"/>
  <c r="AK27" i="19"/>
  <c r="AL27" i="19" s="1"/>
  <c r="AO27" i="19"/>
  <c r="W55" i="19"/>
  <c r="X55" i="19" s="1"/>
  <c r="Y55" i="19" s="1"/>
  <c r="P55" i="19"/>
  <c r="U55" i="19"/>
  <c r="S55" i="19"/>
  <c r="T55" i="19" s="1"/>
  <c r="U41" i="19"/>
  <c r="AM41" i="19"/>
  <c r="N41" i="19"/>
  <c r="AC41" i="19"/>
  <c r="AD41" i="19" s="1"/>
  <c r="BN41" i="19"/>
  <c r="Q41" i="19"/>
  <c r="AK41" i="19"/>
  <c r="AL41" i="19" s="1"/>
  <c r="S41" i="19"/>
  <c r="T41" i="19" s="1"/>
  <c r="P41" i="19"/>
  <c r="AE41" i="19"/>
  <c r="O74" i="19"/>
  <c r="AI74" i="19" s="1"/>
  <c r="O84" i="19"/>
  <c r="AI84" i="19" s="1"/>
  <c r="O35" i="19"/>
  <c r="AI35" i="19" s="1"/>
  <c r="AO41" i="19"/>
  <c r="N78" i="19"/>
  <c r="Z78" i="19" s="1"/>
  <c r="AA78" i="19" s="1"/>
  <c r="AB78" i="19" s="1"/>
  <c r="AK78" i="19"/>
  <c r="AL78" i="19" s="1"/>
  <c r="S44" i="19"/>
  <c r="T44" i="19" s="1"/>
  <c r="AE44" i="19"/>
  <c r="P44" i="19"/>
  <c r="AO55" i="19"/>
  <c r="AK50" i="19"/>
  <c r="AL50" i="19" s="1"/>
  <c r="AC50" i="19"/>
  <c r="AD50" i="19" s="1"/>
  <c r="Q50" i="19"/>
  <c r="S27" i="19"/>
  <c r="T27" i="19" s="1"/>
  <c r="BN27" i="19"/>
  <c r="AM76" i="19"/>
  <c r="AO57" i="19"/>
  <c r="S34" i="19"/>
  <c r="T34" i="19" s="1"/>
  <c r="BN91" i="19"/>
  <c r="N69" i="19"/>
  <c r="Z69" i="19" s="1"/>
  <c r="AA69" i="19" s="1"/>
  <c r="AB69" i="19" s="1"/>
  <c r="W65" i="19"/>
  <c r="X65" i="19" s="1"/>
  <c r="Y65" i="19" s="1"/>
  <c r="P65" i="19"/>
  <c r="N65" i="19"/>
  <c r="AN65" i="19" s="1"/>
  <c r="BN65" i="19"/>
  <c r="P47" i="19"/>
  <c r="AO47" i="19"/>
  <c r="AK47" i="19"/>
  <c r="AL47" i="19" s="1"/>
  <c r="O13" i="19"/>
  <c r="AI13" i="19" s="1"/>
  <c r="W59" i="19"/>
  <c r="X59" i="19" s="1"/>
  <c r="Y59" i="19" s="1"/>
  <c r="BN11" i="19"/>
  <c r="U11" i="19"/>
  <c r="AM11" i="19"/>
  <c r="P11" i="19"/>
  <c r="AO11" i="19"/>
  <c r="AE11" i="19"/>
  <c r="N11" i="19"/>
  <c r="Q11" i="19"/>
  <c r="S11" i="19"/>
  <c r="T11" i="19" s="1"/>
  <c r="AK11" i="19"/>
  <c r="AL11" i="19" s="1"/>
  <c r="AC11" i="19"/>
  <c r="AD11" i="19" s="1"/>
  <c r="W26" i="19"/>
  <c r="X26" i="19" s="1"/>
  <c r="Y26" i="19" s="1"/>
  <c r="O25" i="19"/>
  <c r="AI25" i="19" s="1"/>
  <c r="O29" i="19"/>
  <c r="AI29" i="19" s="1"/>
  <c r="U80" i="19"/>
  <c r="N80" i="19"/>
  <c r="AK80" i="19"/>
  <c r="AL80" i="19" s="1"/>
  <c r="AC80" i="19"/>
  <c r="AD80" i="19" s="1"/>
  <c r="AE80" i="19"/>
  <c r="S80" i="19"/>
  <c r="T80" i="19" s="1"/>
  <c r="AM80" i="19"/>
  <c r="Q80" i="19"/>
  <c r="AO80" i="19"/>
  <c r="N33" i="19"/>
  <c r="Z33" i="19" s="1"/>
  <c r="AA33" i="19" s="1"/>
  <c r="AB33" i="19" s="1"/>
  <c r="S33" i="19"/>
  <c r="T33" i="19" s="1"/>
  <c r="Q33" i="19"/>
  <c r="AE33" i="19"/>
  <c r="AM33" i="19"/>
  <c r="BN33" i="19"/>
  <c r="AC33" i="19"/>
  <c r="AD33" i="19" s="1"/>
  <c r="U33" i="19"/>
  <c r="AE68" i="19"/>
  <c r="N68" i="19"/>
  <c r="Z68" i="19" s="1"/>
  <c r="AA68" i="19" s="1"/>
  <c r="AB68" i="19" s="1"/>
  <c r="S48" i="19"/>
  <c r="T48" i="19" s="1"/>
  <c r="AE48" i="19"/>
  <c r="P77" i="19"/>
  <c r="R77" i="19" s="1"/>
  <c r="AQ77" i="19" s="1"/>
  <c r="N77" i="19"/>
  <c r="AN77" i="19" s="1"/>
  <c r="AM77" i="19"/>
  <c r="AO77" i="19"/>
  <c r="AK77" i="19"/>
  <c r="AL77" i="19" s="1"/>
  <c r="N6" i="19"/>
  <c r="Z6" i="19" s="1"/>
  <c r="AA6" i="19" s="1"/>
  <c r="AB6" i="19" s="1"/>
  <c r="U6" i="19"/>
  <c r="AE6" i="19"/>
  <c r="Q81" i="19"/>
  <c r="BN81" i="19"/>
  <c r="AC81" i="19"/>
  <c r="AD81" i="19" s="1"/>
  <c r="N81" i="19"/>
  <c r="Z81" i="19" s="1"/>
  <c r="AA81" i="19" s="1"/>
  <c r="AB81" i="19" s="1"/>
  <c r="AE81" i="19"/>
  <c r="W90" i="19"/>
  <c r="X90" i="19" s="1"/>
  <c r="Y90" i="19" s="1"/>
  <c r="O30" i="19"/>
  <c r="AI30" i="19" s="1"/>
  <c r="O39" i="19"/>
  <c r="AI39" i="19" s="1"/>
  <c r="O45" i="19"/>
  <c r="AI45" i="19" s="1"/>
  <c r="N71" i="19"/>
  <c r="AM71" i="19"/>
  <c r="P71" i="19"/>
  <c r="S71" i="19"/>
  <c r="T71" i="19" s="1"/>
  <c r="BN71" i="19"/>
  <c r="U71" i="19"/>
  <c r="Q71" i="19"/>
  <c r="AE71" i="19"/>
  <c r="AK71" i="19"/>
  <c r="AL71" i="19" s="1"/>
  <c r="W96" i="19"/>
  <c r="X96" i="19" s="1"/>
  <c r="Y96" i="19" s="1"/>
  <c r="O63" i="19"/>
  <c r="AI63" i="19" s="1"/>
  <c r="O46" i="19"/>
  <c r="AI46" i="19" s="1"/>
  <c r="W77" i="19"/>
  <c r="X77" i="19" s="1"/>
  <c r="Y77" i="19" s="1"/>
  <c r="O40" i="19"/>
  <c r="AI40" i="19" s="1"/>
  <c r="AE83" i="19"/>
  <c r="U83" i="19"/>
  <c r="S83" i="19"/>
  <c r="T83" i="19" s="1"/>
  <c r="P83" i="19"/>
  <c r="AC83" i="19"/>
  <c r="AD83" i="19" s="1"/>
  <c r="BN83" i="19"/>
  <c r="N48" i="19"/>
  <c r="Z48" i="19" s="1"/>
  <c r="AA48" i="19" s="1"/>
  <c r="AB48" i="19" s="1"/>
  <c r="AM48" i="19"/>
  <c r="AK48" i="19"/>
  <c r="AL48" i="19" s="1"/>
  <c r="P28" i="19"/>
  <c r="U28" i="19"/>
  <c r="V28" i="19" s="1"/>
  <c r="BT28" i="19" s="1"/>
  <c r="AO28" i="19"/>
  <c r="Q28" i="19"/>
  <c r="AC28" i="19"/>
  <c r="AD28" i="19" s="1"/>
  <c r="AE28" i="19"/>
  <c r="O17" i="19"/>
  <c r="AI17" i="19" s="1"/>
  <c r="O32" i="19"/>
  <c r="AI32" i="19" s="1"/>
  <c r="O62" i="19"/>
  <c r="AI62" i="19" s="1"/>
  <c r="O102" i="19"/>
  <c r="AI102" i="19" s="1"/>
  <c r="Q21" i="19"/>
  <c r="BN21" i="19"/>
  <c r="AM21" i="19"/>
  <c r="P21" i="19"/>
  <c r="AC21" i="19"/>
  <c r="AD21" i="19" s="1"/>
  <c r="N21" i="19"/>
  <c r="U21" i="19"/>
  <c r="V21" i="19" s="1"/>
  <c r="BT21" i="19" s="1"/>
  <c r="AE21" i="19"/>
  <c r="AK21" i="19"/>
  <c r="AL21" i="19" s="1"/>
  <c r="O95" i="19"/>
  <c r="AI95" i="19" s="1"/>
  <c r="O54" i="19"/>
  <c r="AI54" i="19" s="1"/>
  <c r="O73" i="19"/>
  <c r="AI73" i="19" s="1"/>
  <c r="O82" i="19"/>
  <c r="AI82" i="19" s="1"/>
  <c r="O42" i="19"/>
  <c r="AI42" i="19" s="1"/>
  <c r="O89" i="19"/>
  <c r="AI89" i="19" s="1"/>
  <c r="O24" i="19"/>
  <c r="AI24" i="19" s="1"/>
  <c r="O88" i="19"/>
  <c r="AI88" i="19" s="1"/>
  <c r="Q90" i="19"/>
  <c r="N90" i="19"/>
  <c r="BN90" i="19"/>
  <c r="P90" i="19"/>
  <c r="AM90" i="19"/>
  <c r="AE90" i="19"/>
  <c r="U90" i="19"/>
  <c r="S90" i="19"/>
  <c r="T90" i="19" s="1"/>
  <c r="AK90" i="19"/>
  <c r="AL90" i="19" s="1"/>
  <c r="O36" i="19"/>
  <c r="AI36" i="19" s="1"/>
  <c r="O43" i="19"/>
  <c r="AI43" i="19" s="1"/>
  <c r="W9" i="19"/>
  <c r="X9" i="19" s="1"/>
  <c r="Y9" i="19" s="1"/>
  <c r="O61" i="19"/>
  <c r="AI61" i="19" s="1"/>
  <c r="AO21" i="19"/>
  <c r="AO71" i="19"/>
  <c r="AO103" i="19"/>
  <c r="W83" i="19"/>
  <c r="X83" i="19" s="1"/>
  <c r="Y83" i="19" s="1"/>
  <c r="W11" i="19"/>
  <c r="X11" i="19" s="1"/>
  <c r="Y11" i="19" s="1"/>
  <c r="O72" i="19"/>
  <c r="AI72" i="19" s="1"/>
  <c r="W31" i="19"/>
  <c r="X31" i="19" s="1"/>
  <c r="Y31" i="19" s="1"/>
  <c r="M106" i="19"/>
  <c r="O87" i="19"/>
  <c r="AI87" i="19" s="1"/>
  <c r="W16" i="19"/>
  <c r="X16" i="19" s="1"/>
  <c r="Y16" i="19" s="1"/>
  <c r="W71" i="19"/>
  <c r="X71" i="19" s="1"/>
  <c r="Y71" i="19" s="1"/>
  <c r="O58" i="19"/>
  <c r="AI58" i="19" s="1"/>
  <c r="O23" i="19"/>
  <c r="AI23" i="19" s="1"/>
  <c r="W37" i="19"/>
  <c r="X37" i="19" s="1"/>
  <c r="Y37" i="19" s="1"/>
  <c r="O64" i="19"/>
  <c r="AI64" i="19" s="1"/>
  <c r="W21" i="19"/>
  <c r="X21" i="19" s="1"/>
  <c r="Y21" i="19" s="1"/>
  <c r="W78" i="19"/>
  <c r="X78" i="19" s="1"/>
  <c r="Y78" i="19" s="1"/>
  <c r="W51" i="19"/>
  <c r="X51" i="19" s="1"/>
  <c r="Y51" i="19" s="1"/>
  <c r="W81" i="19"/>
  <c r="X81" i="19" s="1"/>
  <c r="Y81" i="19" s="1"/>
  <c r="W41" i="19"/>
  <c r="X41" i="19" s="1"/>
  <c r="Y41" i="19" s="1"/>
  <c r="O7" i="19"/>
  <c r="AI7" i="19" s="1"/>
  <c r="W70" i="19"/>
  <c r="X70" i="19" s="1"/>
  <c r="Y70" i="19" s="1"/>
  <c r="W48" i="19"/>
  <c r="X48" i="19" s="1"/>
  <c r="Y48" i="19" s="1"/>
  <c r="W6" i="19"/>
  <c r="X6" i="19" s="1"/>
  <c r="Y6" i="19" s="1"/>
  <c r="W68" i="19"/>
  <c r="X68" i="19" s="1"/>
  <c r="Y68" i="19" s="1"/>
  <c r="O19" i="19"/>
  <c r="AI19" i="19" s="1"/>
  <c r="O60" i="19"/>
  <c r="AI60" i="19" s="1"/>
  <c r="O15" i="19"/>
  <c r="AI15" i="19" s="1"/>
  <c r="O22" i="19"/>
  <c r="AI22" i="19" s="1"/>
  <c r="U7" i="20"/>
  <c r="V7" i="20" s="1"/>
  <c r="W7" i="20" s="1"/>
  <c r="Q7" i="20"/>
  <c r="R7" i="20" s="1"/>
  <c r="AM56" i="20" l="1"/>
  <c r="AA106" i="20"/>
  <c r="AB106" i="20" s="1"/>
  <c r="AA9" i="20"/>
  <c r="AB9" i="20" s="1"/>
  <c r="AI7" i="20"/>
  <c r="AJ7" i="20" s="1"/>
  <c r="AP19" i="20"/>
  <c r="BO19" i="20" s="1"/>
  <c r="B65" i="2"/>
  <c r="E20" i="1" s="1"/>
  <c r="K7" i="20"/>
  <c r="X7" i="20" s="1"/>
  <c r="Y7" i="20" s="1"/>
  <c r="Z7" i="20" s="1"/>
  <c r="K68" i="20"/>
  <c r="X68" i="20" s="1"/>
  <c r="Y68" i="20" s="1"/>
  <c r="Z68" i="20" s="1"/>
  <c r="K51" i="20"/>
  <c r="X51" i="20" s="1"/>
  <c r="Y51" i="20" s="1"/>
  <c r="Z51" i="20" s="1"/>
  <c r="AA17" i="20"/>
  <c r="AB17" i="20" s="1"/>
  <c r="AA101" i="20"/>
  <c r="AB101" i="20" s="1"/>
  <c r="K92" i="20"/>
  <c r="X92" i="20" s="1"/>
  <c r="Y92" i="20" s="1"/>
  <c r="Z92" i="20" s="1"/>
  <c r="AA70" i="20"/>
  <c r="AB70" i="20" s="1"/>
  <c r="K73" i="20"/>
  <c r="X73" i="20" s="1"/>
  <c r="Y73" i="20" s="1"/>
  <c r="Z73" i="20" s="1"/>
  <c r="AA104" i="20"/>
  <c r="AB104" i="20" s="1"/>
  <c r="AA66" i="20"/>
  <c r="AB66" i="20" s="1"/>
  <c r="AA34" i="20"/>
  <c r="AB34" i="20" s="1"/>
  <c r="AA59" i="20"/>
  <c r="AB59" i="20" s="1"/>
  <c r="AA11" i="20"/>
  <c r="AB11" i="20" s="1"/>
  <c r="AI6" i="20"/>
  <c r="AJ6" i="20" s="1"/>
  <c r="B58" i="2"/>
  <c r="B60" i="2" s="1"/>
  <c r="E17" i="1" s="1"/>
  <c r="AA10" i="20"/>
  <c r="AB10" i="20" s="1"/>
  <c r="K57" i="20"/>
  <c r="X57" i="20" s="1"/>
  <c r="Y57" i="20" s="1"/>
  <c r="Z57" i="20" s="1"/>
  <c r="K42" i="20"/>
  <c r="X42" i="20" s="1"/>
  <c r="Y42" i="20" s="1"/>
  <c r="Z42" i="20" s="1"/>
  <c r="AA30" i="20"/>
  <c r="AB30" i="20" s="1"/>
  <c r="S40" i="20"/>
  <c r="AK76" i="20"/>
  <c r="AS41" i="19"/>
  <c r="AH10" i="19"/>
  <c r="AH7" i="19"/>
  <c r="AH40" i="19"/>
  <c r="AH30" i="19"/>
  <c r="AH45" i="19"/>
  <c r="AH53" i="19"/>
  <c r="AH102" i="19"/>
  <c r="AH18" i="19"/>
  <c r="AH98" i="19"/>
  <c r="AH60" i="19"/>
  <c r="AH42" i="19"/>
  <c r="AH79" i="19"/>
  <c r="AH63" i="19"/>
  <c r="AH20" i="19"/>
  <c r="AH13" i="19"/>
  <c r="AH39" i="19"/>
  <c r="AH97" i="19"/>
  <c r="AH43" i="19"/>
  <c r="AH73" i="19"/>
  <c r="AH25" i="19"/>
  <c r="AH49" i="19"/>
  <c r="AH29" i="19"/>
  <c r="AH88" i="19"/>
  <c r="AH23" i="19"/>
  <c r="AH86" i="19"/>
  <c r="AH87" i="19"/>
  <c r="AH94" i="19"/>
  <c r="AH17" i="19"/>
  <c r="AH36" i="19"/>
  <c r="AH32" i="19"/>
  <c r="AH61" i="19"/>
  <c r="AH19" i="19"/>
  <c r="AH101" i="19"/>
  <c r="AH58" i="19"/>
  <c r="AH92" i="19"/>
  <c r="AH104" i="19"/>
  <c r="AH82" i="19"/>
  <c r="AH35" i="19"/>
  <c r="AH15" i="19"/>
  <c r="AH12" i="19"/>
  <c r="AH22" i="19"/>
  <c r="AH46" i="19"/>
  <c r="AH74" i="19"/>
  <c r="AH38" i="19"/>
  <c r="AH72" i="19"/>
  <c r="AH64" i="19"/>
  <c r="AH85" i="19"/>
  <c r="AH24" i="19"/>
  <c r="AH54" i="19"/>
  <c r="AH95" i="19"/>
  <c r="AH75" i="19"/>
  <c r="AH62" i="19"/>
  <c r="AH14" i="19"/>
  <c r="AH84" i="19"/>
  <c r="AH89" i="19"/>
  <c r="AH105" i="19"/>
  <c r="AF71" i="20"/>
  <c r="AF28" i="20"/>
  <c r="S97" i="20"/>
  <c r="AJ9" i="19"/>
  <c r="AA82" i="20"/>
  <c r="AB82" i="20" s="1"/>
  <c r="Q82" i="20"/>
  <c r="R82" i="20" s="1"/>
  <c r="AI82" i="20"/>
  <c r="AJ82" i="20" s="1"/>
  <c r="K82" i="20"/>
  <c r="X82" i="20" s="1"/>
  <c r="Y82" i="20" s="1"/>
  <c r="Z82" i="20" s="1"/>
  <c r="V103" i="19"/>
  <c r="BT103" i="19" s="1"/>
  <c r="W63" i="19"/>
  <c r="X63" i="19" s="1"/>
  <c r="Y63" i="19" s="1"/>
  <c r="W18" i="19"/>
  <c r="X18" i="19" s="1"/>
  <c r="Y18" i="19" s="1"/>
  <c r="W14" i="19"/>
  <c r="X14" i="19" s="1"/>
  <c r="Y14" i="19" s="1"/>
  <c r="W29" i="19"/>
  <c r="X29" i="19" s="1"/>
  <c r="Y29" i="19" s="1"/>
  <c r="AE86" i="19"/>
  <c r="S10" i="19"/>
  <c r="T10" i="19" s="1"/>
  <c r="W73" i="19"/>
  <c r="X73" i="19" s="1"/>
  <c r="Y73" i="19" s="1"/>
  <c r="W102" i="19"/>
  <c r="X102" i="19" s="1"/>
  <c r="Y102" i="19" s="1"/>
  <c r="W89" i="19"/>
  <c r="X89" i="19" s="1"/>
  <c r="Y89" i="19" s="1"/>
  <c r="W62" i="19"/>
  <c r="X62" i="19" s="1"/>
  <c r="Y62" i="19" s="1"/>
  <c r="W46" i="19"/>
  <c r="X46" i="19" s="1"/>
  <c r="Y46" i="19" s="1"/>
  <c r="W45" i="19"/>
  <c r="X45" i="19" s="1"/>
  <c r="Y45" i="19" s="1"/>
  <c r="W74" i="19"/>
  <c r="X74" i="19" s="1"/>
  <c r="Y74" i="19" s="1"/>
  <c r="Q6" i="20"/>
  <c r="R6" i="20" s="1"/>
  <c r="AA6" i="20"/>
  <c r="AB6" i="20" s="1"/>
  <c r="U6" i="20"/>
  <c r="V6" i="20" s="1"/>
  <c r="W6" i="20" s="1"/>
  <c r="K6" i="20"/>
  <c r="X6" i="20" s="1"/>
  <c r="Y6" i="20" s="1"/>
  <c r="Z6" i="20" s="1"/>
  <c r="AJ37" i="19"/>
  <c r="W13" i="19"/>
  <c r="X13" i="19" s="1"/>
  <c r="Y13" i="19" s="1"/>
  <c r="AJ6" i="19"/>
  <c r="V9" i="19"/>
  <c r="BT9" i="19" s="1"/>
  <c r="W17" i="19"/>
  <c r="X17" i="19" s="1"/>
  <c r="Y17" i="19" s="1"/>
  <c r="W15" i="19"/>
  <c r="X15" i="19" s="1"/>
  <c r="Y15" i="19" s="1"/>
  <c r="AM39" i="20"/>
  <c r="S105" i="20"/>
  <c r="AM13" i="20"/>
  <c r="AC58" i="20"/>
  <c r="W7" i="19"/>
  <c r="X7" i="19" s="1"/>
  <c r="Y7" i="19" s="1"/>
  <c r="AJ56" i="19"/>
  <c r="AR77" i="19"/>
  <c r="BS77" i="19" s="1"/>
  <c r="AR78" i="19"/>
  <c r="BS78" i="19" s="1"/>
  <c r="AQ6" i="19"/>
  <c r="AR6" i="19" s="1"/>
  <c r="BS6" i="19" s="1"/>
  <c r="AR67" i="19"/>
  <c r="BS67" i="19" s="1"/>
  <c r="AR91" i="19"/>
  <c r="BS91" i="19" s="1"/>
  <c r="AR8" i="19"/>
  <c r="BS8" i="19" s="1"/>
  <c r="AJ31" i="19"/>
  <c r="V51" i="19"/>
  <c r="BT51" i="19" s="1"/>
  <c r="AJ27" i="19"/>
  <c r="W24" i="19"/>
  <c r="X24" i="19" s="1"/>
  <c r="Y24" i="19" s="1"/>
  <c r="W25" i="19"/>
  <c r="X25" i="19" s="1"/>
  <c r="Y25" i="19" s="1"/>
  <c r="AI75" i="20"/>
  <c r="AJ75" i="20" s="1"/>
  <c r="K75" i="20"/>
  <c r="X75" i="20" s="1"/>
  <c r="Y75" i="20" s="1"/>
  <c r="Z75" i="20" s="1"/>
  <c r="Q75" i="20"/>
  <c r="R75" i="20" s="1"/>
  <c r="AA75" i="20"/>
  <c r="AB75" i="20" s="1"/>
  <c r="AJ66" i="19"/>
  <c r="AJ71" i="19"/>
  <c r="AI12" i="20"/>
  <c r="AJ12" i="20" s="1"/>
  <c r="AJ57" i="19"/>
  <c r="W40" i="19"/>
  <c r="X40" i="19" s="1"/>
  <c r="Y40" i="19" s="1"/>
  <c r="W39" i="19"/>
  <c r="X39" i="19" s="1"/>
  <c r="Y39" i="19" s="1"/>
  <c r="W36" i="19"/>
  <c r="X36" i="19" s="1"/>
  <c r="Y36" i="19" s="1"/>
  <c r="W35" i="19"/>
  <c r="X35" i="19" s="1"/>
  <c r="Y35" i="19" s="1"/>
  <c r="W32" i="19"/>
  <c r="X32" i="19" s="1"/>
  <c r="Y32" i="19" s="1"/>
  <c r="W53" i="19"/>
  <c r="X53" i="19" s="1"/>
  <c r="Y53" i="19" s="1"/>
  <c r="U92" i="20"/>
  <c r="V92" i="20" s="1"/>
  <c r="W92" i="20" s="1"/>
  <c r="AA12" i="20"/>
  <c r="AB12" i="20" s="1"/>
  <c r="W64" i="19"/>
  <c r="X64" i="19" s="1"/>
  <c r="Y64" i="19" s="1"/>
  <c r="W75" i="19"/>
  <c r="X75" i="19" s="1"/>
  <c r="Y75" i="19" s="1"/>
  <c r="AJ65" i="19"/>
  <c r="W85" i="19"/>
  <c r="X85" i="19" s="1"/>
  <c r="Y85" i="19" s="1"/>
  <c r="W61" i="19"/>
  <c r="X61" i="19" s="1"/>
  <c r="Y61" i="19" s="1"/>
  <c r="AA45" i="20"/>
  <c r="AB45" i="20" s="1"/>
  <c r="W72" i="19"/>
  <c r="X72" i="19" s="1"/>
  <c r="Y72" i="19" s="1"/>
  <c r="AP11" i="20"/>
  <c r="BO11" i="20" s="1"/>
  <c r="AI20" i="20"/>
  <c r="AJ20" i="20" s="1"/>
  <c r="K70" i="20"/>
  <c r="X70" i="20" s="1"/>
  <c r="Y70" i="20" s="1"/>
  <c r="Z70" i="20" s="1"/>
  <c r="AG84" i="20"/>
  <c r="AC43" i="20"/>
  <c r="AI70" i="20"/>
  <c r="AJ70" i="20" s="1"/>
  <c r="Q43" i="20"/>
  <c r="R43" i="20" s="1"/>
  <c r="U70" i="20"/>
  <c r="V70" i="20" s="1"/>
  <c r="W70" i="20" s="1"/>
  <c r="AI43" i="20"/>
  <c r="AJ43" i="20" s="1"/>
  <c r="Q70" i="20"/>
  <c r="R70" i="20" s="1"/>
  <c r="AA43" i="20"/>
  <c r="AB43" i="20" s="1"/>
  <c r="AP43" i="20"/>
  <c r="BO43" i="20" s="1"/>
  <c r="AP12" i="20"/>
  <c r="BO12" i="20" s="1"/>
  <c r="AM102" i="20"/>
  <c r="AK103" i="20"/>
  <c r="AC74" i="20"/>
  <c r="AM16" i="20"/>
  <c r="AM83" i="20"/>
  <c r="AP86" i="20"/>
  <c r="BO86" i="20" s="1"/>
  <c r="AC44" i="20"/>
  <c r="K43" i="20"/>
  <c r="X43" i="20" s="1"/>
  <c r="Y43" i="20" s="1"/>
  <c r="Z43" i="20" s="1"/>
  <c r="K11" i="20"/>
  <c r="X11" i="20" s="1"/>
  <c r="Y11" i="20" s="1"/>
  <c r="Z11" i="20" s="1"/>
  <c r="AG70" i="20"/>
  <c r="AM11" i="20"/>
  <c r="Q30" i="20"/>
  <c r="R30" i="20" s="1"/>
  <c r="AI11" i="20"/>
  <c r="AJ11" i="20" s="1"/>
  <c r="AC7" i="20"/>
  <c r="AF33" i="20"/>
  <c r="AK82" i="20"/>
  <c r="Q11" i="20"/>
  <c r="R11" i="20" s="1"/>
  <c r="U11" i="20"/>
  <c r="V11" i="20" s="1"/>
  <c r="W11" i="20" s="1"/>
  <c r="AG43" i="20"/>
  <c r="S82" i="20"/>
  <c r="AM82" i="20"/>
  <c r="AF78" i="20"/>
  <c r="Q92" i="20"/>
  <c r="R92" i="20" s="1"/>
  <c r="AM59" i="20"/>
  <c r="AF59" i="20"/>
  <c r="S45" i="20"/>
  <c r="AM45" i="20"/>
  <c r="AM92" i="20"/>
  <c r="AM75" i="20"/>
  <c r="AK70" i="20"/>
  <c r="AC70" i="20"/>
  <c r="AK7" i="20"/>
  <c r="AF70" i="20"/>
  <c r="AG82" i="20"/>
  <c r="AC97" i="20"/>
  <c r="AC75" i="20"/>
  <c r="AC79" i="20"/>
  <c r="AG97" i="20"/>
  <c r="AF43" i="20"/>
  <c r="S6" i="20"/>
  <c r="S43" i="20"/>
  <c r="AC11" i="20"/>
  <c r="AP7" i="20"/>
  <c r="BO7" i="20" s="1"/>
  <c r="AF77" i="20"/>
  <c r="AP75" i="20"/>
  <c r="BO75" i="20" s="1"/>
  <c r="AM21" i="20"/>
  <c r="S94" i="20"/>
  <c r="S26" i="20"/>
  <c r="AP6" i="20"/>
  <c r="BO6" i="20" s="1"/>
  <c r="AG29" i="20"/>
  <c r="AP52" i="20"/>
  <c r="BO52" i="20" s="1"/>
  <c r="AP93" i="20"/>
  <c r="BO93" i="20" s="1"/>
  <c r="S87" i="20"/>
  <c r="AG60" i="20"/>
  <c r="AF79" i="20"/>
  <c r="AC33" i="20"/>
  <c r="AK65" i="20"/>
  <c r="AG78" i="20"/>
  <c r="S92" i="20"/>
  <c r="K28" i="20"/>
  <c r="X28" i="20" s="1"/>
  <c r="Y28" i="20" s="1"/>
  <c r="Z28" i="20" s="1"/>
  <c r="AK75" i="20"/>
  <c r="S75" i="20"/>
  <c r="AM70" i="20"/>
  <c r="AK33" i="20"/>
  <c r="S7" i="20"/>
  <c r="T7" i="20" s="1"/>
  <c r="BP7" i="20" s="1"/>
  <c r="AM7" i="20"/>
  <c r="AG75" i="20"/>
  <c r="AG7" i="20"/>
  <c r="AF6" i="20"/>
  <c r="AF82" i="20"/>
  <c r="AG6" i="20"/>
  <c r="AC12" i="20"/>
  <c r="AM6" i="20"/>
  <c r="AC6" i="20"/>
  <c r="AK43" i="20"/>
  <c r="AM43" i="20"/>
  <c r="AC59" i="20"/>
  <c r="S11" i="20"/>
  <c r="AC45" i="20"/>
  <c r="AK14" i="20"/>
  <c r="AP70" i="20"/>
  <c r="BO70" i="20" s="1"/>
  <c r="AG62" i="20"/>
  <c r="AM31" i="20"/>
  <c r="AM15" i="20"/>
  <c r="AF8" i="20"/>
  <c r="AP85" i="20"/>
  <c r="BO85" i="20" s="1"/>
  <c r="AG41" i="20"/>
  <c r="AP90" i="20"/>
  <c r="BO90" i="20" s="1"/>
  <c r="AF47" i="20"/>
  <c r="AF91" i="20"/>
  <c r="AF92" i="20"/>
  <c r="S12" i="20"/>
  <c r="T12" i="20" s="1"/>
  <c r="BP12" i="20" s="1"/>
  <c r="AK78" i="20"/>
  <c r="S70" i="20"/>
  <c r="AC65" i="20"/>
  <c r="AF75" i="20"/>
  <c r="AF7" i="20"/>
  <c r="AF11" i="20"/>
  <c r="AG11" i="20"/>
  <c r="AP45" i="20"/>
  <c r="BO45" i="20" s="1"/>
  <c r="AK6" i="20"/>
  <c r="AC82" i="20"/>
  <c r="AK11" i="20"/>
  <c r="AP82" i="20"/>
  <c r="BO82" i="20" s="1"/>
  <c r="S96" i="20"/>
  <c r="AF99" i="20"/>
  <c r="AC100" i="20"/>
  <c r="AG88" i="20"/>
  <c r="AM22" i="20"/>
  <c r="S35" i="20"/>
  <c r="AG81" i="20"/>
  <c r="AM23" i="20"/>
  <c r="AK72" i="20"/>
  <c r="AK67" i="20"/>
  <c r="AC98" i="20"/>
  <c r="AK49" i="20"/>
  <c r="AI78" i="20"/>
  <c r="AJ78" i="20" s="1"/>
  <c r="K33" i="20"/>
  <c r="X33" i="20" s="1"/>
  <c r="Y33" i="20" s="1"/>
  <c r="Z33" i="20" s="1"/>
  <c r="AI79" i="20"/>
  <c r="AJ79" i="20" s="1"/>
  <c r="AG65" i="20"/>
  <c r="AM78" i="20"/>
  <c r="U78" i="20"/>
  <c r="V78" i="20" s="1"/>
  <c r="W78" i="20" s="1"/>
  <c r="AK92" i="20"/>
  <c r="K45" i="20"/>
  <c r="X45" i="20" s="1"/>
  <c r="Y45" i="20" s="1"/>
  <c r="Z45" i="20" s="1"/>
  <c r="K12" i="20"/>
  <c r="X12" i="20" s="1"/>
  <c r="Y12" i="20" s="1"/>
  <c r="Z12" i="20" s="1"/>
  <c r="AC8" i="20"/>
  <c r="AM33" i="20"/>
  <c r="AM65" i="20"/>
  <c r="AF12" i="20"/>
  <c r="AF65" i="20"/>
  <c r="AG45" i="20"/>
  <c r="AM12" i="20"/>
  <c r="U12" i="20"/>
  <c r="V12" i="20" s="1"/>
  <c r="W12" i="20" s="1"/>
  <c r="Q59" i="20"/>
  <c r="R59" i="20" s="1"/>
  <c r="Q45" i="20"/>
  <c r="R45" i="20" s="1"/>
  <c r="AK45" i="20"/>
  <c r="AP78" i="20"/>
  <c r="BO78" i="20" s="1"/>
  <c r="AP92" i="20"/>
  <c r="BO92" i="20" s="1"/>
  <c r="S78" i="20"/>
  <c r="T78" i="20" s="1"/>
  <c r="BP78" i="20" s="1"/>
  <c r="K78" i="20"/>
  <c r="X78" i="20" s="1"/>
  <c r="Y78" i="20" s="1"/>
  <c r="Z78" i="20" s="1"/>
  <c r="S33" i="20"/>
  <c r="S65" i="20"/>
  <c r="AA78" i="20"/>
  <c r="AB78" i="20" s="1"/>
  <c r="AC78" i="20"/>
  <c r="AI92" i="20"/>
  <c r="AJ92" i="20" s="1"/>
  <c r="AA33" i="20"/>
  <c r="AB33" i="20" s="1"/>
  <c r="Q65" i="20"/>
  <c r="R65" i="20" s="1"/>
  <c r="AM52" i="20"/>
  <c r="AG12" i="20"/>
  <c r="AF45" i="20"/>
  <c r="AK12" i="20"/>
  <c r="S59" i="20"/>
  <c r="AI45" i="20"/>
  <c r="AJ45" i="20" s="1"/>
  <c r="U28" i="20"/>
  <c r="V28" i="20" s="1"/>
  <c r="W28" i="20" s="1"/>
  <c r="S30" i="20"/>
  <c r="AF25" i="20"/>
  <c r="AM20" i="20"/>
  <c r="AN20" i="20" s="1"/>
  <c r="AF20" i="20"/>
  <c r="U49" i="20"/>
  <c r="V49" i="20" s="1"/>
  <c r="W49" i="20" s="1"/>
  <c r="AA97" i="20"/>
  <c r="AB97" i="20" s="1"/>
  <c r="AP49" i="20"/>
  <c r="BO49" i="20" s="1"/>
  <c r="AI25" i="20"/>
  <c r="AJ25" i="20" s="1"/>
  <c r="Q42" i="20"/>
  <c r="R42" i="20" s="1"/>
  <c r="AC25" i="20"/>
  <c r="AG30" i="20"/>
  <c r="AP35" i="20"/>
  <c r="BO35" i="20" s="1"/>
  <c r="AM42" i="20"/>
  <c r="K30" i="20"/>
  <c r="X30" i="20" s="1"/>
  <c r="Y30" i="20" s="1"/>
  <c r="Z30" i="20" s="1"/>
  <c r="AA25" i="20"/>
  <c r="AB25" i="20" s="1"/>
  <c r="AG25" i="20"/>
  <c r="AC30" i="20"/>
  <c r="AI30" i="20"/>
  <c r="AJ30" i="20" s="1"/>
  <c r="Q28" i="20"/>
  <c r="R28" i="20" s="1"/>
  <c r="AK42" i="20"/>
  <c r="K97" i="20"/>
  <c r="X97" i="20" s="1"/>
  <c r="Y97" i="20" s="1"/>
  <c r="Z97" i="20" s="1"/>
  <c r="AC71" i="20"/>
  <c r="Q25" i="20"/>
  <c r="R25" i="20" s="1"/>
  <c r="AM25" i="20"/>
  <c r="AF30" i="20"/>
  <c r="AK30" i="20"/>
  <c r="AM30" i="20"/>
  <c r="AK97" i="20"/>
  <c r="AM97" i="20"/>
  <c r="AP50" i="20"/>
  <c r="BO50" i="20" s="1"/>
  <c r="AP97" i="20"/>
  <c r="BO97" i="20" s="1"/>
  <c r="AP25" i="20"/>
  <c r="BO25" i="20" s="1"/>
  <c r="AP27" i="20"/>
  <c r="BO27" i="20" s="1"/>
  <c r="AA28" i="20"/>
  <c r="AB28" i="20" s="1"/>
  <c r="S25" i="20"/>
  <c r="AF97" i="20"/>
  <c r="AG28" i="20"/>
  <c r="AI97" i="20"/>
  <c r="AJ97" i="20" s="1"/>
  <c r="U97" i="20"/>
  <c r="V97" i="20" s="1"/>
  <c r="W97" i="20" s="1"/>
  <c r="AM28" i="20"/>
  <c r="S42" i="20"/>
  <c r="K25" i="20"/>
  <c r="X25" i="20" s="1"/>
  <c r="Y25" i="20" s="1"/>
  <c r="Z25" i="20" s="1"/>
  <c r="AK25" i="20"/>
  <c r="AG71" i="20"/>
  <c r="U30" i="20"/>
  <c r="V30" i="20" s="1"/>
  <c r="W30" i="20" s="1"/>
  <c r="Q97" i="20"/>
  <c r="R97" i="20" s="1"/>
  <c r="U72" i="20"/>
  <c r="V72" i="20" s="1"/>
  <c r="W72" i="20" s="1"/>
  <c r="AP30" i="20"/>
  <c r="BO30" i="20" s="1"/>
  <c r="AP28" i="20"/>
  <c r="BO28" i="20" s="1"/>
  <c r="AC20" i="20"/>
  <c r="AK20" i="20"/>
  <c r="K20" i="20"/>
  <c r="X20" i="20" s="1"/>
  <c r="Y20" i="20" s="1"/>
  <c r="Z20" i="20" s="1"/>
  <c r="K36" i="20"/>
  <c r="X36" i="20" s="1"/>
  <c r="Y36" i="20" s="1"/>
  <c r="Z36" i="20" s="1"/>
  <c r="AG20" i="20"/>
  <c r="AI49" i="20"/>
  <c r="AJ49" i="20" s="1"/>
  <c r="AI36" i="20"/>
  <c r="AJ36" i="20" s="1"/>
  <c r="AP20" i="20"/>
  <c r="BO20" i="20" s="1"/>
  <c r="Q20" i="20"/>
  <c r="R20" i="20" s="1"/>
  <c r="S20" i="20"/>
  <c r="K65" i="20"/>
  <c r="X65" i="20" s="1"/>
  <c r="Y65" i="20" s="1"/>
  <c r="Z65" i="20" s="1"/>
  <c r="S81" i="20"/>
  <c r="AI33" i="20"/>
  <c r="AJ33" i="20" s="1"/>
  <c r="U33" i="20"/>
  <c r="V33" i="20" s="1"/>
  <c r="W33" i="20" s="1"/>
  <c r="AA79" i="20"/>
  <c r="AB79" i="20" s="1"/>
  <c r="AI65" i="20"/>
  <c r="AJ65" i="20" s="1"/>
  <c r="U65" i="20"/>
  <c r="V65" i="20" s="1"/>
  <c r="W65" i="20" s="1"/>
  <c r="AG33" i="20"/>
  <c r="AF36" i="20"/>
  <c r="AC49" i="20"/>
  <c r="AP65" i="20"/>
  <c r="BO65" i="20" s="1"/>
  <c r="AP33" i="20"/>
  <c r="BO33" i="20" s="1"/>
  <c r="AA20" i="20"/>
  <c r="AB20" i="20" s="1"/>
  <c r="Q33" i="20"/>
  <c r="R33" i="20" s="1"/>
  <c r="U79" i="20"/>
  <c r="V79" i="20" s="1"/>
  <c r="W79" i="20" s="1"/>
  <c r="AA65" i="20"/>
  <c r="AB65" i="20" s="1"/>
  <c r="AF49" i="20"/>
  <c r="AG79" i="20"/>
  <c r="S49" i="20"/>
  <c r="AA92" i="20"/>
  <c r="AB92" i="20" s="1"/>
  <c r="AC92" i="20"/>
  <c r="K49" i="20"/>
  <c r="X49" i="20" s="1"/>
  <c r="Y49" i="20" s="1"/>
  <c r="Z49" i="20" s="1"/>
  <c r="K59" i="20"/>
  <c r="X59" i="20" s="1"/>
  <c r="Y59" i="20" s="1"/>
  <c r="Z59" i="20" s="1"/>
  <c r="AP59" i="20"/>
  <c r="BO59" i="20" s="1"/>
  <c r="AK101" i="20"/>
  <c r="AG92" i="20"/>
  <c r="AF98" i="20"/>
  <c r="AM49" i="20"/>
  <c r="AA49" i="20"/>
  <c r="AB49" i="20" s="1"/>
  <c r="AM98" i="20"/>
  <c r="AI59" i="20"/>
  <c r="AJ59" i="20" s="1"/>
  <c r="U59" i="20"/>
  <c r="V59" i="20" s="1"/>
  <c r="W59" i="20" s="1"/>
  <c r="AP42" i="20"/>
  <c r="BO42" i="20" s="1"/>
  <c r="AK31" i="20"/>
  <c r="AG59" i="20"/>
  <c r="AG49" i="20"/>
  <c r="Q49" i="20"/>
  <c r="R49" i="20" s="1"/>
  <c r="AK59" i="20"/>
  <c r="S36" i="20"/>
  <c r="V99" i="19"/>
  <c r="BT99" i="19" s="1"/>
  <c r="AP67" i="20"/>
  <c r="BO67" i="20" s="1"/>
  <c r="AP80" i="20"/>
  <c r="BO80" i="20" s="1"/>
  <c r="AI28" i="20"/>
  <c r="AJ28" i="20" s="1"/>
  <c r="S28" i="20"/>
  <c r="AA42" i="20"/>
  <c r="AB42" i="20" s="1"/>
  <c r="U42" i="20"/>
  <c r="V42" i="20" s="1"/>
  <c r="W42" i="20" s="1"/>
  <c r="K79" i="20"/>
  <c r="X79" i="20" s="1"/>
  <c r="Y79" i="20" s="1"/>
  <c r="Z79" i="20" s="1"/>
  <c r="Q71" i="20"/>
  <c r="R71" i="20" s="1"/>
  <c r="S79" i="20"/>
  <c r="AK79" i="20"/>
  <c r="AG42" i="20"/>
  <c r="AF42" i="20"/>
  <c r="V100" i="19"/>
  <c r="BT100" i="19" s="1"/>
  <c r="AC28" i="20"/>
  <c r="AK28" i="20"/>
  <c r="AC42" i="20"/>
  <c r="AI42" i="20"/>
  <c r="AJ42" i="20" s="1"/>
  <c r="K76" i="20"/>
  <c r="X76" i="20" s="1"/>
  <c r="Y76" i="20" s="1"/>
  <c r="Z76" i="20" s="1"/>
  <c r="S19" i="20"/>
  <c r="Q79" i="20"/>
  <c r="R79" i="20" s="1"/>
  <c r="AM79" i="20"/>
  <c r="S93" i="20"/>
  <c r="S56" i="20"/>
  <c r="AP79" i="20"/>
  <c r="BO79" i="20" s="1"/>
  <c r="AP40" i="20"/>
  <c r="BO40" i="20" s="1"/>
  <c r="AI19" i="20"/>
  <c r="AJ19" i="20" s="1"/>
  <c r="AF19" i="20"/>
  <c r="Q76" i="20"/>
  <c r="R76" i="20" s="1"/>
  <c r="AI27" i="20"/>
  <c r="AJ27" i="20" s="1"/>
  <c r="AG27" i="20"/>
  <c r="AA76" i="20"/>
  <c r="AB76" i="20" s="1"/>
  <c r="AA56" i="20"/>
  <c r="AB56" i="20" s="1"/>
  <c r="R100" i="19"/>
  <c r="AQ100" i="19" s="1"/>
  <c r="AP87" i="20"/>
  <c r="BO87" i="20" s="1"/>
  <c r="AK19" i="20"/>
  <c r="AA71" i="20"/>
  <c r="AB71" i="20" s="1"/>
  <c r="AF56" i="20"/>
  <c r="AF76" i="20"/>
  <c r="AC76" i="20"/>
  <c r="Q56" i="20"/>
  <c r="R56" i="20" s="1"/>
  <c r="Q15" i="20"/>
  <c r="R15" i="20" s="1"/>
  <c r="AP76" i="20"/>
  <c r="BO76" i="20" s="1"/>
  <c r="AP56" i="20"/>
  <c r="BO56" i="20" s="1"/>
  <c r="K40" i="20"/>
  <c r="X40" i="20" s="1"/>
  <c r="Y40" i="20" s="1"/>
  <c r="Z40" i="20" s="1"/>
  <c r="AM19" i="20"/>
  <c r="U60" i="20"/>
  <c r="V60" i="20" s="1"/>
  <c r="W60" i="20" s="1"/>
  <c r="U71" i="20"/>
  <c r="V71" i="20" s="1"/>
  <c r="W71" i="20" s="1"/>
  <c r="AI76" i="20"/>
  <c r="AJ76" i="20" s="1"/>
  <c r="AC56" i="20"/>
  <c r="AP71" i="20"/>
  <c r="BO71" i="20" s="1"/>
  <c r="Q87" i="20"/>
  <c r="R87" i="20" s="1"/>
  <c r="AK60" i="20"/>
  <c r="AF93" i="20"/>
  <c r="AI87" i="20"/>
  <c r="AJ87" i="20" s="1"/>
  <c r="AP60" i="20"/>
  <c r="BO60" i="20" s="1"/>
  <c r="AM60" i="20"/>
  <c r="AI93" i="20"/>
  <c r="AJ93" i="20" s="1"/>
  <c r="AC52" i="20"/>
  <c r="AG52" i="20"/>
  <c r="AP29" i="20"/>
  <c r="BO29" i="20" s="1"/>
  <c r="AP74" i="20"/>
  <c r="BO74" i="20" s="1"/>
  <c r="K44" i="20"/>
  <c r="X44" i="20" s="1"/>
  <c r="Y44" i="20" s="1"/>
  <c r="Z44" i="20" s="1"/>
  <c r="Q93" i="20"/>
  <c r="R93" i="20" s="1"/>
  <c r="U52" i="20"/>
  <c r="V52" i="20" s="1"/>
  <c r="W52" i="20" s="1"/>
  <c r="AK29" i="20"/>
  <c r="K52" i="20"/>
  <c r="X52" i="20" s="1"/>
  <c r="Y52" i="20" s="1"/>
  <c r="Z52" i="20" s="1"/>
  <c r="AC87" i="20"/>
  <c r="AK94" i="20"/>
  <c r="AA60" i="20"/>
  <c r="AB60" i="20" s="1"/>
  <c r="AA93" i="20"/>
  <c r="AB93" i="20" s="1"/>
  <c r="AI52" i="20"/>
  <c r="AJ52" i="20" s="1"/>
  <c r="AF52" i="20"/>
  <c r="AF87" i="20"/>
  <c r="K93" i="20"/>
  <c r="X93" i="20" s="1"/>
  <c r="Y93" i="20" s="1"/>
  <c r="Z93" i="20" s="1"/>
  <c r="K56" i="20"/>
  <c r="X56" i="20" s="1"/>
  <c r="Y56" i="20" s="1"/>
  <c r="Z56" i="20" s="1"/>
  <c r="K19" i="20"/>
  <c r="X19" i="20" s="1"/>
  <c r="Y19" i="20" s="1"/>
  <c r="Z19" i="20" s="1"/>
  <c r="AK87" i="20"/>
  <c r="AM87" i="20"/>
  <c r="Q19" i="20"/>
  <c r="R19" i="20" s="1"/>
  <c r="AA19" i="20"/>
  <c r="AB19" i="20" s="1"/>
  <c r="U85" i="20"/>
  <c r="V85" i="20" s="1"/>
  <c r="W85" i="20" s="1"/>
  <c r="Q60" i="20"/>
  <c r="R60" i="20" s="1"/>
  <c r="S60" i="20"/>
  <c r="AK71" i="20"/>
  <c r="AI71" i="20"/>
  <c r="AJ71" i="20" s="1"/>
  <c r="Q41" i="20"/>
  <c r="R41" i="20" s="1"/>
  <c r="AM93" i="20"/>
  <c r="U93" i="20"/>
  <c r="V93" i="20" s="1"/>
  <c r="W93" i="20" s="1"/>
  <c r="AA52" i="20"/>
  <c r="AB52" i="20" s="1"/>
  <c r="S52" i="20"/>
  <c r="AF101" i="20"/>
  <c r="AF41" i="20"/>
  <c r="AG76" i="20"/>
  <c r="AG87" i="20"/>
  <c r="AG93" i="20"/>
  <c r="AF60" i="20"/>
  <c r="S76" i="20"/>
  <c r="U76" i="20"/>
  <c r="V76" i="20" s="1"/>
  <c r="W76" i="20" s="1"/>
  <c r="AI56" i="20"/>
  <c r="AJ56" i="20" s="1"/>
  <c r="AN56" i="20" s="1"/>
  <c r="U56" i="20"/>
  <c r="V56" i="20" s="1"/>
  <c r="W56" i="20" s="1"/>
  <c r="Q22" i="20"/>
  <c r="R22" i="20" s="1"/>
  <c r="K71" i="20"/>
  <c r="X71" i="20" s="1"/>
  <c r="Y71" i="20" s="1"/>
  <c r="Z71" i="20" s="1"/>
  <c r="K87" i="20"/>
  <c r="X87" i="20" s="1"/>
  <c r="Y87" i="20" s="1"/>
  <c r="Z87" i="20" s="1"/>
  <c r="K60" i="20"/>
  <c r="X60" i="20" s="1"/>
  <c r="Y60" i="20" s="1"/>
  <c r="Z60" i="20" s="1"/>
  <c r="AA87" i="20"/>
  <c r="AB87" i="20" s="1"/>
  <c r="U87" i="20"/>
  <c r="V87" i="20" s="1"/>
  <c r="W87" i="20" s="1"/>
  <c r="U19" i="20"/>
  <c r="V19" i="20" s="1"/>
  <c r="W19" i="20" s="1"/>
  <c r="AC19" i="20"/>
  <c r="AI60" i="20"/>
  <c r="AJ60" i="20" s="1"/>
  <c r="AC60" i="20"/>
  <c r="AM71" i="20"/>
  <c r="S71" i="20"/>
  <c r="AK93" i="20"/>
  <c r="AC93" i="20"/>
  <c r="Q52" i="20"/>
  <c r="R52" i="20" s="1"/>
  <c r="AK52" i="20"/>
  <c r="AG101" i="20"/>
  <c r="AF23" i="20"/>
  <c r="AG56" i="20"/>
  <c r="AG19" i="20"/>
  <c r="AM76" i="20"/>
  <c r="AI72" i="20"/>
  <c r="AJ72" i="20" s="1"/>
  <c r="AK56" i="20"/>
  <c r="W104" i="19"/>
  <c r="X104" i="19" s="1"/>
  <c r="Y104" i="19" s="1"/>
  <c r="S104" i="19"/>
  <c r="T104" i="19" s="1"/>
  <c r="W105" i="19"/>
  <c r="X105" i="19" s="1"/>
  <c r="Y105" i="19" s="1"/>
  <c r="S105" i="19"/>
  <c r="T105" i="19" s="1"/>
  <c r="R66" i="19"/>
  <c r="AQ66" i="19" s="1"/>
  <c r="AC51" i="20"/>
  <c r="AG36" i="20"/>
  <c r="AI74" i="20"/>
  <c r="AJ74" i="20" s="1"/>
  <c r="Q36" i="20"/>
  <c r="R36" i="20" s="1"/>
  <c r="U73" i="20"/>
  <c r="V73" i="20" s="1"/>
  <c r="W73" i="20" s="1"/>
  <c r="AM27" i="20"/>
  <c r="AF57" i="20"/>
  <c r="AA67" i="20"/>
  <c r="AB67" i="20" s="1"/>
  <c r="S98" i="20"/>
  <c r="AA36" i="20"/>
  <c r="AB36" i="20" s="1"/>
  <c r="AC40" i="20"/>
  <c r="AA88" i="20"/>
  <c r="AB88" i="20" s="1"/>
  <c r="AC34" i="20"/>
  <c r="Q27" i="20"/>
  <c r="R27" i="20" s="1"/>
  <c r="AG98" i="20"/>
  <c r="AG48" i="20"/>
  <c r="AF50" i="20"/>
  <c r="AK74" i="20"/>
  <c r="AP39" i="20"/>
  <c r="BO39" i="20" s="1"/>
  <c r="Q98" i="20"/>
  <c r="R98" i="20" s="1"/>
  <c r="AI17" i="20"/>
  <c r="AJ17" i="20" s="1"/>
  <c r="AK36" i="20"/>
  <c r="AC36" i="20"/>
  <c r="AP32" i="20"/>
  <c r="BO32" i="20" s="1"/>
  <c r="AK63" i="20"/>
  <c r="K26" i="20"/>
  <c r="X26" i="20" s="1"/>
  <c r="Y26" i="20" s="1"/>
  <c r="Z26" i="20" s="1"/>
  <c r="AI16" i="20"/>
  <c r="AJ16" i="20" s="1"/>
  <c r="AN16" i="20" s="1"/>
  <c r="AC26" i="20"/>
  <c r="AI50" i="20"/>
  <c r="AJ50" i="20" s="1"/>
  <c r="AC27" i="20"/>
  <c r="AP98" i="20"/>
  <c r="BO98" i="20" s="1"/>
  <c r="AA98" i="20"/>
  <c r="AB98" i="20" s="1"/>
  <c r="AP36" i="20"/>
  <c r="BO36" i="20" s="1"/>
  <c r="AM36" i="20"/>
  <c r="AA40" i="20"/>
  <c r="AB40" i="20" s="1"/>
  <c r="K98" i="20"/>
  <c r="X98" i="20" s="1"/>
  <c r="Y98" i="20" s="1"/>
  <c r="Z98" i="20" s="1"/>
  <c r="K27" i="20"/>
  <c r="X27" i="20" s="1"/>
  <c r="Y27" i="20" s="1"/>
  <c r="Z27" i="20" s="1"/>
  <c r="U26" i="20"/>
  <c r="V26" i="20" s="1"/>
  <c r="W26" i="20" s="1"/>
  <c r="AM41" i="20"/>
  <c r="AK27" i="20"/>
  <c r="S27" i="20"/>
  <c r="AF27" i="20"/>
  <c r="AF67" i="20"/>
  <c r="AI58" i="20"/>
  <c r="AJ58" i="20" s="1"/>
  <c r="AK86" i="20"/>
  <c r="AI98" i="20"/>
  <c r="AJ98" i="20" s="1"/>
  <c r="AK98" i="20"/>
  <c r="Q40" i="20"/>
  <c r="R40" i="20" s="1"/>
  <c r="K41" i="20"/>
  <c r="X41" i="20" s="1"/>
  <c r="Y41" i="20" s="1"/>
  <c r="Z41" i="20" s="1"/>
  <c r="AI85" i="20"/>
  <c r="AJ85" i="20" s="1"/>
  <c r="AM8" i="20"/>
  <c r="AA27" i="20"/>
  <c r="AB27" i="20" s="1"/>
  <c r="U27" i="20"/>
  <c r="V27" i="20" s="1"/>
  <c r="W27" i="20" s="1"/>
  <c r="AG40" i="20"/>
  <c r="U67" i="20"/>
  <c r="V67" i="20" s="1"/>
  <c r="W67" i="20" s="1"/>
  <c r="U98" i="20"/>
  <c r="V98" i="20" s="1"/>
  <c r="W98" i="20" s="1"/>
  <c r="K100" i="20"/>
  <c r="X100" i="20" s="1"/>
  <c r="Y100" i="20" s="1"/>
  <c r="Z100" i="20" s="1"/>
  <c r="AI88" i="20"/>
  <c r="AJ88" i="20" s="1"/>
  <c r="Q85" i="20"/>
  <c r="R85" i="20" s="1"/>
  <c r="AA85" i="20"/>
  <c r="AB85" i="20" s="1"/>
  <c r="AI8" i="20"/>
  <c r="AJ8" i="20" s="1"/>
  <c r="Q26" i="20"/>
  <c r="R26" i="20" s="1"/>
  <c r="AI41" i="20"/>
  <c r="AJ41" i="20" s="1"/>
  <c r="AN41" i="20" s="1"/>
  <c r="AG8" i="20"/>
  <c r="AG67" i="20"/>
  <c r="AF74" i="20"/>
  <c r="AM74" i="20"/>
  <c r="S74" i="20"/>
  <c r="Q67" i="20"/>
  <c r="R67" i="20" s="1"/>
  <c r="S67" i="20"/>
  <c r="AI29" i="20"/>
  <c r="AJ29" i="20" s="1"/>
  <c r="AM85" i="20"/>
  <c r="AK85" i="20"/>
  <c r="U8" i="20"/>
  <c r="V8" i="20" s="1"/>
  <c r="W8" i="20" s="1"/>
  <c r="AK26" i="20"/>
  <c r="S41" i="20"/>
  <c r="Q91" i="20"/>
  <c r="R91" i="20" s="1"/>
  <c r="AF100" i="20"/>
  <c r="AG100" i="20"/>
  <c r="AP26" i="20"/>
  <c r="BO26" i="20" s="1"/>
  <c r="K77" i="20"/>
  <c r="X77" i="20" s="1"/>
  <c r="Y77" i="20" s="1"/>
  <c r="Z77" i="20" s="1"/>
  <c r="S8" i="20"/>
  <c r="AK100" i="20"/>
  <c r="AA26" i="20"/>
  <c r="AB26" i="20" s="1"/>
  <c r="AK41" i="20"/>
  <c r="AF26" i="20"/>
  <c r="Q83" i="20"/>
  <c r="R83" i="20" s="1"/>
  <c r="K74" i="20"/>
  <c r="X74" i="20" s="1"/>
  <c r="Y74" i="20" s="1"/>
  <c r="Z74" i="20" s="1"/>
  <c r="K67" i="20"/>
  <c r="X67" i="20" s="1"/>
  <c r="Y67" i="20" s="1"/>
  <c r="Z67" i="20" s="1"/>
  <c r="K85" i="20"/>
  <c r="X85" i="20" s="1"/>
  <c r="Y85" i="20" s="1"/>
  <c r="Z85" i="20" s="1"/>
  <c r="AM88" i="20"/>
  <c r="AK8" i="20"/>
  <c r="AI100" i="20"/>
  <c r="AJ100" i="20" s="1"/>
  <c r="AM26" i="20"/>
  <c r="AP41" i="20"/>
  <c r="BO41" i="20" s="1"/>
  <c r="AC41" i="20"/>
  <c r="AG26" i="20"/>
  <c r="AF85" i="20"/>
  <c r="AG74" i="20"/>
  <c r="AM14" i="20"/>
  <c r="AA74" i="20"/>
  <c r="AB74" i="20" s="1"/>
  <c r="U74" i="20"/>
  <c r="V74" i="20" s="1"/>
  <c r="W74" i="20" s="1"/>
  <c r="AA48" i="20"/>
  <c r="AB48" i="20" s="1"/>
  <c r="AM67" i="20"/>
  <c r="AC67" i="20"/>
  <c r="K16" i="20"/>
  <c r="X16" i="20" s="1"/>
  <c r="Y16" i="20" s="1"/>
  <c r="Z16" i="20" s="1"/>
  <c r="K8" i="20"/>
  <c r="X8" i="20" s="1"/>
  <c r="Y8" i="20" s="1"/>
  <c r="Z8" i="20" s="1"/>
  <c r="K48" i="20"/>
  <c r="X48" i="20" s="1"/>
  <c r="Y48" i="20" s="1"/>
  <c r="Z48" i="20" s="1"/>
  <c r="Q88" i="20"/>
  <c r="R88" i="20" s="1"/>
  <c r="AC85" i="20"/>
  <c r="S85" i="20"/>
  <c r="Q8" i="20"/>
  <c r="R8" i="20" s="1"/>
  <c r="AA8" i="20"/>
  <c r="AB8" i="20" s="1"/>
  <c r="S31" i="20"/>
  <c r="AI26" i="20"/>
  <c r="AJ26" i="20" s="1"/>
  <c r="AA41" i="20"/>
  <c r="AB41" i="20" s="1"/>
  <c r="U41" i="20"/>
  <c r="V41" i="20" s="1"/>
  <c r="W41" i="20" s="1"/>
  <c r="AG85" i="20"/>
  <c r="Q74" i="20"/>
  <c r="R74" i="20" s="1"/>
  <c r="AK77" i="20"/>
  <c r="AK48" i="20"/>
  <c r="AI67" i="20"/>
  <c r="AJ67" i="20" s="1"/>
  <c r="AP8" i="20"/>
  <c r="BO8" i="20" s="1"/>
  <c r="AN81" i="19"/>
  <c r="AP81" i="19" s="1"/>
  <c r="U104" i="20"/>
  <c r="V104" i="20" s="1"/>
  <c r="W104" i="20" s="1"/>
  <c r="U29" i="20"/>
  <c r="V29" i="20" s="1"/>
  <c r="W29" i="20" s="1"/>
  <c r="K58" i="20"/>
  <c r="X58" i="20" s="1"/>
  <c r="Y58" i="20" s="1"/>
  <c r="Z58" i="20" s="1"/>
  <c r="K23" i="20"/>
  <c r="X23" i="20" s="1"/>
  <c r="Y23" i="20" s="1"/>
  <c r="Z23" i="20" s="1"/>
  <c r="K101" i="20"/>
  <c r="X101" i="20" s="1"/>
  <c r="Y101" i="20" s="1"/>
  <c r="Z101" i="20" s="1"/>
  <c r="AM47" i="20"/>
  <c r="AC21" i="20"/>
  <c r="U81" i="20"/>
  <c r="V81" i="20" s="1"/>
  <c r="W81" i="20" s="1"/>
  <c r="Q66" i="20"/>
  <c r="R66" i="20" s="1"/>
  <c r="AG72" i="20"/>
  <c r="S72" i="20"/>
  <c r="S90" i="20"/>
  <c r="S29" i="20"/>
  <c r="AK84" i="20"/>
  <c r="K29" i="20"/>
  <c r="X29" i="20" s="1"/>
  <c r="Y29" i="20" s="1"/>
  <c r="Z29" i="20" s="1"/>
  <c r="AI23" i="20"/>
  <c r="AJ23" i="20" s="1"/>
  <c r="U101" i="20"/>
  <c r="V101" i="20" s="1"/>
  <c r="W101" i="20" s="1"/>
  <c r="AF94" i="20"/>
  <c r="AC72" i="20"/>
  <c r="Q29" i="20"/>
  <c r="R29" i="20" s="1"/>
  <c r="AA29" i="20"/>
  <c r="AB29" i="20" s="1"/>
  <c r="K21" i="20"/>
  <c r="X21" i="20" s="1"/>
  <c r="Y21" i="20" s="1"/>
  <c r="Z21" i="20" s="1"/>
  <c r="U23" i="20"/>
  <c r="V23" i="20" s="1"/>
  <c r="W23" i="20" s="1"/>
  <c r="AK21" i="20"/>
  <c r="AK81" i="20"/>
  <c r="Q94" i="20"/>
  <c r="R94" i="20" s="1"/>
  <c r="AC101" i="20"/>
  <c r="AI34" i="20"/>
  <c r="AJ34" i="20" s="1"/>
  <c r="U91" i="20"/>
  <c r="V91" i="20" s="1"/>
  <c r="W91" i="20" s="1"/>
  <c r="AF81" i="20"/>
  <c r="AG94" i="20"/>
  <c r="AF21" i="20"/>
  <c r="AF72" i="20"/>
  <c r="AF29" i="20"/>
  <c r="AA72" i="20"/>
  <c r="AB72" i="20" s="1"/>
  <c r="AM72" i="20"/>
  <c r="AM29" i="20"/>
  <c r="AC29" i="20"/>
  <c r="K72" i="20"/>
  <c r="X72" i="20" s="1"/>
  <c r="Y72" i="20" s="1"/>
  <c r="Z72" i="20" s="1"/>
  <c r="U47" i="20"/>
  <c r="V47" i="20" s="1"/>
  <c r="W47" i="20" s="1"/>
  <c r="AK23" i="20"/>
  <c r="AA81" i="20"/>
  <c r="AB81" i="20" s="1"/>
  <c r="U94" i="20"/>
  <c r="V94" i="20" s="1"/>
  <c r="W94" i="20" s="1"/>
  <c r="S101" i="20"/>
  <c r="S34" i="20"/>
  <c r="AG34" i="20"/>
  <c r="AG23" i="20"/>
  <c r="AG58" i="20"/>
  <c r="Q72" i="20"/>
  <c r="R72" i="20" s="1"/>
  <c r="S32" i="20"/>
  <c r="AP72" i="20"/>
  <c r="BO72" i="20" s="1"/>
  <c r="K91" i="20"/>
  <c r="X91" i="20" s="1"/>
  <c r="Y91" i="20" s="1"/>
  <c r="Z91" i="20" s="1"/>
  <c r="AK47" i="20"/>
  <c r="AM91" i="20"/>
  <c r="AA96" i="20"/>
  <c r="AB96" i="20" s="1"/>
  <c r="U95" i="20"/>
  <c r="V95" i="20" s="1"/>
  <c r="W95" i="20" s="1"/>
  <c r="AK40" i="20"/>
  <c r="AM40" i="20"/>
  <c r="AK54" i="20"/>
  <c r="K69" i="20"/>
  <c r="X69" i="20" s="1"/>
  <c r="Y69" i="20" s="1"/>
  <c r="Z69" i="20" s="1"/>
  <c r="K90" i="20"/>
  <c r="X90" i="20" s="1"/>
  <c r="Y90" i="20" s="1"/>
  <c r="Z90" i="20" s="1"/>
  <c r="AN52" i="19"/>
  <c r="AP52" i="19" s="1"/>
  <c r="AI47" i="20"/>
  <c r="AJ47" i="20" s="1"/>
  <c r="S47" i="20"/>
  <c r="AA105" i="20"/>
  <c r="AB105" i="20" s="1"/>
  <c r="Q62" i="20"/>
  <c r="R62" i="20" s="1"/>
  <c r="AI91" i="20"/>
  <c r="AJ91" i="20" s="1"/>
  <c r="AK91" i="20"/>
  <c r="AG47" i="20"/>
  <c r="AF40" i="20"/>
  <c r="AG91" i="20"/>
  <c r="AF13" i="20"/>
  <c r="AF17" i="20"/>
  <c r="Q35" i="20"/>
  <c r="R35" i="20" s="1"/>
  <c r="AA13" i="20"/>
  <c r="AB13" i="20" s="1"/>
  <c r="AI90" i="20"/>
  <c r="AJ90" i="20" s="1"/>
  <c r="AI32" i="20"/>
  <c r="AJ32" i="20" s="1"/>
  <c r="AC22" i="20"/>
  <c r="AM69" i="20"/>
  <c r="AP91" i="20"/>
  <c r="BO91" i="20" s="1"/>
  <c r="AI54" i="20"/>
  <c r="AJ54" i="20" s="1"/>
  <c r="AC47" i="20"/>
  <c r="AM50" i="20"/>
  <c r="U51" i="20"/>
  <c r="V51" i="20" s="1"/>
  <c r="W51" i="20" s="1"/>
  <c r="AC91" i="20"/>
  <c r="Q90" i="20"/>
  <c r="R90" i="20" s="1"/>
  <c r="AP47" i="20"/>
  <c r="BO47" i="20" s="1"/>
  <c r="AS100" i="19"/>
  <c r="AI40" i="20"/>
  <c r="AJ40" i="20" s="1"/>
  <c r="U40" i="20"/>
  <c r="V40" i="20" s="1"/>
  <c r="W40" i="20" s="1"/>
  <c r="K47" i="20"/>
  <c r="X47" i="20" s="1"/>
  <c r="Y47" i="20" s="1"/>
  <c r="Z47" i="20" s="1"/>
  <c r="Q47" i="20"/>
  <c r="R47" i="20" s="1"/>
  <c r="AA47" i="20"/>
  <c r="AB47" i="20" s="1"/>
  <c r="AA80" i="20"/>
  <c r="AB80" i="20" s="1"/>
  <c r="AM99" i="20"/>
  <c r="AA62" i="20"/>
  <c r="AB62" i="20" s="1"/>
  <c r="AA91" i="20"/>
  <c r="AB91" i="20" s="1"/>
  <c r="S91" i="20"/>
  <c r="AM90" i="20"/>
  <c r="AK10" i="20"/>
  <c r="AA23" i="20"/>
  <c r="AB23" i="20" s="1"/>
  <c r="S23" i="20"/>
  <c r="T23" i="20" s="1"/>
  <c r="BP23" i="20" s="1"/>
  <c r="AA21" i="20"/>
  <c r="AB21" i="20" s="1"/>
  <c r="AP94" i="20"/>
  <c r="BO94" i="20" s="1"/>
  <c r="AI99" i="20"/>
  <c r="AJ99" i="20" s="1"/>
  <c r="Q81" i="20"/>
  <c r="R81" i="20" s="1"/>
  <c r="AI81" i="20"/>
  <c r="AJ81" i="20" s="1"/>
  <c r="AM94" i="20"/>
  <c r="AC94" i="20"/>
  <c r="AI101" i="20"/>
  <c r="AJ101" i="20" s="1"/>
  <c r="AM101" i="20"/>
  <c r="Q34" i="20"/>
  <c r="R34" i="20" s="1"/>
  <c r="U34" i="20"/>
  <c r="V34" i="20" s="1"/>
  <c r="W34" i="20" s="1"/>
  <c r="AG90" i="20"/>
  <c r="AF10" i="20"/>
  <c r="Q77" i="20"/>
  <c r="R77" i="20" s="1"/>
  <c r="U58" i="20"/>
  <c r="V58" i="20" s="1"/>
  <c r="W58" i="20" s="1"/>
  <c r="AC90" i="20"/>
  <c r="U90" i="20"/>
  <c r="V90" i="20" s="1"/>
  <c r="W90" i="20" s="1"/>
  <c r="Q10" i="20"/>
  <c r="R10" i="20" s="1"/>
  <c r="AP81" i="20"/>
  <c r="BO81" i="20" s="1"/>
  <c r="K22" i="20"/>
  <c r="X22" i="20" s="1"/>
  <c r="Y22" i="20" s="1"/>
  <c r="Z22" i="20" s="1"/>
  <c r="K81" i="20"/>
  <c r="X81" i="20" s="1"/>
  <c r="Y81" i="20" s="1"/>
  <c r="Z81" i="20" s="1"/>
  <c r="K34" i="20"/>
  <c r="X34" i="20" s="1"/>
  <c r="Y34" i="20" s="1"/>
  <c r="Z34" i="20" s="1"/>
  <c r="AC23" i="20"/>
  <c r="AQ23" i="20" s="1"/>
  <c r="AC81" i="20"/>
  <c r="AM81" i="20"/>
  <c r="AA94" i="20"/>
  <c r="AB94" i="20" s="1"/>
  <c r="Q101" i="20"/>
  <c r="R101" i="20" s="1"/>
  <c r="AM34" i="20"/>
  <c r="AF90" i="20"/>
  <c r="AG22" i="20"/>
  <c r="AF34" i="20"/>
  <c r="Q58" i="20"/>
  <c r="R58" i="20" s="1"/>
  <c r="AA90" i="20"/>
  <c r="AB90" i="20" s="1"/>
  <c r="AK90" i="20"/>
  <c r="AK22" i="20"/>
  <c r="AP34" i="20"/>
  <c r="BO34" i="20" s="1"/>
  <c r="AS57" i="19"/>
  <c r="AP23" i="20"/>
  <c r="BO23" i="20" s="1"/>
  <c r="AP101" i="20"/>
  <c r="BO101" i="20" s="1"/>
  <c r="AS44" i="19"/>
  <c r="AN78" i="19"/>
  <c r="AP78" i="19" s="1"/>
  <c r="V27" i="19"/>
  <c r="BT27" i="19" s="1"/>
  <c r="AJ47" i="19"/>
  <c r="AN47" i="19"/>
  <c r="AP47" i="19" s="1"/>
  <c r="R99" i="19"/>
  <c r="AQ99" i="19" s="1"/>
  <c r="AS47" i="19"/>
  <c r="AJ80" i="19"/>
  <c r="AN31" i="19"/>
  <c r="AP31" i="19" s="1"/>
  <c r="R16" i="19"/>
  <c r="AQ16" i="19" s="1"/>
  <c r="V67" i="19"/>
  <c r="BT67" i="19" s="1"/>
  <c r="AS76" i="19"/>
  <c r="V65" i="19"/>
  <c r="BT65" i="19" s="1"/>
  <c r="R65" i="19"/>
  <c r="AQ65" i="19" s="1"/>
  <c r="AJ48" i="19"/>
  <c r="AS103" i="19"/>
  <c r="AS70" i="19"/>
  <c r="AS27" i="19"/>
  <c r="AS55" i="19"/>
  <c r="R81" i="19"/>
  <c r="AQ81" i="19" s="1"/>
  <c r="Z55" i="19"/>
  <c r="AA55" i="19" s="1"/>
  <c r="AB55" i="19" s="1"/>
  <c r="V77" i="19"/>
  <c r="BT77" i="19" s="1"/>
  <c r="R56" i="19"/>
  <c r="AQ56" i="19" s="1"/>
  <c r="AS99" i="19"/>
  <c r="U46" i="20"/>
  <c r="V46" i="20" s="1"/>
  <c r="W46" i="20" s="1"/>
  <c r="S46" i="20"/>
  <c r="AP64" i="20"/>
  <c r="BO64" i="20" s="1"/>
  <c r="Q64" i="20"/>
  <c r="R64" i="20" s="1"/>
  <c r="AP37" i="20"/>
  <c r="BO37" i="20" s="1"/>
  <c r="AK37" i="20"/>
  <c r="U55" i="20"/>
  <c r="V55" i="20" s="1"/>
  <c r="W55" i="20" s="1"/>
  <c r="AF55" i="20"/>
  <c r="AK55" i="20"/>
  <c r="AG55" i="20"/>
  <c r="Q55" i="20"/>
  <c r="R55" i="20" s="1"/>
  <c r="AG89" i="20"/>
  <c r="AM89" i="20"/>
  <c r="K89" i="20"/>
  <c r="X89" i="20" s="1"/>
  <c r="Y89" i="20" s="1"/>
  <c r="Z89" i="20" s="1"/>
  <c r="AP89" i="20"/>
  <c r="BO89" i="20" s="1"/>
  <c r="Q89" i="20"/>
  <c r="R89" i="20" s="1"/>
  <c r="AI102" i="20"/>
  <c r="AJ102" i="20" s="1"/>
  <c r="K55" i="20"/>
  <c r="X55" i="20" s="1"/>
  <c r="Y55" i="20" s="1"/>
  <c r="Z55" i="20" s="1"/>
  <c r="S55" i="20"/>
  <c r="AI89" i="20"/>
  <c r="AJ89" i="20" s="1"/>
  <c r="AI103" i="20"/>
  <c r="AJ103" i="20" s="1"/>
  <c r="AS28" i="19"/>
  <c r="AP38" i="20"/>
  <c r="BO38" i="20" s="1"/>
  <c r="K38" i="20"/>
  <c r="X38" i="20" s="1"/>
  <c r="Y38" i="20" s="1"/>
  <c r="Z38" i="20" s="1"/>
  <c r="AS93" i="19"/>
  <c r="AP18" i="20"/>
  <c r="BO18" i="20" s="1"/>
  <c r="AF18" i="20"/>
  <c r="AG18" i="20"/>
  <c r="Z100" i="19"/>
  <c r="AA100" i="19" s="1"/>
  <c r="AB100" i="19" s="1"/>
  <c r="AN100" i="19"/>
  <c r="AP100" i="19" s="1"/>
  <c r="AC106" i="20"/>
  <c r="AG106" i="20"/>
  <c r="AA39" i="20"/>
  <c r="AB39" i="20" s="1"/>
  <c r="Q39" i="20"/>
  <c r="R39" i="20" s="1"/>
  <c r="Q105" i="20"/>
  <c r="R105" i="20" s="1"/>
  <c r="AG105" i="20"/>
  <c r="U13" i="20"/>
  <c r="V13" i="20" s="1"/>
  <c r="W13" i="20" s="1"/>
  <c r="S13" i="20"/>
  <c r="AC13" i="20"/>
  <c r="AI13" i="20"/>
  <c r="AJ13" i="20" s="1"/>
  <c r="AP13" i="20"/>
  <c r="BO13" i="20" s="1"/>
  <c r="AG13" i="20"/>
  <c r="AP15" i="20"/>
  <c r="BO15" i="20" s="1"/>
  <c r="U15" i="20"/>
  <c r="V15" i="20" s="1"/>
  <c r="W15" i="20" s="1"/>
  <c r="AK15" i="20"/>
  <c r="K15" i="20"/>
  <c r="X15" i="20" s="1"/>
  <c r="Y15" i="20" s="1"/>
  <c r="Z15" i="20" s="1"/>
  <c r="S15" i="20"/>
  <c r="AI15" i="20"/>
  <c r="AJ15" i="20" s="1"/>
  <c r="AF15" i="20"/>
  <c r="N92" i="19"/>
  <c r="Z92" i="19" s="1"/>
  <c r="AA92" i="19" s="1"/>
  <c r="AB92" i="19" s="1"/>
  <c r="Q92" i="19"/>
  <c r="U35" i="20"/>
  <c r="V35" i="20" s="1"/>
  <c r="W35" i="20" s="1"/>
  <c r="AA35" i="20"/>
  <c r="AB35" i="20" s="1"/>
  <c r="AG35" i="20"/>
  <c r="AC35" i="20"/>
  <c r="AI35" i="20"/>
  <c r="AJ35" i="20" s="1"/>
  <c r="AI18" i="20"/>
  <c r="AJ18" i="20" s="1"/>
  <c r="AM55" i="20"/>
  <c r="U89" i="20"/>
  <c r="V89" i="20" s="1"/>
  <c r="W89" i="20" s="1"/>
  <c r="AM35" i="20"/>
  <c r="AK38" i="20"/>
  <c r="AK13" i="20"/>
  <c r="AA15" i="20"/>
  <c r="AB15" i="20" s="1"/>
  <c r="AM86" i="20"/>
  <c r="AF86" i="20"/>
  <c r="K86" i="20"/>
  <c r="X86" i="20" s="1"/>
  <c r="Y86" i="20" s="1"/>
  <c r="Z86" i="20" s="1"/>
  <c r="AC86" i="20"/>
  <c r="AF68" i="20"/>
  <c r="AM68" i="20"/>
  <c r="AA44" i="20"/>
  <c r="AB44" i="20" s="1"/>
  <c r="S44" i="20"/>
  <c r="AP53" i="20"/>
  <c r="BO53" i="20" s="1"/>
  <c r="AG53" i="20"/>
  <c r="S53" i="20"/>
  <c r="AO49" i="19"/>
  <c r="BN49" i="19"/>
  <c r="AP104" i="20"/>
  <c r="BO104" i="20" s="1"/>
  <c r="AM104" i="20"/>
  <c r="AP77" i="20"/>
  <c r="BO77" i="20" s="1"/>
  <c r="AI77" i="20"/>
  <c r="AJ77" i="20" s="1"/>
  <c r="S77" i="20"/>
  <c r="Z27" i="19"/>
  <c r="AA27" i="19" s="1"/>
  <c r="AB27" i="19" s="1"/>
  <c r="AN27" i="19"/>
  <c r="AP27" i="19" s="1"/>
  <c r="U18" i="20"/>
  <c r="V18" i="20" s="1"/>
  <c r="W18" i="20" s="1"/>
  <c r="S104" i="20"/>
  <c r="K104" i="20"/>
  <c r="X104" i="20" s="1"/>
  <c r="Y104" i="20" s="1"/>
  <c r="Z104" i="20" s="1"/>
  <c r="K13" i="20"/>
  <c r="X13" i="20" s="1"/>
  <c r="Y13" i="20" s="1"/>
  <c r="Z13" i="20" s="1"/>
  <c r="K35" i="20"/>
  <c r="X35" i="20" s="1"/>
  <c r="Y35" i="20" s="1"/>
  <c r="Z35" i="20" s="1"/>
  <c r="AM53" i="20"/>
  <c r="Q106" i="20"/>
  <c r="R106" i="20" s="1"/>
  <c r="S68" i="20"/>
  <c r="AG15" i="20"/>
  <c r="AF35" i="20"/>
  <c r="AF105" i="20"/>
  <c r="AK35" i="20"/>
  <c r="U86" i="20"/>
  <c r="V86" i="20" s="1"/>
  <c r="W86" i="20" s="1"/>
  <c r="Q13" i="20"/>
  <c r="R13" i="20" s="1"/>
  <c r="AC15" i="20"/>
  <c r="AP14" i="20"/>
  <c r="BO14" i="20" s="1"/>
  <c r="K14" i="20"/>
  <c r="X14" i="20" s="1"/>
  <c r="Y14" i="20" s="1"/>
  <c r="Z14" i="20" s="1"/>
  <c r="AP55" i="20"/>
  <c r="BO55" i="20" s="1"/>
  <c r="AC54" i="20"/>
  <c r="AM54" i="20"/>
  <c r="AM73" i="20"/>
  <c r="AK73" i="20"/>
  <c r="AP73" i="20"/>
  <c r="BO73" i="20" s="1"/>
  <c r="AA51" i="20"/>
  <c r="AB51" i="20" s="1"/>
  <c r="AG51" i="20"/>
  <c r="AF51" i="20"/>
  <c r="AF66" i="20"/>
  <c r="AP66" i="20"/>
  <c r="BO66" i="20" s="1"/>
  <c r="S61" i="20"/>
  <c r="AP61" i="20"/>
  <c r="BO61" i="20" s="1"/>
  <c r="U61" i="20"/>
  <c r="V61" i="20" s="1"/>
  <c r="W61" i="20" s="1"/>
  <c r="AC57" i="20"/>
  <c r="AK57" i="20"/>
  <c r="AP24" i="20"/>
  <c r="BO24" i="20" s="1"/>
  <c r="S24" i="20"/>
  <c r="R80" i="19"/>
  <c r="AQ80" i="19" s="1"/>
  <c r="AJ100" i="19"/>
  <c r="AN28" i="19"/>
  <c r="AP28" i="19" s="1"/>
  <c r="K9" i="20"/>
  <c r="X9" i="20" s="1"/>
  <c r="Y9" i="20" s="1"/>
  <c r="Z9" i="20" s="1"/>
  <c r="K94" i="20"/>
  <c r="X94" i="20" s="1"/>
  <c r="Y94" i="20" s="1"/>
  <c r="Z94" i="20" s="1"/>
  <c r="AK80" i="20"/>
  <c r="S21" i="20"/>
  <c r="AI94" i="20"/>
  <c r="AJ94" i="20" s="1"/>
  <c r="Z91" i="19"/>
  <c r="AA91" i="19" s="1"/>
  <c r="AB91" i="19" s="1"/>
  <c r="AK34" i="20"/>
  <c r="AI22" i="20"/>
  <c r="AJ22" i="20" s="1"/>
  <c r="AS83" i="19"/>
  <c r="AS91" i="19"/>
  <c r="AN99" i="19"/>
  <c r="AP99" i="19" s="1"/>
  <c r="Z93" i="19"/>
  <c r="AA93" i="19" s="1"/>
  <c r="AB93" i="19" s="1"/>
  <c r="R50" i="19"/>
  <c r="AQ50" i="19" s="1"/>
  <c r="AS56" i="19"/>
  <c r="V47" i="19"/>
  <c r="BT47" i="19" s="1"/>
  <c r="V81" i="19"/>
  <c r="BT81" i="19" s="1"/>
  <c r="Z44" i="19"/>
  <c r="AA44" i="19" s="1"/>
  <c r="AB44" i="19" s="1"/>
  <c r="AN8" i="19"/>
  <c r="AP8" i="19" s="1"/>
  <c r="Q86" i="19"/>
  <c r="AS65" i="19"/>
  <c r="R70" i="19"/>
  <c r="AQ70" i="19" s="1"/>
  <c r="AA54" i="20"/>
  <c r="AB54" i="20" s="1"/>
  <c r="S54" i="20"/>
  <c r="AA84" i="20"/>
  <c r="AB84" i="20" s="1"/>
  <c r="K95" i="20"/>
  <c r="X95" i="20" s="1"/>
  <c r="Y95" i="20" s="1"/>
  <c r="Z95" i="20" s="1"/>
  <c r="K61" i="20"/>
  <c r="X61" i="20" s="1"/>
  <c r="Y61" i="20" s="1"/>
  <c r="Z61" i="20" s="1"/>
  <c r="K54" i="20"/>
  <c r="X54" i="20" s="1"/>
  <c r="Y54" i="20" s="1"/>
  <c r="Z54" i="20" s="1"/>
  <c r="AK88" i="20"/>
  <c r="AC88" i="20"/>
  <c r="Q21" i="20"/>
  <c r="R21" i="20" s="1"/>
  <c r="AI21" i="20"/>
  <c r="AJ21" i="20" s="1"/>
  <c r="AP62" i="20"/>
  <c r="BO62" i="20" s="1"/>
  <c r="U31" i="20"/>
  <c r="V31" i="20" s="1"/>
  <c r="W31" i="20" s="1"/>
  <c r="U99" i="20"/>
  <c r="V99" i="20" s="1"/>
  <c r="W99" i="20" s="1"/>
  <c r="AM100" i="20"/>
  <c r="AK62" i="20"/>
  <c r="AI51" i="20"/>
  <c r="AJ51" i="20" s="1"/>
  <c r="AM37" i="20"/>
  <c r="AA55" i="20"/>
  <c r="AB55" i="20" s="1"/>
  <c r="AI55" i="20"/>
  <c r="AJ55" i="20" s="1"/>
  <c r="S66" i="20"/>
  <c r="AK89" i="20"/>
  <c r="AC89" i="20"/>
  <c r="AM57" i="20"/>
  <c r="AF89" i="20"/>
  <c r="AG54" i="20"/>
  <c r="AG21" i="20"/>
  <c r="AC38" i="20"/>
  <c r="AI48" i="20"/>
  <c r="AJ48" i="20" s="1"/>
  <c r="AC32" i="20"/>
  <c r="Q73" i="20"/>
  <c r="R73" i="20" s="1"/>
  <c r="U9" i="20"/>
  <c r="V9" i="20" s="1"/>
  <c r="W9" i="20" s="1"/>
  <c r="Q103" i="20"/>
  <c r="R103" i="20" s="1"/>
  <c r="AK64" i="20"/>
  <c r="AP21" i="20"/>
  <c r="BO21" i="20" s="1"/>
  <c r="U102" i="20"/>
  <c r="V102" i="20" s="1"/>
  <c r="W102" i="20" s="1"/>
  <c r="Q54" i="20"/>
  <c r="R54" i="20" s="1"/>
  <c r="AC46" i="20"/>
  <c r="K88" i="20"/>
  <c r="X88" i="20" s="1"/>
  <c r="Y88" i="20" s="1"/>
  <c r="Z88" i="20" s="1"/>
  <c r="K62" i="20"/>
  <c r="X62" i="20" s="1"/>
  <c r="Y62" i="20" s="1"/>
  <c r="Z62" i="20" s="1"/>
  <c r="K66" i="20"/>
  <c r="X66" i="20" s="1"/>
  <c r="Y66" i="20" s="1"/>
  <c r="Z66" i="20" s="1"/>
  <c r="K24" i="20"/>
  <c r="X24" i="20" s="1"/>
  <c r="Y24" i="20" s="1"/>
  <c r="Z24" i="20" s="1"/>
  <c r="S88" i="20"/>
  <c r="U88" i="20"/>
  <c r="V88" i="20" s="1"/>
  <c r="W88" i="20" s="1"/>
  <c r="U21" i="20"/>
  <c r="V21" i="20" s="1"/>
  <c r="W21" i="20" s="1"/>
  <c r="AI31" i="20"/>
  <c r="AJ31" i="20" s="1"/>
  <c r="AA99" i="20"/>
  <c r="AB99" i="20" s="1"/>
  <c r="AC62" i="20"/>
  <c r="AK24" i="20"/>
  <c r="AC55" i="20"/>
  <c r="AC66" i="20"/>
  <c r="AA89" i="20"/>
  <c r="AB89" i="20" s="1"/>
  <c r="S89" i="20"/>
  <c r="AF31" i="20"/>
  <c r="AF88" i="20"/>
  <c r="AG31" i="20"/>
  <c r="AG103" i="20"/>
  <c r="AA83" i="20"/>
  <c r="AB83" i="20" s="1"/>
  <c r="AI61" i="20"/>
  <c r="AJ61" i="20" s="1"/>
  <c r="S17" i="20"/>
  <c r="Q32" i="20"/>
  <c r="R32" i="20" s="1"/>
  <c r="AP88" i="20"/>
  <c r="BO88" i="20" s="1"/>
  <c r="R26" i="19"/>
  <c r="AQ26" i="19" s="1"/>
  <c r="AO92" i="19"/>
  <c r="AN67" i="19"/>
  <c r="AP67" i="19" s="1"/>
  <c r="AN34" i="19"/>
  <c r="AP34" i="19" s="1"/>
  <c r="N86" i="19"/>
  <c r="Z86" i="19" s="1"/>
  <c r="AA86" i="19" s="1"/>
  <c r="AB86" i="19" s="1"/>
  <c r="AK92" i="19"/>
  <c r="AL92" i="19" s="1"/>
  <c r="AC49" i="19"/>
  <c r="AD49" i="19" s="1"/>
  <c r="V78" i="19"/>
  <c r="BT78" i="19" s="1"/>
  <c r="R93" i="19"/>
  <c r="AQ93" i="19" s="1"/>
  <c r="AJ99" i="19"/>
  <c r="R69" i="19"/>
  <c r="AQ69" i="19" s="1"/>
  <c r="AN26" i="19"/>
  <c r="AP26" i="19" s="1"/>
  <c r="Z57" i="19"/>
  <c r="AA57" i="19" s="1"/>
  <c r="AB57" i="19" s="1"/>
  <c r="Z66" i="19"/>
  <c r="AA66" i="19" s="1"/>
  <c r="AB66" i="19" s="1"/>
  <c r="V48" i="19"/>
  <c r="BT48" i="19" s="1"/>
  <c r="W92" i="19"/>
  <c r="X92" i="19" s="1"/>
  <c r="Y92" i="19" s="1"/>
  <c r="R47" i="19"/>
  <c r="AQ47" i="19" s="1"/>
  <c r="AE49" i="19"/>
  <c r="S49" i="19"/>
  <c r="T49" i="19" s="1"/>
  <c r="V56" i="19"/>
  <c r="BT56" i="19" s="1"/>
  <c r="AK49" i="19"/>
  <c r="AL49" i="19" s="1"/>
  <c r="Q49" i="19"/>
  <c r="AM49" i="19"/>
  <c r="W49" i="19"/>
  <c r="X49" i="19" s="1"/>
  <c r="Y49" i="19" s="1"/>
  <c r="AS67" i="19"/>
  <c r="R31" i="19"/>
  <c r="AQ31" i="19" s="1"/>
  <c r="P92" i="19"/>
  <c r="AN76" i="19"/>
  <c r="AP76" i="19" s="1"/>
  <c r="AN69" i="19"/>
  <c r="AP69" i="19" s="1"/>
  <c r="AM92" i="19"/>
  <c r="R55" i="19"/>
  <c r="AQ55" i="19" s="1"/>
  <c r="R27" i="19"/>
  <c r="AQ27" i="19" s="1"/>
  <c r="BN10" i="19"/>
  <c r="V50" i="19"/>
  <c r="BT50" i="19" s="1"/>
  <c r="R76" i="19"/>
  <c r="AQ76" i="19" s="1"/>
  <c r="AP91" i="19"/>
  <c r="AS34" i="19"/>
  <c r="AJ103" i="19"/>
  <c r="AP55" i="19"/>
  <c r="V16" i="19"/>
  <c r="BT16" i="19" s="1"/>
  <c r="AJ68" i="19"/>
  <c r="AS31" i="19"/>
  <c r="V70" i="19"/>
  <c r="BT70" i="19" s="1"/>
  <c r="R48" i="19"/>
  <c r="AQ48" i="19" s="1"/>
  <c r="W94" i="19"/>
  <c r="X94" i="19" s="1"/>
  <c r="Y94" i="19" s="1"/>
  <c r="AS8" i="19"/>
  <c r="AN33" i="19"/>
  <c r="AP33" i="19" s="1"/>
  <c r="AJ83" i="19"/>
  <c r="AS81" i="19"/>
  <c r="AS33" i="19"/>
  <c r="AS11" i="19"/>
  <c r="AP65" i="19"/>
  <c r="AP56" i="19"/>
  <c r="U92" i="19"/>
  <c r="AE92" i="19"/>
  <c r="S92" i="19"/>
  <c r="T92" i="19" s="1"/>
  <c r="AC92" i="19"/>
  <c r="AD92" i="19" s="1"/>
  <c r="BN92" i="19"/>
  <c r="V8" i="19"/>
  <c r="BT8" i="19" s="1"/>
  <c r="Z77" i="19"/>
  <c r="AA77" i="19" s="1"/>
  <c r="AB77" i="19" s="1"/>
  <c r="AN70" i="19"/>
  <c r="AP70" i="19" s="1"/>
  <c r="AS21" i="19"/>
  <c r="R21" i="19"/>
  <c r="AQ21" i="19" s="1"/>
  <c r="V33" i="19"/>
  <c r="BT33" i="19" s="1"/>
  <c r="AJ55" i="19"/>
  <c r="R68" i="19"/>
  <c r="AQ68" i="19" s="1"/>
  <c r="AP95" i="20"/>
  <c r="BO95" i="20" s="1"/>
  <c r="S102" i="20"/>
  <c r="AI95" i="20"/>
  <c r="AJ95" i="20" s="1"/>
  <c r="Q46" i="20"/>
  <c r="R46" i="20" s="1"/>
  <c r="Q84" i="20"/>
  <c r="R84" i="20" s="1"/>
  <c r="K80" i="20"/>
  <c r="X80" i="20" s="1"/>
  <c r="Y80" i="20" s="1"/>
  <c r="Z80" i="20" s="1"/>
  <c r="K102" i="20"/>
  <c r="X102" i="20" s="1"/>
  <c r="Y102" i="20" s="1"/>
  <c r="Z102" i="20" s="1"/>
  <c r="K46" i="20"/>
  <c r="X46" i="20" s="1"/>
  <c r="Y46" i="20" s="1"/>
  <c r="Z46" i="20" s="1"/>
  <c r="U80" i="20"/>
  <c r="V80" i="20" s="1"/>
  <c r="W80" i="20" s="1"/>
  <c r="AI53" i="20"/>
  <c r="AJ53" i="20" s="1"/>
  <c r="Z96" i="19"/>
  <c r="AA96" i="19" s="1"/>
  <c r="AB96" i="19" s="1"/>
  <c r="Q31" i="20"/>
  <c r="R31" i="20" s="1"/>
  <c r="AA31" i="20"/>
  <c r="AB31" i="20" s="1"/>
  <c r="AC99" i="20"/>
  <c r="Q99" i="20"/>
  <c r="R99" i="20" s="1"/>
  <c r="Z16" i="19"/>
  <c r="AA16" i="19" s="1"/>
  <c r="AB16" i="19" s="1"/>
  <c r="U68" i="20"/>
  <c r="V68" i="20" s="1"/>
  <c r="W68" i="20" s="1"/>
  <c r="AI24" i="20"/>
  <c r="AJ24" i="20" s="1"/>
  <c r="U66" i="20"/>
  <c r="V66" i="20" s="1"/>
  <c r="W66" i="20" s="1"/>
  <c r="AM66" i="20"/>
  <c r="U57" i="20"/>
  <c r="V57" i="20" s="1"/>
  <c r="W57" i="20" s="1"/>
  <c r="AG66" i="20"/>
  <c r="AG44" i="20"/>
  <c r="AF83" i="20"/>
  <c r="AF80" i="20"/>
  <c r="AG24" i="20"/>
  <c r="AG99" i="20"/>
  <c r="AG32" i="20"/>
  <c r="AC14" i="20"/>
  <c r="S38" i="20"/>
  <c r="AC83" i="20"/>
  <c r="Z103" i="19"/>
  <c r="AA103" i="19" s="1"/>
  <c r="AB103" i="19" s="1"/>
  <c r="AK61" i="20"/>
  <c r="Z83" i="19"/>
  <c r="AA83" i="19" s="1"/>
  <c r="AB83" i="19" s="1"/>
  <c r="AM44" i="20"/>
  <c r="AC17" i="20"/>
  <c r="AN50" i="19"/>
  <c r="AP50" i="19" s="1"/>
  <c r="AA32" i="20"/>
  <c r="AB32" i="20" s="1"/>
  <c r="U32" i="20"/>
  <c r="V32" i="20" s="1"/>
  <c r="W32" i="20" s="1"/>
  <c r="S10" i="20"/>
  <c r="AS77" i="19"/>
  <c r="AS48" i="19"/>
  <c r="R52" i="19"/>
  <c r="AQ52" i="19" s="1"/>
  <c r="AP31" i="20"/>
  <c r="BO31" i="20" s="1"/>
  <c r="AJ67" i="19"/>
  <c r="AP99" i="20"/>
  <c r="BO99" i="20" s="1"/>
  <c r="AK102" i="20"/>
  <c r="AK95" i="20"/>
  <c r="AI46" i="20"/>
  <c r="AJ46" i="20" s="1"/>
  <c r="AI84" i="20"/>
  <c r="AJ84" i="20" s="1"/>
  <c r="K99" i="20"/>
  <c r="X99" i="20" s="1"/>
  <c r="Y99" i="20" s="1"/>
  <c r="Z99" i="20" s="1"/>
  <c r="K32" i="20"/>
  <c r="X32" i="20" s="1"/>
  <c r="Y32" i="20" s="1"/>
  <c r="Z32" i="20" s="1"/>
  <c r="K31" i="20"/>
  <c r="X31" i="20" s="1"/>
  <c r="Y31" i="20" s="1"/>
  <c r="Z31" i="20" s="1"/>
  <c r="AC80" i="20"/>
  <c r="U16" i="20"/>
  <c r="V16" i="20" s="1"/>
  <c r="W16" i="20" s="1"/>
  <c r="AC53" i="20"/>
  <c r="AC31" i="20"/>
  <c r="AK99" i="20"/>
  <c r="S99" i="20"/>
  <c r="AA68" i="20"/>
  <c r="AB68" i="20" s="1"/>
  <c r="AM24" i="20"/>
  <c r="AK66" i="20"/>
  <c r="AI66" i="20"/>
  <c r="AJ66" i="20" s="1"/>
  <c r="AA57" i="20"/>
  <c r="AB57" i="20" s="1"/>
  <c r="AF24" i="20"/>
  <c r="AF44" i="20"/>
  <c r="AG95" i="20"/>
  <c r="AG83" i="20"/>
  <c r="AG17" i="20"/>
  <c r="AG80" i="20"/>
  <c r="AF63" i="20"/>
  <c r="AF32" i="20"/>
  <c r="U14" i="20"/>
  <c r="V14" i="20" s="1"/>
  <c r="W14" i="20" s="1"/>
  <c r="U38" i="20"/>
  <c r="V38" i="20" s="1"/>
  <c r="W38" i="20" s="1"/>
  <c r="U83" i="20"/>
  <c r="V83" i="20" s="1"/>
  <c r="W83" i="20" s="1"/>
  <c r="AC61" i="20"/>
  <c r="AK44" i="20"/>
  <c r="AM17" i="20"/>
  <c r="AM32" i="20"/>
  <c r="AK32" i="20"/>
  <c r="AI9" i="20"/>
  <c r="AJ9" i="20" s="1"/>
  <c r="AM10" i="20"/>
  <c r="AM63" i="20"/>
  <c r="U96" i="20"/>
  <c r="V96" i="20" s="1"/>
  <c r="W96" i="20" s="1"/>
  <c r="AC69" i="20"/>
  <c r="AJ90" i="19"/>
  <c r="AS6" i="19"/>
  <c r="V57" i="19"/>
  <c r="BT57" i="19" s="1"/>
  <c r="AJ52" i="19"/>
  <c r="V31" i="19"/>
  <c r="BT31" i="19" s="1"/>
  <c r="AJ70" i="19"/>
  <c r="Q18" i="20"/>
  <c r="R18" i="20" s="1"/>
  <c r="AM95" i="20"/>
  <c r="AA95" i="20"/>
  <c r="AB95" i="20" s="1"/>
  <c r="Q104" i="20"/>
  <c r="R104" i="20" s="1"/>
  <c r="AC104" i="20"/>
  <c r="K105" i="20"/>
  <c r="X105" i="20" s="1"/>
  <c r="Y105" i="20" s="1"/>
  <c r="Z105" i="20" s="1"/>
  <c r="K53" i="20"/>
  <c r="X53" i="20" s="1"/>
  <c r="Y53" i="20" s="1"/>
  <c r="Z53" i="20" s="1"/>
  <c r="K10" i="20"/>
  <c r="X10" i="20" s="1"/>
  <c r="Y10" i="20" s="1"/>
  <c r="Z10" i="20" s="1"/>
  <c r="K17" i="20"/>
  <c r="X17" i="20" s="1"/>
  <c r="Y17" i="20" s="1"/>
  <c r="Z17" i="20" s="1"/>
  <c r="K39" i="20"/>
  <c r="X39" i="20" s="1"/>
  <c r="Y39" i="20" s="1"/>
  <c r="Z39" i="20" s="1"/>
  <c r="K106" i="20"/>
  <c r="X106" i="20" s="1"/>
  <c r="Y106" i="20" s="1"/>
  <c r="Z106" i="20" s="1"/>
  <c r="S80" i="20"/>
  <c r="AI80" i="20"/>
  <c r="AJ80" i="20" s="1"/>
  <c r="S16" i="20"/>
  <c r="U53" i="20"/>
  <c r="V53" i="20" s="1"/>
  <c r="W53" i="20" s="1"/>
  <c r="Q53" i="20"/>
  <c r="R53" i="20" s="1"/>
  <c r="AP17" i="20"/>
  <c r="BO17" i="20" s="1"/>
  <c r="AK106" i="20"/>
  <c r="AK68" i="20"/>
  <c r="AC68" i="20"/>
  <c r="AC105" i="20"/>
  <c r="S50" i="20"/>
  <c r="Q24" i="20"/>
  <c r="R24" i="20" s="1"/>
  <c r="AA24" i="20"/>
  <c r="AB24" i="20" s="1"/>
  <c r="U37" i="20"/>
  <c r="V37" i="20" s="1"/>
  <c r="W37" i="20" s="1"/>
  <c r="Q57" i="20"/>
  <c r="R57" i="20" s="1"/>
  <c r="S57" i="20"/>
  <c r="AG64" i="20"/>
  <c r="AG16" i="20"/>
  <c r="AF95" i="20"/>
  <c r="AG9" i="20"/>
  <c r="AG57" i="20"/>
  <c r="AF104" i="20"/>
  <c r="AG104" i="20"/>
  <c r="AF61" i="20"/>
  <c r="AG77" i="20"/>
  <c r="AG61" i="20"/>
  <c r="AM77" i="20"/>
  <c r="U77" i="20"/>
  <c r="V77" i="20" s="1"/>
  <c r="W77" i="20" s="1"/>
  <c r="AI83" i="20"/>
  <c r="AJ83" i="20" s="1"/>
  <c r="S83" i="20"/>
  <c r="Q61" i="20"/>
  <c r="R61" i="20" s="1"/>
  <c r="AM61" i="20"/>
  <c r="U39" i="20"/>
  <c r="V39" i="20" s="1"/>
  <c r="W39" i="20" s="1"/>
  <c r="AI44" i="20"/>
  <c r="AJ44" i="20" s="1"/>
  <c r="U44" i="20"/>
  <c r="V44" i="20" s="1"/>
  <c r="W44" i="20" s="1"/>
  <c r="U17" i="20"/>
  <c r="V17" i="20" s="1"/>
  <c r="W17" i="20" s="1"/>
  <c r="AK17" i="20"/>
  <c r="AC9" i="20"/>
  <c r="AA22" i="20"/>
  <c r="AB22" i="20" s="1"/>
  <c r="U22" i="20"/>
  <c r="V22" i="20" s="1"/>
  <c r="W22" i="20" s="1"/>
  <c r="AI10" i="20"/>
  <c r="AJ10" i="20" s="1"/>
  <c r="U10" i="20"/>
  <c r="V10" i="20" s="1"/>
  <c r="W10" i="20" s="1"/>
  <c r="S103" i="20"/>
  <c r="S64" i="20"/>
  <c r="AP68" i="20"/>
  <c r="BO68" i="20" s="1"/>
  <c r="AP57" i="20"/>
  <c r="BO57" i="20" s="1"/>
  <c r="AC18" i="20"/>
  <c r="AC95" i="20"/>
  <c r="S95" i="20"/>
  <c r="T95" i="20" s="1"/>
  <c r="BP95" i="20" s="1"/>
  <c r="AK104" i="20"/>
  <c r="AI104" i="20"/>
  <c r="AJ104" i="20" s="1"/>
  <c r="K64" i="20"/>
  <c r="X64" i="20" s="1"/>
  <c r="Y64" i="20" s="1"/>
  <c r="Z64" i="20" s="1"/>
  <c r="K50" i="20"/>
  <c r="X50" i="20" s="1"/>
  <c r="Y50" i="20" s="1"/>
  <c r="Z50" i="20" s="1"/>
  <c r="K83" i="20"/>
  <c r="X83" i="20" s="1"/>
  <c r="Y83" i="20" s="1"/>
  <c r="Z83" i="20" s="1"/>
  <c r="Q80" i="20"/>
  <c r="R80" i="20" s="1"/>
  <c r="AM80" i="20"/>
  <c r="AA53" i="20"/>
  <c r="AB53" i="20" s="1"/>
  <c r="AK53" i="20"/>
  <c r="AP10" i="20"/>
  <c r="BO10" i="20" s="1"/>
  <c r="AP44" i="20"/>
  <c r="BO44" i="20" s="1"/>
  <c r="AP9" i="20"/>
  <c r="BO9" i="20" s="1"/>
  <c r="Q68" i="20"/>
  <c r="R68" i="20" s="1"/>
  <c r="AI68" i="20"/>
  <c r="AJ68" i="20" s="1"/>
  <c r="Q50" i="20"/>
  <c r="R50" i="20" s="1"/>
  <c r="AC24" i="20"/>
  <c r="U24" i="20"/>
  <c r="V24" i="20" s="1"/>
  <c r="W24" i="20" s="1"/>
  <c r="S37" i="20"/>
  <c r="AI57" i="20"/>
  <c r="AJ57" i="20" s="1"/>
  <c r="AG50" i="20"/>
  <c r="AG68" i="20"/>
  <c r="AF22" i="20"/>
  <c r="AG10" i="20"/>
  <c r="AF53" i="20"/>
  <c r="AA77" i="20"/>
  <c r="AB77" i="20" s="1"/>
  <c r="AC77" i="20"/>
  <c r="AK83" i="20"/>
  <c r="AP22" i="20"/>
  <c r="BO22" i="20" s="1"/>
  <c r="AA61" i="20"/>
  <c r="AB61" i="20" s="1"/>
  <c r="Q44" i="20"/>
  <c r="R44" i="20" s="1"/>
  <c r="Q17" i="20"/>
  <c r="R17" i="20" s="1"/>
  <c r="S22" i="20"/>
  <c r="AC10" i="20"/>
  <c r="AA103" i="20"/>
  <c r="AB103" i="20" s="1"/>
  <c r="AC64" i="20"/>
  <c r="AP83" i="20"/>
  <c r="BO83" i="20" s="1"/>
  <c r="AS37" i="19"/>
  <c r="AP84" i="20"/>
  <c r="BO84" i="20" s="1"/>
  <c r="AF84" i="20"/>
  <c r="AJ16" i="19"/>
  <c r="Q102" i="20"/>
  <c r="R102" i="20" s="1"/>
  <c r="AA46" i="20"/>
  <c r="AB46" i="20" s="1"/>
  <c r="S84" i="20"/>
  <c r="U84" i="20"/>
  <c r="V84" i="20" s="1"/>
  <c r="W84" i="20" s="1"/>
  <c r="K84" i="20"/>
  <c r="X84" i="20" s="1"/>
  <c r="Y84" i="20" s="1"/>
  <c r="Z84" i="20" s="1"/>
  <c r="AN6" i="19"/>
  <c r="AP6" i="19" s="1"/>
  <c r="AP93" i="19"/>
  <c r="AG96" i="20"/>
  <c r="AJ28" i="19"/>
  <c r="S9" i="20"/>
  <c r="Q9" i="20"/>
  <c r="R9" i="20" s="1"/>
  <c r="AK9" i="20"/>
  <c r="AM9" i="20"/>
  <c r="AF9" i="20"/>
  <c r="S58" i="20"/>
  <c r="AA58" i="20"/>
  <c r="AB58" i="20" s="1"/>
  <c r="AM58" i="20"/>
  <c r="AK58" i="20"/>
  <c r="AF58" i="20"/>
  <c r="AJ8" i="19"/>
  <c r="AP54" i="20"/>
  <c r="BO54" i="20" s="1"/>
  <c r="AF54" i="20"/>
  <c r="AC73" i="20"/>
  <c r="AI73" i="20"/>
  <c r="AJ73" i="20" s="1"/>
  <c r="S73" i="20"/>
  <c r="AA73" i="20"/>
  <c r="AB73" i="20" s="1"/>
  <c r="AG73" i="20"/>
  <c r="AF73" i="20"/>
  <c r="AI62" i="20"/>
  <c r="AJ62" i="20" s="1"/>
  <c r="U62" i="20"/>
  <c r="V62" i="20" s="1"/>
  <c r="W62" i="20" s="1"/>
  <c r="AF62" i="20"/>
  <c r="AM62" i="20"/>
  <c r="S62" i="20"/>
  <c r="S51" i="20"/>
  <c r="AM51" i="20"/>
  <c r="Q51" i="20"/>
  <c r="R51" i="20" s="1"/>
  <c r="AK51" i="20"/>
  <c r="AP51" i="20"/>
  <c r="BO51" i="20" s="1"/>
  <c r="AP102" i="20"/>
  <c r="BO102" i="20" s="1"/>
  <c r="AG102" i="20"/>
  <c r="AP46" i="20"/>
  <c r="BO46" i="20" s="1"/>
  <c r="AG46" i="20"/>
  <c r="AP63" i="20"/>
  <c r="BO63" i="20" s="1"/>
  <c r="U63" i="20"/>
  <c r="V63" i="20" s="1"/>
  <c r="W63" i="20" s="1"/>
  <c r="AA63" i="20"/>
  <c r="AB63" i="20" s="1"/>
  <c r="AC63" i="20"/>
  <c r="S63" i="20"/>
  <c r="T63" i="20" s="1"/>
  <c r="BP63" i="20" s="1"/>
  <c r="AG63" i="20"/>
  <c r="AP96" i="20"/>
  <c r="BO96" i="20" s="1"/>
  <c r="AC96" i="20"/>
  <c r="AM96" i="20"/>
  <c r="AI96" i="20"/>
  <c r="AJ96" i="20" s="1"/>
  <c r="AK96" i="20"/>
  <c r="AF96" i="20"/>
  <c r="S69" i="20"/>
  <c r="T69" i="20" s="1"/>
  <c r="BP69" i="20" s="1"/>
  <c r="AA69" i="20"/>
  <c r="AB69" i="20" s="1"/>
  <c r="AI69" i="20"/>
  <c r="AJ69" i="20" s="1"/>
  <c r="U69" i="20"/>
  <c r="V69" i="20" s="1"/>
  <c r="W69" i="20" s="1"/>
  <c r="AP69" i="20"/>
  <c r="BO69" i="20" s="1"/>
  <c r="AF69" i="20"/>
  <c r="AC102" i="20"/>
  <c r="AA102" i="20"/>
  <c r="AB102" i="20" s="1"/>
  <c r="AM46" i="20"/>
  <c r="AK46" i="20"/>
  <c r="AM84" i="20"/>
  <c r="AC84" i="20"/>
  <c r="K63" i="20"/>
  <c r="X63" i="20" s="1"/>
  <c r="Y63" i="20" s="1"/>
  <c r="Z63" i="20" s="1"/>
  <c r="K96" i="20"/>
  <c r="X96" i="20" s="1"/>
  <c r="Y96" i="20" s="1"/>
  <c r="Z96" i="20" s="1"/>
  <c r="AF46" i="20"/>
  <c r="AF102" i="20"/>
  <c r="AG69" i="20"/>
  <c r="AI63" i="20"/>
  <c r="AJ63" i="20" s="1"/>
  <c r="Q96" i="20"/>
  <c r="R96" i="20" s="1"/>
  <c r="AK69" i="20"/>
  <c r="Z80" i="19"/>
  <c r="AA80" i="19" s="1"/>
  <c r="AB80" i="19" s="1"/>
  <c r="AN80" i="19"/>
  <c r="AP80" i="19" s="1"/>
  <c r="W101" i="19"/>
  <c r="X101" i="19" s="1"/>
  <c r="Y101" i="19" s="1"/>
  <c r="AP57" i="19"/>
  <c r="AP44" i="19"/>
  <c r="AF106" i="20"/>
  <c r="AM106" i="20"/>
  <c r="U106" i="20"/>
  <c r="V106" i="20" s="1"/>
  <c r="W106" i="20" s="1"/>
  <c r="AP106" i="20"/>
  <c r="BO106" i="20" s="1"/>
  <c r="AI106" i="20"/>
  <c r="AJ106" i="20" s="1"/>
  <c r="S106" i="20"/>
  <c r="AI39" i="20"/>
  <c r="AJ39" i="20" s="1"/>
  <c r="AC39" i="20"/>
  <c r="AF39" i="20"/>
  <c r="AG39" i="20"/>
  <c r="S39" i="20"/>
  <c r="AK39" i="20"/>
  <c r="AM105" i="20"/>
  <c r="AK105" i="20"/>
  <c r="AP105" i="20"/>
  <c r="BO105" i="20" s="1"/>
  <c r="U105" i="20"/>
  <c r="V105" i="20" s="1"/>
  <c r="W105" i="20" s="1"/>
  <c r="AI105" i="20"/>
  <c r="AJ105" i="20" s="1"/>
  <c r="AP16" i="20"/>
  <c r="BO16" i="20" s="1"/>
  <c r="AC16" i="20"/>
  <c r="AK16" i="20"/>
  <c r="AF16" i="20"/>
  <c r="Q16" i="20"/>
  <c r="R16" i="20" s="1"/>
  <c r="AA16" i="20"/>
  <c r="AB16" i="20" s="1"/>
  <c r="S86" i="20"/>
  <c r="AA86" i="20"/>
  <c r="AB86" i="20" s="1"/>
  <c r="AI86" i="20"/>
  <c r="AJ86" i="20" s="1"/>
  <c r="Q86" i="20"/>
  <c r="R86" i="20" s="1"/>
  <c r="AG86" i="20"/>
  <c r="AP100" i="20"/>
  <c r="BO100" i="20" s="1"/>
  <c r="AA100" i="20"/>
  <c r="AB100" i="20" s="1"/>
  <c r="U100" i="20"/>
  <c r="V100" i="20" s="1"/>
  <c r="W100" i="20" s="1"/>
  <c r="S100" i="20"/>
  <c r="Q100" i="20"/>
  <c r="R100" i="20" s="1"/>
  <c r="AP48" i="20"/>
  <c r="BO48" i="20" s="1"/>
  <c r="AM48" i="20"/>
  <c r="S48" i="20"/>
  <c r="AF48" i="20"/>
  <c r="AC48" i="20"/>
  <c r="Q48" i="20"/>
  <c r="R48" i="20" s="1"/>
  <c r="V44" i="19"/>
  <c r="BT44" i="19" s="1"/>
  <c r="V55" i="19"/>
  <c r="BT55" i="19" s="1"/>
  <c r="AJ78" i="19"/>
  <c r="AP58" i="20"/>
  <c r="BO58" i="20" s="1"/>
  <c r="AS66" i="19"/>
  <c r="AJ93" i="19"/>
  <c r="AC86" i="19"/>
  <c r="AD86" i="19" s="1"/>
  <c r="S86" i="19"/>
  <c r="T86" i="19" s="1"/>
  <c r="AS96" i="19"/>
  <c r="R96" i="19"/>
  <c r="AQ96" i="19" s="1"/>
  <c r="AS52" i="19"/>
  <c r="AP83" i="19"/>
  <c r="R90" i="19"/>
  <c r="AQ90" i="19" s="1"/>
  <c r="AJ21" i="19"/>
  <c r="R28" i="19"/>
  <c r="AQ28" i="19" s="1"/>
  <c r="V6" i="19"/>
  <c r="BT6" i="19" s="1"/>
  <c r="R33" i="19"/>
  <c r="AQ33" i="19" s="1"/>
  <c r="R44" i="19"/>
  <c r="AQ44" i="19" s="1"/>
  <c r="V69" i="19"/>
  <c r="BT69" i="19" s="1"/>
  <c r="R103" i="19"/>
  <c r="AQ103" i="19" s="1"/>
  <c r="AP66" i="19"/>
  <c r="AS16" i="19"/>
  <c r="V68" i="19"/>
  <c r="BT68" i="19" s="1"/>
  <c r="AP96" i="19"/>
  <c r="R83" i="19"/>
  <c r="AQ83" i="19" s="1"/>
  <c r="P49" i="19"/>
  <c r="U49" i="19"/>
  <c r="N49" i="19"/>
  <c r="W95" i="19"/>
  <c r="X95" i="19" s="1"/>
  <c r="Y95" i="19" s="1"/>
  <c r="R37" i="19"/>
  <c r="AQ37" i="19" s="1"/>
  <c r="AS78" i="19"/>
  <c r="AJ76" i="19"/>
  <c r="AJ91" i="19"/>
  <c r="V59" i="19"/>
  <c r="BT59" i="19" s="1"/>
  <c r="V66" i="19"/>
  <c r="BT66" i="19" s="1"/>
  <c r="BN38" i="19"/>
  <c r="AE38" i="19"/>
  <c r="N38" i="19"/>
  <c r="AK38" i="19"/>
  <c r="AL38" i="19" s="1"/>
  <c r="AO38" i="19"/>
  <c r="P38" i="19"/>
  <c r="U38" i="19"/>
  <c r="AC38" i="19"/>
  <c r="AD38" i="19" s="1"/>
  <c r="Q38" i="19"/>
  <c r="AM38" i="19"/>
  <c r="S38" i="19"/>
  <c r="T38" i="19" s="1"/>
  <c r="Q10" i="19"/>
  <c r="U10" i="19"/>
  <c r="AM10" i="19"/>
  <c r="AC10" i="19"/>
  <c r="AD10" i="19" s="1"/>
  <c r="AO10" i="19"/>
  <c r="AK10" i="19"/>
  <c r="AL10" i="19" s="1"/>
  <c r="P10" i="19"/>
  <c r="N10" i="19"/>
  <c r="AE10" i="19"/>
  <c r="W86" i="19"/>
  <c r="X86" i="19" s="1"/>
  <c r="Y86" i="19" s="1"/>
  <c r="AA18" i="20"/>
  <c r="AB18" i="20" s="1"/>
  <c r="AM18" i="20"/>
  <c r="AK50" i="20"/>
  <c r="U50" i="20"/>
  <c r="V50" i="20" s="1"/>
  <c r="W50" i="20" s="1"/>
  <c r="AC37" i="20"/>
  <c r="AI37" i="20"/>
  <c r="AJ37" i="20" s="1"/>
  <c r="AF64" i="20"/>
  <c r="AG37" i="20"/>
  <c r="AG38" i="20"/>
  <c r="AF14" i="20"/>
  <c r="Q14" i="20"/>
  <c r="R14" i="20" s="1"/>
  <c r="AI14" i="20"/>
  <c r="AJ14" i="20" s="1"/>
  <c r="Q38" i="20"/>
  <c r="R38" i="20" s="1"/>
  <c r="AI38" i="20"/>
  <c r="AJ38" i="20" s="1"/>
  <c r="AP103" i="20"/>
  <c r="BO103" i="20" s="1"/>
  <c r="Z65" i="19"/>
  <c r="AA65" i="19" s="1"/>
  <c r="AB65" i="19" s="1"/>
  <c r="AC103" i="20"/>
  <c r="U103" i="20"/>
  <c r="V103" i="20" s="1"/>
  <c r="W103" i="20" s="1"/>
  <c r="AA64" i="20"/>
  <c r="AB64" i="20" s="1"/>
  <c r="U64" i="20"/>
  <c r="V64" i="20" s="1"/>
  <c r="W64" i="20" s="1"/>
  <c r="W87" i="19"/>
  <c r="X87" i="19" s="1"/>
  <c r="Y87" i="19" s="1"/>
  <c r="AS90" i="19"/>
  <c r="AK86" i="19"/>
  <c r="AL86" i="19" s="1"/>
  <c r="AJ33" i="19"/>
  <c r="V11" i="19"/>
  <c r="BT11" i="19" s="1"/>
  <c r="V34" i="19"/>
  <c r="BT34" i="19" s="1"/>
  <c r="AJ50" i="19"/>
  <c r="V41" i="19"/>
  <c r="BT41" i="19" s="1"/>
  <c r="AS50" i="19"/>
  <c r="W97" i="19"/>
  <c r="X97" i="19" s="1"/>
  <c r="Y97" i="19" s="1"/>
  <c r="AJ51" i="19"/>
  <c r="AS51" i="19"/>
  <c r="V91" i="19"/>
  <c r="BT91" i="19" s="1"/>
  <c r="AJ26" i="19"/>
  <c r="AJ96" i="19"/>
  <c r="BN86" i="19"/>
  <c r="U86" i="19"/>
  <c r="AM86" i="19"/>
  <c r="AO86" i="19"/>
  <c r="S18" i="20"/>
  <c r="AK18" i="20"/>
  <c r="K103" i="20"/>
  <c r="X103" i="20" s="1"/>
  <c r="Y103" i="20" s="1"/>
  <c r="Z103" i="20" s="1"/>
  <c r="K37" i="20"/>
  <c r="X37" i="20" s="1"/>
  <c r="Y37" i="20" s="1"/>
  <c r="Z37" i="20" s="1"/>
  <c r="K18" i="20"/>
  <c r="X18" i="20" s="1"/>
  <c r="Y18" i="20" s="1"/>
  <c r="Z18" i="20" s="1"/>
  <c r="AP16" i="19"/>
  <c r="AA50" i="20"/>
  <c r="AB50" i="20" s="1"/>
  <c r="AC50" i="20"/>
  <c r="AA37" i="20"/>
  <c r="AB37" i="20" s="1"/>
  <c r="Q37" i="20"/>
  <c r="R37" i="20" s="1"/>
  <c r="AF103" i="20"/>
  <c r="AG14" i="20"/>
  <c r="AF37" i="20"/>
  <c r="AF38" i="20"/>
  <c r="AA14" i="20"/>
  <c r="AB14" i="20" s="1"/>
  <c r="S14" i="20"/>
  <c r="AM38" i="20"/>
  <c r="AA38" i="20"/>
  <c r="AB38" i="20" s="1"/>
  <c r="AN48" i="19"/>
  <c r="AP48" i="19" s="1"/>
  <c r="AM103" i="20"/>
  <c r="AI64" i="20"/>
  <c r="AJ64" i="20" s="1"/>
  <c r="AM64" i="20"/>
  <c r="P86" i="19"/>
  <c r="AJ77" i="19"/>
  <c r="AS68" i="19"/>
  <c r="V37" i="19"/>
  <c r="BT37" i="19" s="1"/>
  <c r="R9" i="19"/>
  <c r="AQ9" i="19" s="1"/>
  <c r="AJ44" i="19"/>
  <c r="AJ34" i="19"/>
  <c r="W38" i="19"/>
  <c r="X38" i="19" s="1"/>
  <c r="Y38" i="19" s="1"/>
  <c r="V52" i="19"/>
  <c r="BT52" i="19" s="1"/>
  <c r="W10" i="19"/>
  <c r="X10" i="19" s="1"/>
  <c r="Y10" i="19" s="1"/>
  <c r="Q60" i="19"/>
  <c r="AE60" i="19"/>
  <c r="AO60" i="19"/>
  <c r="AC60" i="19"/>
  <c r="AD60" i="19" s="1"/>
  <c r="S60" i="19"/>
  <c r="T60" i="19" s="1"/>
  <c r="P60" i="19"/>
  <c r="AM60" i="19"/>
  <c r="AK60" i="19"/>
  <c r="AL60" i="19" s="1"/>
  <c r="U60" i="19"/>
  <c r="BN60" i="19"/>
  <c r="N60" i="19"/>
  <c r="P88" i="19"/>
  <c r="N88" i="19"/>
  <c r="AO88" i="19"/>
  <c r="S88" i="19"/>
  <c r="T88" i="19" s="1"/>
  <c r="AM88" i="19"/>
  <c r="U88" i="19"/>
  <c r="Q88" i="19"/>
  <c r="AE88" i="19"/>
  <c r="BN88" i="19"/>
  <c r="AK88" i="19"/>
  <c r="AL88" i="19" s="1"/>
  <c r="AC88" i="19"/>
  <c r="AD88" i="19" s="1"/>
  <c r="Q84" i="19"/>
  <c r="BN84" i="19"/>
  <c r="AK84" i="19"/>
  <c r="AL84" i="19" s="1"/>
  <c r="P84" i="19"/>
  <c r="N84" i="19"/>
  <c r="AE84" i="19"/>
  <c r="U84" i="19"/>
  <c r="AM84" i="19"/>
  <c r="AC84" i="19"/>
  <c r="AD84" i="19" s="1"/>
  <c r="AO84" i="19"/>
  <c r="S84" i="19"/>
  <c r="T84" i="19" s="1"/>
  <c r="Q98" i="19"/>
  <c r="BN98" i="19"/>
  <c r="AM98" i="19"/>
  <c r="P98" i="19"/>
  <c r="AE98" i="19"/>
  <c r="N98" i="19"/>
  <c r="S98" i="19"/>
  <c r="T98" i="19" s="1"/>
  <c r="AK98" i="19"/>
  <c r="AL98" i="19" s="1"/>
  <c r="U98" i="19"/>
  <c r="AO98" i="19"/>
  <c r="AC98" i="19"/>
  <c r="AD98" i="19" s="1"/>
  <c r="AN68" i="19"/>
  <c r="AP68" i="19" s="1"/>
  <c r="U19" i="19"/>
  <c r="AM19" i="19"/>
  <c r="AE19" i="19"/>
  <c r="AK19" i="19"/>
  <c r="AL19" i="19" s="1"/>
  <c r="Q19" i="19"/>
  <c r="BN19" i="19"/>
  <c r="P19" i="19"/>
  <c r="AO19" i="19"/>
  <c r="N19" i="19"/>
  <c r="AC19" i="19"/>
  <c r="AD19" i="19" s="1"/>
  <c r="S19" i="19"/>
  <c r="T19" i="19" s="1"/>
  <c r="W19" i="19"/>
  <c r="X19" i="19" s="1"/>
  <c r="Y19" i="19" s="1"/>
  <c r="Q58" i="19"/>
  <c r="S58" i="19"/>
  <c r="T58" i="19" s="1"/>
  <c r="AK58" i="19"/>
  <c r="AL58" i="19" s="1"/>
  <c r="BN58" i="19"/>
  <c r="AM58" i="19"/>
  <c r="AO58" i="19"/>
  <c r="N58" i="19"/>
  <c r="P58" i="19"/>
  <c r="AE58" i="19"/>
  <c r="U58" i="19"/>
  <c r="AC58" i="19"/>
  <c r="AD58" i="19" s="1"/>
  <c r="Q43" i="19"/>
  <c r="AE43" i="19"/>
  <c r="U43" i="19"/>
  <c r="AC43" i="19"/>
  <c r="AD43" i="19" s="1"/>
  <c r="AO43" i="19"/>
  <c r="P43" i="19"/>
  <c r="S43" i="19"/>
  <c r="T43" i="19" s="1"/>
  <c r="BN43" i="19"/>
  <c r="AK43" i="19"/>
  <c r="AL43" i="19" s="1"/>
  <c r="N43" i="19"/>
  <c r="AM43" i="19"/>
  <c r="Z90" i="19"/>
  <c r="AA90" i="19" s="1"/>
  <c r="AB90" i="19" s="1"/>
  <c r="AN90" i="19"/>
  <c r="AP90" i="19" s="1"/>
  <c r="P42" i="19"/>
  <c r="AM42" i="19"/>
  <c r="Q42" i="19"/>
  <c r="AE42" i="19"/>
  <c r="AO42" i="19"/>
  <c r="AK42" i="19"/>
  <c r="AL42" i="19" s="1"/>
  <c r="BN42" i="19"/>
  <c r="N42" i="19"/>
  <c r="U42" i="19"/>
  <c r="AC42" i="19"/>
  <c r="AD42" i="19" s="1"/>
  <c r="S42" i="19"/>
  <c r="T42" i="19" s="1"/>
  <c r="P32" i="19"/>
  <c r="U32" i="19"/>
  <c r="Q32" i="19"/>
  <c r="BN32" i="19"/>
  <c r="AK32" i="19"/>
  <c r="AL32" i="19" s="1"/>
  <c r="N32" i="19"/>
  <c r="AO32" i="19"/>
  <c r="AE32" i="19"/>
  <c r="AM32" i="19"/>
  <c r="AC32" i="19"/>
  <c r="AD32" i="19" s="1"/>
  <c r="S32" i="19"/>
  <c r="T32" i="19" s="1"/>
  <c r="BN39" i="19"/>
  <c r="U39" i="19"/>
  <c r="Q39" i="19"/>
  <c r="P39" i="19"/>
  <c r="N39" i="19"/>
  <c r="S39" i="19"/>
  <c r="T39" i="19" s="1"/>
  <c r="AE39" i="19"/>
  <c r="AM39" i="19"/>
  <c r="AK39" i="19"/>
  <c r="AL39" i="19" s="1"/>
  <c r="AC39" i="19"/>
  <c r="AD39" i="19" s="1"/>
  <c r="AO39" i="19"/>
  <c r="AJ81" i="19"/>
  <c r="R11" i="19"/>
  <c r="AQ11" i="19" s="1"/>
  <c r="W84" i="19"/>
  <c r="X84" i="19" s="1"/>
  <c r="Y84" i="19" s="1"/>
  <c r="Q104" i="19"/>
  <c r="AM104" i="19"/>
  <c r="N104" i="19"/>
  <c r="Z104" i="19" s="1"/>
  <c r="AA104" i="19" s="1"/>
  <c r="AB104" i="19" s="1"/>
  <c r="AC104" i="19"/>
  <c r="AD104" i="19" s="1"/>
  <c r="P104" i="19"/>
  <c r="U104" i="19"/>
  <c r="AE104" i="19"/>
  <c r="AO104" i="19"/>
  <c r="BN104" i="19"/>
  <c r="AK104" i="19"/>
  <c r="AL104" i="19" s="1"/>
  <c r="Q12" i="19"/>
  <c r="AE12" i="19"/>
  <c r="AM12" i="19"/>
  <c r="N12" i="19"/>
  <c r="AO12" i="19"/>
  <c r="AC12" i="19"/>
  <c r="AD12" i="19" s="1"/>
  <c r="U12" i="19"/>
  <c r="P12" i="19"/>
  <c r="AK12" i="19"/>
  <c r="AL12" i="19" s="1"/>
  <c r="BN12" i="19"/>
  <c r="S12" i="19"/>
  <c r="T12" i="19" s="1"/>
  <c r="AJ69" i="19"/>
  <c r="AJ59" i="19"/>
  <c r="Z56" i="19"/>
  <c r="AA56" i="19" s="1"/>
  <c r="AB56" i="19" s="1"/>
  <c r="Q15" i="19"/>
  <c r="BN15" i="19"/>
  <c r="U15" i="19"/>
  <c r="AM15" i="19"/>
  <c r="P15" i="19"/>
  <c r="AE15" i="19"/>
  <c r="N15" i="19"/>
  <c r="S15" i="19"/>
  <c r="T15" i="19" s="1"/>
  <c r="AO15" i="19"/>
  <c r="AK15" i="19"/>
  <c r="AL15" i="19" s="1"/>
  <c r="AC15" i="19"/>
  <c r="AD15" i="19" s="1"/>
  <c r="W58" i="19"/>
  <c r="X58" i="19" s="1"/>
  <c r="Y58" i="19" s="1"/>
  <c r="BN87" i="19"/>
  <c r="AO87" i="19"/>
  <c r="S87" i="19"/>
  <c r="T87" i="19" s="1"/>
  <c r="Q87" i="19"/>
  <c r="U87" i="19"/>
  <c r="N87" i="19"/>
  <c r="AK87" i="19"/>
  <c r="AL87" i="19" s="1"/>
  <c r="AC87" i="19"/>
  <c r="AD87" i="19" s="1"/>
  <c r="P87" i="19"/>
  <c r="AE87" i="19"/>
  <c r="AM87" i="19"/>
  <c r="W43" i="19"/>
  <c r="X43" i="19" s="1"/>
  <c r="Y43" i="19" s="1"/>
  <c r="V90" i="19"/>
  <c r="BT90" i="19" s="1"/>
  <c r="W42" i="19"/>
  <c r="X42" i="19" s="1"/>
  <c r="Y42" i="19" s="1"/>
  <c r="AN21" i="19"/>
  <c r="AP21" i="19" s="1"/>
  <c r="Z21" i="19"/>
  <c r="AA21" i="19" s="1"/>
  <c r="AB21" i="19" s="1"/>
  <c r="Q17" i="19"/>
  <c r="AM17" i="19"/>
  <c r="BN17" i="19"/>
  <c r="P17" i="19"/>
  <c r="N17" i="19"/>
  <c r="AK17" i="19"/>
  <c r="AL17" i="19" s="1"/>
  <c r="AO17" i="19"/>
  <c r="U17" i="19"/>
  <c r="S17" i="19"/>
  <c r="T17" i="19" s="1"/>
  <c r="AC17" i="19"/>
  <c r="AD17" i="19" s="1"/>
  <c r="AE17" i="19"/>
  <c r="V83" i="19"/>
  <c r="BT83" i="19" s="1"/>
  <c r="S40" i="19"/>
  <c r="T40" i="19" s="1"/>
  <c r="AK40" i="19"/>
  <c r="AL40" i="19" s="1"/>
  <c r="AE40" i="19"/>
  <c r="AM40" i="19"/>
  <c r="N40" i="19"/>
  <c r="AO40" i="19"/>
  <c r="Q40" i="19"/>
  <c r="U40" i="19"/>
  <c r="BN40" i="19"/>
  <c r="AC40" i="19"/>
  <c r="AD40" i="19" s="1"/>
  <c r="P40" i="19"/>
  <c r="P63" i="19"/>
  <c r="AE63" i="19"/>
  <c r="S63" i="19"/>
  <c r="T63" i="19" s="1"/>
  <c r="Q63" i="19"/>
  <c r="AK63" i="19"/>
  <c r="AL63" i="19" s="1"/>
  <c r="N63" i="19"/>
  <c r="BN63" i="19"/>
  <c r="AO63" i="19"/>
  <c r="U63" i="19"/>
  <c r="AC63" i="19"/>
  <c r="AD63" i="19" s="1"/>
  <c r="AM63" i="19"/>
  <c r="AN71" i="19"/>
  <c r="AP71" i="19" s="1"/>
  <c r="Z71" i="19"/>
  <c r="AA71" i="19" s="1"/>
  <c r="AB71" i="19" s="1"/>
  <c r="V80" i="19"/>
  <c r="BT80" i="19" s="1"/>
  <c r="AJ11" i="19"/>
  <c r="Z11" i="19"/>
  <c r="AA11" i="19" s="1"/>
  <c r="AB11" i="19" s="1"/>
  <c r="AN11" i="19"/>
  <c r="AP11" i="19" s="1"/>
  <c r="R41" i="19"/>
  <c r="AQ41" i="19" s="1"/>
  <c r="BN85" i="19"/>
  <c r="AC85" i="19"/>
  <c r="AD85" i="19" s="1"/>
  <c r="S85" i="19"/>
  <c r="T85" i="19" s="1"/>
  <c r="AE85" i="19"/>
  <c r="AK85" i="19"/>
  <c r="AL85" i="19" s="1"/>
  <c r="P85" i="19"/>
  <c r="N85" i="19"/>
  <c r="AM85" i="19"/>
  <c r="Q85" i="19"/>
  <c r="AO85" i="19"/>
  <c r="U85" i="19"/>
  <c r="Q101" i="19"/>
  <c r="S101" i="19"/>
  <c r="T101" i="19" s="1"/>
  <c r="N101" i="19"/>
  <c r="AE101" i="19"/>
  <c r="AO101" i="19"/>
  <c r="P101" i="19"/>
  <c r="AM101" i="19"/>
  <c r="BN101" i="19"/>
  <c r="AC101" i="19"/>
  <c r="AD101" i="19" s="1"/>
  <c r="U101" i="19"/>
  <c r="AK101" i="19"/>
  <c r="AL101" i="19" s="1"/>
  <c r="Z37" i="19"/>
  <c r="AA37" i="19" s="1"/>
  <c r="AB37" i="19" s="1"/>
  <c r="AN37" i="19"/>
  <c r="AP37" i="19" s="1"/>
  <c r="W12" i="19"/>
  <c r="X12" i="19" s="1"/>
  <c r="Y12" i="19" s="1"/>
  <c r="Z9" i="19"/>
  <c r="AA9" i="19" s="1"/>
  <c r="AB9" i="19" s="1"/>
  <c r="AN9" i="19"/>
  <c r="AP9" i="19" s="1"/>
  <c r="P53" i="19"/>
  <c r="AC53" i="19"/>
  <c r="AD53" i="19" s="1"/>
  <c r="BN53" i="19"/>
  <c r="AM53" i="19"/>
  <c r="S53" i="19"/>
  <c r="T53" i="19" s="1"/>
  <c r="Q53" i="19"/>
  <c r="U53" i="19"/>
  <c r="AE53" i="19"/>
  <c r="AK53" i="19"/>
  <c r="AL53" i="19" s="1"/>
  <c r="AO53" i="19"/>
  <c r="N53" i="19"/>
  <c r="R34" i="19"/>
  <c r="AQ34" i="19" s="1"/>
  <c r="P18" i="19"/>
  <c r="AE18" i="19"/>
  <c r="U18" i="19"/>
  <c r="N18" i="19"/>
  <c r="AO18" i="19"/>
  <c r="S18" i="19"/>
  <c r="T18" i="19" s="1"/>
  <c r="Q18" i="19"/>
  <c r="AM18" i="19"/>
  <c r="AK18" i="19"/>
  <c r="AL18" i="19" s="1"/>
  <c r="BN18" i="19"/>
  <c r="AC18" i="19"/>
  <c r="AD18" i="19" s="1"/>
  <c r="AS69" i="19"/>
  <c r="P94" i="19"/>
  <c r="AE94" i="19"/>
  <c r="U94" i="19"/>
  <c r="AO94" i="19"/>
  <c r="AM94" i="19"/>
  <c r="N94" i="19"/>
  <c r="Q94" i="19"/>
  <c r="AK94" i="19"/>
  <c r="AL94" i="19" s="1"/>
  <c r="AC94" i="19"/>
  <c r="AD94" i="19" s="1"/>
  <c r="BN94" i="19"/>
  <c r="S94" i="19"/>
  <c r="T94" i="19" s="1"/>
  <c r="BN97" i="19"/>
  <c r="AE97" i="19"/>
  <c r="N97" i="19"/>
  <c r="P97" i="19"/>
  <c r="AK97" i="19"/>
  <c r="AL97" i="19" s="1"/>
  <c r="S97" i="19"/>
  <c r="T97" i="19" s="1"/>
  <c r="Q97" i="19"/>
  <c r="AO97" i="19"/>
  <c r="U97" i="19"/>
  <c r="AC97" i="19"/>
  <c r="AD97" i="19" s="1"/>
  <c r="AM97" i="19"/>
  <c r="AE105" i="19"/>
  <c r="AO105" i="19"/>
  <c r="P105" i="19"/>
  <c r="AK105" i="19"/>
  <c r="AL105" i="19" s="1"/>
  <c r="AC105" i="19"/>
  <c r="AD105" i="19" s="1"/>
  <c r="BN105" i="19"/>
  <c r="N105" i="19"/>
  <c r="Q105" i="19"/>
  <c r="U105" i="19"/>
  <c r="AM105" i="19"/>
  <c r="Z51" i="19"/>
  <c r="AA51" i="19" s="1"/>
  <c r="AB51" i="19" s="1"/>
  <c r="AN51" i="19"/>
  <c r="AP51" i="19" s="1"/>
  <c r="R57" i="19"/>
  <c r="AQ57" i="19" s="1"/>
  <c r="V26" i="19"/>
  <c r="BT26" i="19" s="1"/>
  <c r="AN59" i="19"/>
  <c r="AP59" i="19" s="1"/>
  <c r="Z59" i="19"/>
  <c r="AA59" i="19" s="1"/>
  <c r="AB59" i="19" s="1"/>
  <c r="R59" i="19"/>
  <c r="AQ59" i="19" s="1"/>
  <c r="BN22" i="19"/>
  <c r="N22" i="19"/>
  <c r="AK22" i="19"/>
  <c r="AL22" i="19" s="1"/>
  <c r="Q22" i="19"/>
  <c r="U22" i="19"/>
  <c r="S22" i="19"/>
  <c r="T22" i="19" s="1"/>
  <c r="AE22" i="19"/>
  <c r="AO22" i="19"/>
  <c r="P22" i="19"/>
  <c r="AC22" i="19"/>
  <c r="AD22" i="19" s="1"/>
  <c r="AM22" i="19"/>
  <c r="Q23" i="19"/>
  <c r="U23" i="19"/>
  <c r="AE23" i="19"/>
  <c r="AC23" i="19"/>
  <c r="AD23" i="19" s="1"/>
  <c r="P23" i="19"/>
  <c r="AM23" i="19"/>
  <c r="BN23" i="19"/>
  <c r="AK23" i="19"/>
  <c r="AL23" i="19" s="1"/>
  <c r="S23" i="19"/>
  <c r="T23" i="19" s="1"/>
  <c r="N23" i="19"/>
  <c r="AO23" i="19"/>
  <c r="P82" i="19"/>
  <c r="BN82" i="19"/>
  <c r="AM82" i="19"/>
  <c r="AK82" i="19"/>
  <c r="AL82" i="19" s="1"/>
  <c r="N82" i="19"/>
  <c r="U82" i="19"/>
  <c r="AE82" i="19"/>
  <c r="S82" i="19"/>
  <c r="T82" i="19" s="1"/>
  <c r="Q82" i="19"/>
  <c r="AO82" i="19"/>
  <c r="AC82" i="19"/>
  <c r="AD82" i="19" s="1"/>
  <c r="Q54" i="19"/>
  <c r="BN54" i="19"/>
  <c r="AE54" i="19"/>
  <c r="AM54" i="19"/>
  <c r="AK54" i="19"/>
  <c r="AL54" i="19" s="1"/>
  <c r="AC54" i="19"/>
  <c r="AD54" i="19" s="1"/>
  <c r="U54" i="19"/>
  <c r="N54" i="19"/>
  <c r="P54" i="19"/>
  <c r="S54" i="19"/>
  <c r="T54" i="19" s="1"/>
  <c r="AO54" i="19"/>
  <c r="U102" i="19"/>
  <c r="S102" i="19"/>
  <c r="T102" i="19" s="1"/>
  <c r="AE102" i="19"/>
  <c r="BN102" i="19"/>
  <c r="Q102" i="19"/>
  <c r="N102" i="19"/>
  <c r="AM102" i="19"/>
  <c r="P102" i="19"/>
  <c r="AO102" i="19"/>
  <c r="AK102" i="19"/>
  <c r="AL102" i="19" s="1"/>
  <c r="AC102" i="19"/>
  <c r="AD102" i="19" s="1"/>
  <c r="R71" i="19"/>
  <c r="AQ71" i="19" s="1"/>
  <c r="BN30" i="19"/>
  <c r="AK30" i="19"/>
  <c r="AL30" i="19" s="1"/>
  <c r="N30" i="19"/>
  <c r="AO30" i="19"/>
  <c r="S30" i="19"/>
  <c r="T30" i="19" s="1"/>
  <c r="P30" i="19"/>
  <c r="AE30" i="19"/>
  <c r="AC30" i="19"/>
  <c r="AD30" i="19" s="1"/>
  <c r="Q30" i="19"/>
  <c r="AM30" i="19"/>
  <c r="U30" i="19"/>
  <c r="Z41" i="19"/>
  <c r="AA41" i="19" s="1"/>
  <c r="AB41" i="19" s="1"/>
  <c r="AN41" i="19"/>
  <c r="AP41" i="19" s="1"/>
  <c r="N79" i="19"/>
  <c r="Q79" i="19"/>
  <c r="AC79" i="19"/>
  <c r="AD79" i="19" s="1"/>
  <c r="P79" i="19"/>
  <c r="AE79" i="19"/>
  <c r="BN79" i="19"/>
  <c r="U79" i="19"/>
  <c r="AK79" i="19"/>
  <c r="AL79" i="19" s="1"/>
  <c r="AM79" i="19"/>
  <c r="AO79" i="19"/>
  <c r="S79" i="19"/>
  <c r="T79" i="19" s="1"/>
  <c r="P20" i="19"/>
  <c r="U20" i="19"/>
  <c r="S20" i="19"/>
  <c r="T20" i="19" s="1"/>
  <c r="Q20" i="19"/>
  <c r="AM20" i="19"/>
  <c r="AC20" i="19"/>
  <c r="AD20" i="19" s="1"/>
  <c r="BN20" i="19"/>
  <c r="N20" i="19"/>
  <c r="AE20" i="19"/>
  <c r="AO20" i="19"/>
  <c r="AK20" i="19"/>
  <c r="AL20" i="19" s="1"/>
  <c r="AP77" i="19"/>
  <c r="BN72" i="19"/>
  <c r="U72" i="19"/>
  <c r="AE72" i="19"/>
  <c r="AC72" i="19"/>
  <c r="AD72" i="19" s="1"/>
  <c r="P72" i="19"/>
  <c r="AM72" i="19"/>
  <c r="AO72" i="19"/>
  <c r="Q72" i="19"/>
  <c r="N72" i="19"/>
  <c r="AK72" i="19"/>
  <c r="AL72" i="19" s="1"/>
  <c r="S72" i="19"/>
  <c r="T72" i="19" s="1"/>
  <c r="U24" i="19"/>
  <c r="S24" i="19"/>
  <c r="T24" i="19" s="1"/>
  <c r="BN24" i="19"/>
  <c r="AO24" i="19"/>
  <c r="Q24" i="19"/>
  <c r="AC24" i="19"/>
  <c r="AD24" i="19" s="1"/>
  <c r="AK24" i="19"/>
  <c r="AL24" i="19" s="1"/>
  <c r="AM24" i="19"/>
  <c r="N24" i="19"/>
  <c r="P24" i="19"/>
  <c r="AE24" i="19"/>
  <c r="P73" i="19"/>
  <c r="S73" i="19"/>
  <c r="T73" i="19" s="1"/>
  <c r="N73" i="19"/>
  <c r="AM73" i="19"/>
  <c r="AC73" i="19"/>
  <c r="AD73" i="19" s="1"/>
  <c r="BN73" i="19"/>
  <c r="AO73" i="19"/>
  <c r="AK73" i="19"/>
  <c r="AL73" i="19" s="1"/>
  <c r="Q73" i="19"/>
  <c r="U73" i="19"/>
  <c r="AE73" i="19"/>
  <c r="BN95" i="19"/>
  <c r="AM95" i="19"/>
  <c r="AK95" i="19"/>
  <c r="AL95" i="19" s="1"/>
  <c r="P95" i="19"/>
  <c r="U95" i="19"/>
  <c r="S95" i="19"/>
  <c r="T95" i="19" s="1"/>
  <c r="N95" i="19"/>
  <c r="Q95" i="19"/>
  <c r="AE95" i="19"/>
  <c r="AC95" i="19"/>
  <c r="AD95" i="19" s="1"/>
  <c r="AO95" i="19"/>
  <c r="P46" i="19"/>
  <c r="U46" i="19"/>
  <c r="Q46" i="19"/>
  <c r="AE46" i="19"/>
  <c r="N46" i="19"/>
  <c r="AC46" i="19"/>
  <c r="AD46" i="19" s="1"/>
  <c r="AO46" i="19"/>
  <c r="BN46" i="19"/>
  <c r="AM46" i="19"/>
  <c r="S46" i="19"/>
  <c r="T46" i="19" s="1"/>
  <c r="AK46" i="19"/>
  <c r="AL46" i="19" s="1"/>
  <c r="AE29" i="19"/>
  <c r="BN29" i="19"/>
  <c r="N29" i="19"/>
  <c r="U29" i="19"/>
  <c r="P29" i="19"/>
  <c r="AC29" i="19"/>
  <c r="AD29" i="19" s="1"/>
  <c r="AM29" i="19"/>
  <c r="Q29" i="19"/>
  <c r="AK29" i="19"/>
  <c r="AL29" i="19" s="1"/>
  <c r="S29" i="19"/>
  <c r="T29" i="19" s="1"/>
  <c r="AO29" i="19"/>
  <c r="AP103" i="19"/>
  <c r="W60" i="19"/>
  <c r="X60" i="19" s="1"/>
  <c r="Y60" i="19" s="1"/>
  <c r="P7" i="19"/>
  <c r="AE7" i="19"/>
  <c r="BN7" i="19"/>
  <c r="N7" i="19"/>
  <c r="AM7" i="19"/>
  <c r="AK7" i="19"/>
  <c r="AL7" i="19" s="1"/>
  <c r="AO7" i="19"/>
  <c r="Q7" i="19"/>
  <c r="U7" i="19"/>
  <c r="S7" i="19"/>
  <c r="T7" i="19" s="1"/>
  <c r="AC7" i="19"/>
  <c r="AD7" i="19" s="1"/>
  <c r="W22" i="19"/>
  <c r="X22" i="19" s="1"/>
  <c r="Y22" i="19" s="1"/>
  <c r="P64" i="19"/>
  <c r="N64" i="19"/>
  <c r="U64" i="19"/>
  <c r="BN64" i="19"/>
  <c r="AM64" i="19"/>
  <c r="AO64" i="19"/>
  <c r="Q64" i="19"/>
  <c r="AC64" i="19"/>
  <c r="AD64" i="19" s="1"/>
  <c r="S64" i="19"/>
  <c r="T64" i="19" s="1"/>
  <c r="AE64" i="19"/>
  <c r="AK64" i="19"/>
  <c r="AL64" i="19" s="1"/>
  <c r="W23" i="19"/>
  <c r="X23" i="19" s="1"/>
  <c r="Y23" i="19" s="1"/>
  <c r="O106" i="19"/>
  <c r="AI106" i="19" s="1"/>
  <c r="N61" i="19"/>
  <c r="Q61" i="19"/>
  <c r="S61" i="19"/>
  <c r="T61" i="19" s="1"/>
  <c r="AE61" i="19"/>
  <c r="AM61" i="19"/>
  <c r="U61" i="19"/>
  <c r="P61" i="19"/>
  <c r="BN61" i="19"/>
  <c r="AC61" i="19"/>
  <c r="AD61" i="19" s="1"/>
  <c r="AO61" i="19"/>
  <c r="AK61" i="19"/>
  <c r="AL61" i="19" s="1"/>
  <c r="P36" i="19"/>
  <c r="U36" i="19"/>
  <c r="AM36" i="19"/>
  <c r="S36" i="19"/>
  <c r="T36" i="19" s="1"/>
  <c r="AO36" i="19"/>
  <c r="AE36" i="19"/>
  <c r="BN36" i="19"/>
  <c r="N36" i="19"/>
  <c r="Q36" i="19"/>
  <c r="AC36" i="19"/>
  <c r="AD36" i="19" s="1"/>
  <c r="AK36" i="19"/>
  <c r="AL36" i="19" s="1"/>
  <c r="W88" i="19"/>
  <c r="X88" i="19" s="1"/>
  <c r="Y88" i="19" s="1"/>
  <c r="AE89" i="19"/>
  <c r="N89" i="19"/>
  <c r="S89" i="19"/>
  <c r="T89" i="19" s="1"/>
  <c r="P89" i="19"/>
  <c r="AM89" i="19"/>
  <c r="AC89" i="19"/>
  <c r="AD89" i="19" s="1"/>
  <c r="BN89" i="19"/>
  <c r="U89" i="19"/>
  <c r="AO89" i="19"/>
  <c r="Q89" i="19"/>
  <c r="AK89" i="19"/>
  <c r="AL89" i="19" s="1"/>
  <c r="W82" i="19"/>
  <c r="X82" i="19" s="1"/>
  <c r="Y82" i="19" s="1"/>
  <c r="W54" i="19"/>
  <c r="X54" i="19" s="1"/>
  <c r="Y54" i="19" s="1"/>
  <c r="P62" i="19"/>
  <c r="S62" i="19"/>
  <c r="T62" i="19" s="1"/>
  <c r="Q62" i="19"/>
  <c r="AC62" i="19"/>
  <c r="AD62" i="19" s="1"/>
  <c r="N62" i="19"/>
  <c r="AK62" i="19"/>
  <c r="AL62" i="19" s="1"/>
  <c r="AO62" i="19"/>
  <c r="U62" i="19"/>
  <c r="BN62" i="19"/>
  <c r="AM62" i="19"/>
  <c r="AE62" i="19"/>
  <c r="AS71" i="19"/>
  <c r="V71" i="19"/>
  <c r="BT71" i="19" s="1"/>
  <c r="S45" i="19"/>
  <c r="T45" i="19" s="1"/>
  <c r="Q45" i="19"/>
  <c r="U45" i="19"/>
  <c r="BN45" i="19"/>
  <c r="P45" i="19"/>
  <c r="AM45" i="19"/>
  <c r="AC45" i="19"/>
  <c r="AD45" i="19" s="1"/>
  <c r="AK45" i="19"/>
  <c r="AL45" i="19" s="1"/>
  <c r="N45" i="19"/>
  <c r="AE45" i="19"/>
  <c r="AO45" i="19"/>
  <c r="W30" i="19"/>
  <c r="X30" i="19" s="1"/>
  <c r="Y30" i="19" s="1"/>
  <c r="AS80" i="19"/>
  <c r="AE25" i="19"/>
  <c r="Q25" i="19"/>
  <c r="BN25" i="19"/>
  <c r="AM25" i="19"/>
  <c r="P25" i="19"/>
  <c r="U25" i="19"/>
  <c r="N25" i="19"/>
  <c r="AK25" i="19"/>
  <c r="AL25" i="19" s="1"/>
  <c r="S25" i="19"/>
  <c r="T25" i="19" s="1"/>
  <c r="AO25" i="19"/>
  <c r="AC25" i="19"/>
  <c r="AD25" i="19" s="1"/>
  <c r="P13" i="19"/>
  <c r="AM13" i="19"/>
  <c r="Q13" i="19"/>
  <c r="BN13" i="19"/>
  <c r="N13" i="19"/>
  <c r="AK13" i="19"/>
  <c r="AL13" i="19" s="1"/>
  <c r="U13" i="19"/>
  <c r="AE13" i="19"/>
  <c r="AC13" i="19"/>
  <c r="AD13" i="19" s="1"/>
  <c r="AO13" i="19"/>
  <c r="S13" i="19"/>
  <c r="T13" i="19" s="1"/>
  <c r="P35" i="19"/>
  <c r="AE35" i="19"/>
  <c r="BN35" i="19"/>
  <c r="U35" i="19"/>
  <c r="N35" i="19"/>
  <c r="Q35" i="19"/>
  <c r="AM35" i="19"/>
  <c r="AC35" i="19"/>
  <c r="AD35" i="19" s="1"/>
  <c r="S35" i="19"/>
  <c r="T35" i="19" s="1"/>
  <c r="AO35" i="19"/>
  <c r="AK35" i="19"/>
  <c r="AL35" i="19" s="1"/>
  <c r="AC74" i="19"/>
  <c r="AD74" i="19" s="1"/>
  <c r="S74" i="19"/>
  <c r="T74" i="19" s="1"/>
  <c r="P74" i="19"/>
  <c r="U74" i="19"/>
  <c r="BN74" i="19"/>
  <c r="AE74" i="19"/>
  <c r="AO74" i="19"/>
  <c r="Q74" i="19"/>
  <c r="AM74" i="19"/>
  <c r="AK74" i="19"/>
  <c r="AL74" i="19" s="1"/>
  <c r="N74" i="19"/>
  <c r="AJ41" i="19"/>
  <c r="W98" i="19"/>
  <c r="X98" i="19" s="1"/>
  <c r="Y98" i="19" s="1"/>
  <c r="AS9" i="19"/>
  <c r="W79" i="19"/>
  <c r="X79" i="19" s="1"/>
  <c r="Y79" i="19" s="1"/>
  <c r="U14" i="19"/>
  <c r="BN14" i="19"/>
  <c r="AE14" i="19"/>
  <c r="AM14" i="19"/>
  <c r="P14" i="19"/>
  <c r="Q14" i="19"/>
  <c r="N14" i="19"/>
  <c r="AO14" i="19"/>
  <c r="AK14" i="19"/>
  <c r="AL14" i="19" s="1"/>
  <c r="AC14" i="19"/>
  <c r="AD14" i="19" s="1"/>
  <c r="S14" i="19"/>
  <c r="T14" i="19" s="1"/>
  <c r="W20" i="19"/>
  <c r="X20" i="19" s="1"/>
  <c r="Y20" i="19" s="1"/>
  <c r="AK75" i="19"/>
  <c r="AL75" i="19" s="1"/>
  <c r="AE75" i="19"/>
  <c r="P75" i="19"/>
  <c r="U75" i="19"/>
  <c r="Q75" i="19"/>
  <c r="BN75" i="19"/>
  <c r="AM75" i="19"/>
  <c r="N75" i="19"/>
  <c r="AO75" i="19"/>
  <c r="AC75" i="19"/>
  <c r="AD75" i="19" s="1"/>
  <c r="S75" i="19"/>
  <c r="T75" i="19" s="1"/>
  <c r="R51" i="19"/>
  <c r="AQ51" i="19" s="1"/>
  <c r="AS26" i="19"/>
  <c r="AS59" i="19"/>
  <c r="AN7" i="20" l="1"/>
  <c r="AN59" i="20"/>
  <c r="AN52" i="20"/>
  <c r="AN25" i="20"/>
  <c r="AN43" i="20"/>
  <c r="T28" i="20"/>
  <c r="BP28" i="20" s="1"/>
  <c r="BZ28" i="19" s="1"/>
  <c r="AQ74" i="20"/>
  <c r="T40" i="20"/>
  <c r="BP40" i="20" s="1"/>
  <c r="AN6" i="20"/>
  <c r="AQ76" i="20"/>
  <c r="AN12" i="20"/>
  <c r="AH106" i="19"/>
  <c r="T97" i="20"/>
  <c r="BP97" i="20" s="1"/>
  <c r="R15" i="19"/>
  <c r="AQ15" i="19" s="1"/>
  <c r="AR15" i="19" s="1"/>
  <c r="BS15" i="19" s="1"/>
  <c r="BY15" i="19" s="1"/>
  <c r="T82" i="20"/>
  <c r="BP82" i="20" s="1"/>
  <c r="AH82" i="20"/>
  <c r="AN82" i="20"/>
  <c r="R104" i="19"/>
  <c r="AQ104" i="19" s="1"/>
  <c r="AR104" i="19" s="1"/>
  <c r="BS104" i="19" s="1"/>
  <c r="BY104" i="19" s="1"/>
  <c r="AN105" i="20"/>
  <c r="V10" i="19"/>
  <c r="BT10" i="19" s="1"/>
  <c r="AN83" i="20"/>
  <c r="T6" i="20"/>
  <c r="BP6" i="20" s="1"/>
  <c r="BZ6" i="19" s="1"/>
  <c r="AS86" i="19"/>
  <c r="AJ30" i="19"/>
  <c r="T92" i="20"/>
  <c r="BP92" i="20" s="1"/>
  <c r="V23" i="19"/>
  <c r="BT23" i="19" s="1"/>
  <c r="BZ23" i="19" s="1"/>
  <c r="AQ44" i="20"/>
  <c r="R23" i="19"/>
  <c r="AQ23" i="19" s="1"/>
  <c r="AR23" i="19" s="1"/>
  <c r="BS23" i="19" s="1"/>
  <c r="BY23" i="19" s="1"/>
  <c r="AS88" i="19"/>
  <c r="R12" i="19"/>
  <c r="AQ12" i="19" s="1"/>
  <c r="AR12" i="19" s="1"/>
  <c r="BS12" i="19" s="1"/>
  <c r="BY12" i="19" s="1"/>
  <c r="V84" i="19"/>
  <c r="BT84" i="19" s="1"/>
  <c r="AN39" i="20"/>
  <c r="V38" i="19"/>
  <c r="BT38" i="19" s="1"/>
  <c r="V75" i="19"/>
  <c r="BT75" i="19" s="1"/>
  <c r="AJ17" i="19"/>
  <c r="T47" i="20"/>
  <c r="BP47" i="20" s="1"/>
  <c r="BZ47" i="19" s="1"/>
  <c r="AN13" i="20"/>
  <c r="T105" i="20"/>
  <c r="BP105" i="20" s="1"/>
  <c r="AQ58" i="20"/>
  <c r="BY77" i="19"/>
  <c r="BY6" i="19"/>
  <c r="BY91" i="19"/>
  <c r="AR41" i="19"/>
  <c r="AR44" i="19"/>
  <c r="AR27" i="19"/>
  <c r="AR90" i="19"/>
  <c r="AR68" i="19"/>
  <c r="AR76" i="19"/>
  <c r="AR69" i="19"/>
  <c r="AR26" i="19"/>
  <c r="BY67" i="19"/>
  <c r="AR59" i="19"/>
  <c r="BS59" i="19" s="1"/>
  <c r="BY59" i="19" s="1"/>
  <c r="AR57" i="19"/>
  <c r="BS57" i="19" s="1"/>
  <c r="BY57" i="19" s="1"/>
  <c r="AR34" i="19"/>
  <c r="BS34" i="19" s="1"/>
  <c r="BY34" i="19" s="1"/>
  <c r="AR11" i="19"/>
  <c r="BS11" i="19" s="1"/>
  <c r="BY11" i="19" s="1"/>
  <c r="AR103" i="19"/>
  <c r="BS103" i="19" s="1"/>
  <c r="BY103" i="19" s="1"/>
  <c r="AR52" i="19"/>
  <c r="BS52" i="19" s="1"/>
  <c r="BY52" i="19" s="1"/>
  <c r="AR31" i="19"/>
  <c r="BS31" i="19" s="1"/>
  <c r="BY31" i="19" s="1"/>
  <c r="AR80" i="19"/>
  <c r="BS80" i="19" s="1"/>
  <c r="BY80" i="19" s="1"/>
  <c r="AR56" i="19"/>
  <c r="BS56" i="19" s="1"/>
  <c r="BY56" i="19" s="1"/>
  <c r="AR66" i="19"/>
  <c r="BS66" i="19" s="1"/>
  <c r="BY66" i="19" s="1"/>
  <c r="BY78" i="19"/>
  <c r="AR51" i="19"/>
  <c r="AR96" i="19"/>
  <c r="AR21" i="19"/>
  <c r="AR48" i="19"/>
  <c r="AR71" i="19"/>
  <c r="AR9" i="19"/>
  <c r="AR83" i="19"/>
  <c r="AR33" i="19"/>
  <c r="AR55" i="19"/>
  <c r="AR81" i="19"/>
  <c r="AR100" i="19"/>
  <c r="AR37" i="19"/>
  <c r="AR28" i="19"/>
  <c r="AR47" i="19"/>
  <c r="AR93" i="19"/>
  <c r="AR70" i="19"/>
  <c r="AR50" i="19"/>
  <c r="AR65" i="19"/>
  <c r="AR16" i="19"/>
  <c r="AR99" i="19"/>
  <c r="BY8" i="19"/>
  <c r="V39" i="19"/>
  <c r="BT39" i="19" s="1"/>
  <c r="T75" i="20"/>
  <c r="BP75" i="20" s="1"/>
  <c r="AN75" i="20"/>
  <c r="AS58" i="19"/>
  <c r="AJ46" i="19"/>
  <c r="V18" i="19"/>
  <c r="BT18" i="19" s="1"/>
  <c r="AJ32" i="19"/>
  <c r="AQ43" i="20"/>
  <c r="V54" i="19"/>
  <c r="BT54" i="19" s="1"/>
  <c r="AN11" i="20"/>
  <c r="AN102" i="20"/>
  <c r="T70" i="20"/>
  <c r="BP70" i="20" s="1"/>
  <c r="BZ70" i="19" s="1"/>
  <c r="AQ72" i="20"/>
  <c r="AN70" i="20"/>
  <c r="AQ103" i="20"/>
  <c r="AQ100" i="20"/>
  <c r="AQ98" i="20"/>
  <c r="T30" i="20"/>
  <c r="BP30" i="20" s="1"/>
  <c r="AH43" i="20"/>
  <c r="T43" i="20"/>
  <c r="BP43" i="20" s="1"/>
  <c r="AQ82" i="20"/>
  <c r="AN31" i="20"/>
  <c r="AN45" i="20"/>
  <c r="AN15" i="20"/>
  <c r="T26" i="20"/>
  <c r="BP26" i="20" s="1"/>
  <c r="BZ26" i="19" s="1"/>
  <c r="AN23" i="20"/>
  <c r="AQ8" i="20"/>
  <c r="AH60" i="20"/>
  <c r="AH70" i="20"/>
  <c r="AQ14" i="20"/>
  <c r="AN92" i="20"/>
  <c r="AH7" i="20"/>
  <c r="AQ75" i="20"/>
  <c r="AQ7" i="20"/>
  <c r="AQ12" i="20"/>
  <c r="T45" i="20"/>
  <c r="BP45" i="20" s="1"/>
  <c r="AH6" i="20"/>
  <c r="AQ65" i="20"/>
  <c r="AH75" i="20"/>
  <c r="AQ70" i="20"/>
  <c r="AN78" i="20"/>
  <c r="T42" i="20"/>
  <c r="BP42" i="20" s="1"/>
  <c r="T11" i="20"/>
  <c r="BP11" i="20" s="1"/>
  <c r="BZ11" i="19" s="1"/>
  <c r="T88" i="20"/>
  <c r="BP88" i="20" s="1"/>
  <c r="AN100" i="20"/>
  <c r="AH81" i="20"/>
  <c r="T94" i="20"/>
  <c r="BP94" i="20" s="1"/>
  <c r="AH59" i="20"/>
  <c r="AN33" i="20"/>
  <c r="AQ33" i="20"/>
  <c r="AN79" i="20"/>
  <c r="AH42" i="20"/>
  <c r="AH49" i="20"/>
  <c r="AQ92" i="20"/>
  <c r="AQ97" i="20"/>
  <c r="AH45" i="20"/>
  <c r="T65" i="20"/>
  <c r="BP65" i="20" s="1"/>
  <c r="BZ65" i="19" s="1"/>
  <c r="AH11" i="20"/>
  <c r="AQ6" i="20"/>
  <c r="AH78" i="20"/>
  <c r="AQ11" i="20"/>
  <c r="AH12" i="20"/>
  <c r="V105" i="19"/>
  <c r="BT105" i="19" s="1"/>
  <c r="AN21" i="20"/>
  <c r="AQ79" i="20"/>
  <c r="AQ49" i="20"/>
  <c r="T35" i="20"/>
  <c r="BP35" i="20" s="1"/>
  <c r="AN36" i="20"/>
  <c r="AH36" i="20"/>
  <c r="T87" i="20"/>
  <c r="BP87" i="20" s="1"/>
  <c r="AN28" i="20"/>
  <c r="AH97" i="20"/>
  <c r="T59" i="20"/>
  <c r="BP59" i="20" s="1"/>
  <c r="BZ59" i="19" s="1"/>
  <c r="AQ78" i="20"/>
  <c r="AQ45" i="20"/>
  <c r="T96" i="20"/>
  <c r="BP96" i="20" s="1"/>
  <c r="BZ96" i="19" s="1"/>
  <c r="AN22" i="20"/>
  <c r="AH47" i="20"/>
  <c r="AQ67" i="20"/>
  <c r="AQ59" i="20"/>
  <c r="T33" i="20"/>
  <c r="BP33" i="20" s="1"/>
  <c r="BZ33" i="19" s="1"/>
  <c r="AH30" i="20"/>
  <c r="AN65" i="20"/>
  <c r="AQ30" i="20"/>
  <c r="AN72" i="20"/>
  <c r="T41" i="20"/>
  <c r="BP41" i="20" s="1"/>
  <c r="BZ41" i="19" s="1"/>
  <c r="T36" i="20"/>
  <c r="BP36" i="20" s="1"/>
  <c r="AQ19" i="20"/>
  <c r="AQ71" i="20"/>
  <c r="T49" i="20"/>
  <c r="BP49" i="20" s="1"/>
  <c r="AH20" i="20"/>
  <c r="AH92" i="20"/>
  <c r="AH65" i="20"/>
  <c r="AH33" i="20"/>
  <c r="AQ25" i="20"/>
  <c r="T25" i="20"/>
  <c r="BP25" i="20" s="1"/>
  <c r="AN97" i="20"/>
  <c r="AH28" i="20"/>
  <c r="AN30" i="20"/>
  <c r="AN42" i="20"/>
  <c r="AH79" i="20"/>
  <c r="AH25" i="20"/>
  <c r="AH71" i="20"/>
  <c r="T79" i="20"/>
  <c r="BP79" i="20" s="1"/>
  <c r="AQ42" i="20"/>
  <c r="AN49" i="20"/>
  <c r="AQ31" i="20"/>
  <c r="T81" i="20"/>
  <c r="BP81" i="20" s="1"/>
  <c r="BZ81" i="19" s="1"/>
  <c r="AN98" i="20"/>
  <c r="T20" i="20"/>
  <c r="BP20" i="20" s="1"/>
  <c r="AQ20" i="20"/>
  <c r="T93" i="20"/>
  <c r="BP93" i="20" s="1"/>
  <c r="BZ93" i="19" s="1"/>
  <c r="AQ28" i="20"/>
  <c r="AQ101" i="20"/>
  <c r="T19" i="20"/>
  <c r="BP19" i="20" s="1"/>
  <c r="T56" i="20"/>
  <c r="BP56" i="20" s="1"/>
  <c r="BZ56" i="19" s="1"/>
  <c r="AQ63" i="20"/>
  <c r="AQ41" i="20"/>
  <c r="T71" i="20"/>
  <c r="BP71" i="20" s="1"/>
  <c r="BZ71" i="19" s="1"/>
  <c r="AN19" i="20"/>
  <c r="AN50" i="20"/>
  <c r="AN27" i="20"/>
  <c r="AN8" i="20"/>
  <c r="T52" i="20"/>
  <c r="BP52" i="20" s="1"/>
  <c r="BZ52" i="19" s="1"/>
  <c r="AQ94" i="20"/>
  <c r="AQ60" i="20"/>
  <c r="T27" i="20"/>
  <c r="BP27" i="20" s="1"/>
  <c r="BZ27" i="19" s="1"/>
  <c r="AQ93" i="20"/>
  <c r="AH76" i="20"/>
  <c r="AQ87" i="20"/>
  <c r="AN87" i="20"/>
  <c r="V12" i="19"/>
  <c r="BT12" i="19" s="1"/>
  <c r="BZ12" i="19" s="1"/>
  <c r="T15" i="20"/>
  <c r="BP15" i="20" s="1"/>
  <c r="AN76" i="20"/>
  <c r="AN60" i="20"/>
  <c r="AH87" i="20"/>
  <c r="T76" i="20"/>
  <c r="BP76" i="20" s="1"/>
  <c r="BZ76" i="19" s="1"/>
  <c r="AH52" i="20"/>
  <c r="AN29" i="20"/>
  <c r="AN74" i="20"/>
  <c r="AQ56" i="20"/>
  <c r="AH56" i="20"/>
  <c r="AN94" i="20"/>
  <c r="T85" i="20"/>
  <c r="BP85" i="20" s="1"/>
  <c r="AN17" i="20"/>
  <c r="AQ29" i="20"/>
  <c r="AH27" i="20"/>
  <c r="AQ36" i="20"/>
  <c r="AH98" i="20"/>
  <c r="AH93" i="20"/>
  <c r="AN93" i="20"/>
  <c r="T60" i="20"/>
  <c r="BP60" i="20" s="1"/>
  <c r="AN66" i="20"/>
  <c r="AQ52" i="20"/>
  <c r="AH19" i="20"/>
  <c r="R49" i="19"/>
  <c r="AQ49" i="19" s="1"/>
  <c r="AH41" i="20"/>
  <c r="AQ27" i="20"/>
  <c r="AH101" i="20"/>
  <c r="AN71" i="20"/>
  <c r="V104" i="19"/>
  <c r="BT104" i="19" s="1"/>
  <c r="T10" i="20"/>
  <c r="BP10" i="20" s="1"/>
  <c r="T98" i="20"/>
  <c r="BP98" i="20" s="1"/>
  <c r="AQ34" i="20"/>
  <c r="AN34" i="20"/>
  <c r="AQ90" i="20"/>
  <c r="T90" i="20"/>
  <c r="BP90" i="20" s="1"/>
  <c r="BZ90" i="19" s="1"/>
  <c r="AN67" i="20"/>
  <c r="T8" i="20"/>
  <c r="BP8" i="20" s="1"/>
  <c r="BZ8" i="19" s="1"/>
  <c r="AN85" i="20"/>
  <c r="AH62" i="20"/>
  <c r="AQ77" i="20"/>
  <c r="AN55" i="20"/>
  <c r="T74" i="20"/>
  <c r="BP74" i="20" s="1"/>
  <c r="AQ26" i="20"/>
  <c r="AQ51" i="20"/>
  <c r="AN58" i="20"/>
  <c r="T22" i="20"/>
  <c r="BP22" i="20" s="1"/>
  <c r="W106" i="19"/>
  <c r="X106" i="19" s="1"/>
  <c r="Y106" i="19" s="1"/>
  <c r="S106" i="19"/>
  <c r="T106" i="19" s="1"/>
  <c r="AQ80" i="20"/>
  <c r="T101" i="20"/>
  <c r="BP101" i="20" s="1"/>
  <c r="AQ40" i="20"/>
  <c r="T29" i="20"/>
  <c r="BP29" i="20" s="1"/>
  <c r="AH8" i="20"/>
  <c r="AH74" i="20"/>
  <c r="T67" i="20"/>
  <c r="BP67" i="20" s="1"/>
  <c r="BZ67" i="19" s="1"/>
  <c r="AH67" i="20"/>
  <c r="AH88" i="20"/>
  <c r="T83" i="20"/>
  <c r="BP83" i="20" s="1"/>
  <c r="BZ83" i="19" s="1"/>
  <c r="AH48" i="20"/>
  <c r="AH17" i="20"/>
  <c r="AN53" i="20"/>
  <c r="AQ81" i="20"/>
  <c r="T91" i="20"/>
  <c r="BP91" i="20" s="1"/>
  <c r="BZ91" i="19" s="1"/>
  <c r="AQ47" i="20"/>
  <c r="AQ22" i="20"/>
  <c r="AH40" i="20"/>
  <c r="AN40" i="20"/>
  <c r="AH34" i="20"/>
  <c r="AH29" i="20"/>
  <c r="AQ85" i="20"/>
  <c r="AH85" i="20"/>
  <c r="AN26" i="20"/>
  <c r="AN88" i="20"/>
  <c r="AN32" i="20"/>
  <c r="AQ55" i="20"/>
  <c r="T34" i="20"/>
  <c r="BP34" i="20" s="1"/>
  <c r="BZ34" i="19" s="1"/>
  <c r="AQ91" i="20"/>
  <c r="AH26" i="20"/>
  <c r="AQ48" i="20"/>
  <c r="AQ86" i="20"/>
  <c r="T31" i="20"/>
  <c r="BP31" i="20" s="1"/>
  <c r="BZ31" i="19" s="1"/>
  <c r="AN14" i="20"/>
  <c r="AH100" i="20"/>
  <c r="T66" i="20"/>
  <c r="BP66" i="20" s="1"/>
  <c r="BZ66" i="19" s="1"/>
  <c r="AN54" i="20"/>
  <c r="AN90" i="20"/>
  <c r="AN99" i="20"/>
  <c r="T72" i="20"/>
  <c r="BP72" i="20" s="1"/>
  <c r="AN57" i="20"/>
  <c r="AH77" i="20"/>
  <c r="AQ21" i="20"/>
  <c r="T32" i="20"/>
  <c r="BP32" i="20" s="1"/>
  <c r="AH91" i="20"/>
  <c r="AN91" i="20"/>
  <c r="AN47" i="20"/>
  <c r="AH23" i="20"/>
  <c r="AH72" i="20"/>
  <c r="AQ84" i="20"/>
  <c r="AH54" i="20"/>
  <c r="AQ10" i="20"/>
  <c r="AN81" i="20"/>
  <c r="AH38" i="20"/>
  <c r="AQ18" i="20"/>
  <c r="AN92" i="19"/>
  <c r="AP92" i="19" s="1"/>
  <c r="AH94" i="20"/>
  <c r="AQ54" i="20"/>
  <c r="AH90" i="20"/>
  <c r="AN48" i="20"/>
  <c r="AN69" i="20"/>
  <c r="T62" i="20"/>
  <c r="BP62" i="20" s="1"/>
  <c r="AH21" i="20"/>
  <c r="AH13" i="20"/>
  <c r="AN101" i="20"/>
  <c r="AH84" i="20"/>
  <c r="AH10" i="20"/>
  <c r="AN61" i="20"/>
  <c r="T53" i="20"/>
  <c r="BP53" i="20" s="1"/>
  <c r="T55" i="20"/>
  <c r="BP55" i="20" s="1"/>
  <c r="BZ55" i="19" s="1"/>
  <c r="AN86" i="19"/>
  <c r="AP86" i="19" s="1"/>
  <c r="AN37" i="20"/>
  <c r="T58" i="20"/>
  <c r="BP58" i="20" s="1"/>
  <c r="AH55" i="20"/>
  <c r="T13" i="20"/>
  <c r="BP13" i="20" s="1"/>
  <c r="T77" i="20"/>
  <c r="BP77" i="20" s="1"/>
  <c r="BZ77" i="19" s="1"/>
  <c r="T102" i="20"/>
  <c r="BP102" i="20" s="1"/>
  <c r="AH24" i="20"/>
  <c r="AQ32" i="20"/>
  <c r="AQ57" i="20"/>
  <c r="T17" i="20"/>
  <c r="BP17" i="20" s="1"/>
  <c r="AQ83" i="20"/>
  <c r="AS36" i="19"/>
  <c r="AS20" i="19"/>
  <c r="T44" i="20"/>
  <c r="BP44" i="20" s="1"/>
  <c r="BZ44" i="19" s="1"/>
  <c r="AQ106" i="20"/>
  <c r="AN10" i="20"/>
  <c r="AH31" i="20"/>
  <c r="AQ46" i="20"/>
  <c r="AQ89" i="20"/>
  <c r="T54" i="20"/>
  <c r="BP54" i="20" s="1"/>
  <c r="AQ73" i="20"/>
  <c r="AH15" i="20"/>
  <c r="AH35" i="20"/>
  <c r="T37" i="20"/>
  <c r="BP37" i="20" s="1"/>
  <c r="BZ37" i="19" s="1"/>
  <c r="AH46" i="20"/>
  <c r="AN80" i="20"/>
  <c r="AN95" i="20"/>
  <c r="AQ9" i="20"/>
  <c r="AQ24" i="20"/>
  <c r="AQ95" i="20"/>
  <c r="T64" i="20"/>
  <c r="BP64" i="20" s="1"/>
  <c r="AH61" i="20"/>
  <c r="AQ61" i="20"/>
  <c r="T84" i="20"/>
  <c r="BP84" i="20" s="1"/>
  <c r="AH51" i="20"/>
  <c r="AQ35" i="20"/>
  <c r="AQ17" i="20"/>
  <c r="T21" i="20"/>
  <c r="BP21" i="20" s="1"/>
  <c r="BZ21" i="19" s="1"/>
  <c r="T89" i="20"/>
  <c r="BP89" i="20" s="1"/>
  <c r="AQ50" i="20"/>
  <c r="AQ64" i="20"/>
  <c r="T61" i="20"/>
  <c r="BP61" i="20" s="1"/>
  <c r="AN77" i="20"/>
  <c r="AQ39" i="20"/>
  <c r="AQ102" i="20"/>
  <c r="AN84" i="20"/>
  <c r="AQ99" i="20"/>
  <c r="AN35" i="20"/>
  <c r="AN89" i="20"/>
  <c r="AN103" i="20"/>
  <c r="AN18" i="20"/>
  <c r="AN86" i="20"/>
  <c r="AH73" i="20"/>
  <c r="AN73" i="20"/>
  <c r="AH103" i="20"/>
  <c r="AH14" i="20"/>
  <c r="AH18" i="20"/>
  <c r="T68" i="20"/>
  <c r="BP68" i="20" s="1"/>
  <c r="BZ68" i="19" s="1"/>
  <c r="AQ66" i="20"/>
  <c r="AH99" i="20"/>
  <c r="AQ38" i="20"/>
  <c r="AQ62" i="20"/>
  <c r="AQ15" i="20"/>
  <c r="AH105" i="20"/>
  <c r="T106" i="20"/>
  <c r="BP106" i="20" s="1"/>
  <c r="AQ13" i="20"/>
  <c r="R92" i="19"/>
  <c r="AQ92" i="19" s="1"/>
  <c r="R86" i="19"/>
  <c r="AQ86" i="19" s="1"/>
  <c r="AJ49" i="19"/>
  <c r="V49" i="19"/>
  <c r="BT49" i="19" s="1"/>
  <c r="T39" i="20"/>
  <c r="BP39" i="20" s="1"/>
  <c r="AN104" i="20"/>
  <c r="AT67" i="19"/>
  <c r="BR67" i="19" s="1"/>
  <c r="AH32" i="20"/>
  <c r="AH66" i="20"/>
  <c r="AH83" i="20"/>
  <c r="AJ98" i="19"/>
  <c r="AH64" i="20"/>
  <c r="T38" i="20"/>
  <c r="BP38" i="20" s="1"/>
  <c r="R10" i="19"/>
  <c r="AQ10" i="19" s="1"/>
  <c r="AH96" i="20"/>
  <c r="AN68" i="20"/>
  <c r="T24" i="20"/>
  <c r="BP24" i="20" s="1"/>
  <c r="T104" i="20"/>
  <c r="BP104" i="20" s="1"/>
  <c r="AQ53" i="20"/>
  <c r="AQ37" i="20"/>
  <c r="AH106" i="20"/>
  <c r="BZ78" i="19"/>
  <c r="AH68" i="20"/>
  <c r="AH57" i="20"/>
  <c r="T46" i="20"/>
  <c r="BP46" i="20" s="1"/>
  <c r="AS49" i="19"/>
  <c r="AH89" i="20"/>
  <c r="AN51" i="20"/>
  <c r="AQ88" i="20"/>
  <c r="AS60" i="19"/>
  <c r="AH69" i="20"/>
  <c r="T51" i="20"/>
  <c r="BP51" i="20" s="1"/>
  <c r="BZ51" i="19" s="1"/>
  <c r="T50" i="20"/>
  <c r="BP50" i="20" s="1"/>
  <c r="BZ50" i="19" s="1"/>
  <c r="T103" i="20"/>
  <c r="BP103" i="20" s="1"/>
  <c r="BZ103" i="19" s="1"/>
  <c r="AH22" i="20"/>
  <c r="AH104" i="20"/>
  <c r="T80" i="20"/>
  <c r="BP80" i="20" s="1"/>
  <c r="BZ80" i="19" s="1"/>
  <c r="AQ104" i="20"/>
  <c r="AN44" i="20"/>
  <c r="AH44" i="20"/>
  <c r="T99" i="20"/>
  <c r="BP99" i="20" s="1"/>
  <c r="BZ99" i="19" s="1"/>
  <c r="AN64" i="20"/>
  <c r="T73" i="20"/>
  <c r="BP73" i="20" s="1"/>
  <c r="AH95" i="20"/>
  <c r="AH80" i="20"/>
  <c r="AT8" i="19"/>
  <c r="BR8" i="19" s="1"/>
  <c r="AJ92" i="19"/>
  <c r="R60" i="19"/>
  <c r="AQ60" i="19" s="1"/>
  <c r="AS92" i="19"/>
  <c r="AJ38" i="19"/>
  <c r="AT91" i="19"/>
  <c r="BR91" i="19" s="1"/>
  <c r="AJ20" i="19"/>
  <c r="R38" i="19"/>
  <c r="AQ38" i="19" s="1"/>
  <c r="V92" i="19"/>
  <c r="BT92" i="19" s="1"/>
  <c r="AJ105" i="19"/>
  <c r="V87" i="19"/>
  <c r="BT87" i="19" s="1"/>
  <c r="AS13" i="19"/>
  <c r="V32" i="19"/>
  <c r="BT32" i="19" s="1"/>
  <c r="AS42" i="19"/>
  <c r="AJ25" i="19"/>
  <c r="AS72" i="19"/>
  <c r="V102" i="19"/>
  <c r="BT102" i="19" s="1"/>
  <c r="R54" i="19"/>
  <c r="AQ54" i="19" s="1"/>
  <c r="AJ54" i="19"/>
  <c r="AS18" i="19"/>
  <c r="AT78" i="19"/>
  <c r="T14" i="20"/>
  <c r="BP14" i="20" s="1"/>
  <c r="AQ16" i="20"/>
  <c r="AN63" i="20"/>
  <c r="AN46" i="20"/>
  <c r="AQ96" i="20"/>
  <c r="AH63" i="20"/>
  <c r="AN62" i="20"/>
  <c r="AN9" i="20"/>
  <c r="AT6" i="19"/>
  <c r="AH53" i="20"/>
  <c r="AQ68" i="20"/>
  <c r="V14" i="19"/>
  <c r="BT14" i="19" s="1"/>
  <c r="R45" i="19"/>
  <c r="AQ45" i="19" s="1"/>
  <c r="R29" i="19"/>
  <c r="AQ29" i="19" s="1"/>
  <c r="AS95" i="19"/>
  <c r="AT77" i="19"/>
  <c r="BR77" i="19" s="1"/>
  <c r="AJ23" i="19"/>
  <c r="T18" i="20"/>
  <c r="BP18" i="20" s="1"/>
  <c r="AJ86" i="19"/>
  <c r="T16" i="20"/>
  <c r="BP16" i="20" s="1"/>
  <c r="BZ16" i="19" s="1"/>
  <c r="AQ69" i="20"/>
  <c r="AH102" i="20"/>
  <c r="BZ69" i="19"/>
  <c r="AN96" i="20"/>
  <c r="AQ105" i="20"/>
  <c r="AN24" i="20"/>
  <c r="AH50" i="20"/>
  <c r="T48" i="20"/>
  <c r="BP48" i="20" s="1"/>
  <c r="BZ48" i="19" s="1"/>
  <c r="T86" i="20"/>
  <c r="BP86" i="20" s="1"/>
  <c r="AH16" i="20"/>
  <c r="AH58" i="20"/>
  <c r="T100" i="20"/>
  <c r="BP100" i="20" s="1"/>
  <c r="BZ100" i="19" s="1"/>
  <c r="AH86" i="20"/>
  <c r="AH39" i="20"/>
  <c r="AN106" i="20"/>
  <c r="AH9" i="20"/>
  <c r="T57" i="20"/>
  <c r="BP57" i="20" s="1"/>
  <c r="BZ57" i="19" s="1"/>
  <c r="AJ75" i="19"/>
  <c r="R75" i="19"/>
  <c r="AQ75" i="19" s="1"/>
  <c r="R22" i="19"/>
  <c r="AQ22" i="19" s="1"/>
  <c r="AS32" i="19"/>
  <c r="R42" i="19"/>
  <c r="AQ42" i="19" s="1"/>
  <c r="AS98" i="19"/>
  <c r="AN49" i="19"/>
  <c r="AP49" i="19" s="1"/>
  <c r="Z49" i="19"/>
  <c r="AA49" i="19" s="1"/>
  <c r="AB49" i="19" s="1"/>
  <c r="AJ64" i="19"/>
  <c r="R64" i="19"/>
  <c r="AQ64" i="19" s="1"/>
  <c r="AS7" i="19"/>
  <c r="AS87" i="19"/>
  <c r="AS39" i="19"/>
  <c r="AH37" i="20"/>
  <c r="V86" i="19"/>
  <c r="T9" i="20"/>
  <c r="BP9" i="20" s="1"/>
  <c r="BZ9" i="19" s="1"/>
  <c r="V89" i="19"/>
  <c r="BT89" i="19" s="1"/>
  <c r="AS29" i="19"/>
  <c r="R24" i="19"/>
  <c r="AQ24" i="19" s="1"/>
  <c r="R94" i="19"/>
  <c r="AQ94" i="19" s="1"/>
  <c r="V63" i="19"/>
  <c r="BT63" i="19" s="1"/>
  <c r="BZ63" i="19" s="1"/>
  <c r="AJ40" i="19"/>
  <c r="AS17" i="19"/>
  <c r="AJ39" i="19"/>
  <c r="AS10" i="19"/>
  <c r="R14" i="19"/>
  <c r="AQ14" i="19" s="1"/>
  <c r="AJ74" i="19"/>
  <c r="AJ36" i="19"/>
  <c r="V64" i="19"/>
  <c r="BT64" i="19" s="1"/>
  <c r="V7" i="19"/>
  <c r="BT7" i="19" s="1"/>
  <c r="BZ7" i="19" s="1"/>
  <c r="R46" i="19"/>
  <c r="AQ46" i="19" s="1"/>
  <c r="V95" i="19"/>
  <c r="BT95" i="19" s="1"/>
  <c r="BZ95" i="19" s="1"/>
  <c r="AJ73" i="19"/>
  <c r="AJ24" i="19"/>
  <c r="V24" i="19"/>
  <c r="BT24" i="19" s="1"/>
  <c r="AS102" i="19"/>
  <c r="AS54" i="19"/>
  <c r="AS23" i="19"/>
  <c r="AJ22" i="19"/>
  <c r="V22" i="19"/>
  <c r="BT22" i="19" s="1"/>
  <c r="R105" i="19"/>
  <c r="AQ105" i="19" s="1"/>
  <c r="R97" i="19"/>
  <c r="AQ97" i="19" s="1"/>
  <c r="V94" i="19"/>
  <c r="BT94" i="19" s="1"/>
  <c r="R18" i="19"/>
  <c r="AQ18" i="19" s="1"/>
  <c r="AJ53" i="19"/>
  <c r="R101" i="19"/>
  <c r="AQ101" i="19" s="1"/>
  <c r="AJ63" i="19"/>
  <c r="AS104" i="19"/>
  <c r="AJ42" i="19"/>
  <c r="V43" i="19"/>
  <c r="BT43" i="19" s="1"/>
  <c r="AJ43" i="19"/>
  <c r="AJ58" i="19"/>
  <c r="R58" i="19"/>
  <c r="AQ58" i="19" s="1"/>
  <c r="AJ84" i="19"/>
  <c r="AN38" i="20"/>
  <c r="AN10" i="19"/>
  <c r="AP10" i="19" s="1"/>
  <c r="Z10" i="19"/>
  <c r="AA10" i="19" s="1"/>
  <c r="AB10" i="19" s="1"/>
  <c r="AJ10" i="19"/>
  <c r="Z38" i="19"/>
  <c r="AA38" i="19" s="1"/>
  <c r="AB38" i="19" s="1"/>
  <c r="AN38" i="19"/>
  <c r="AP38" i="19" s="1"/>
  <c r="V13" i="19"/>
  <c r="BT13" i="19" s="1"/>
  <c r="AS25" i="19"/>
  <c r="V36" i="19"/>
  <c r="BT36" i="19" s="1"/>
  <c r="R36" i="19"/>
  <c r="AQ36" i="19" s="1"/>
  <c r="AJ61" i="19"/>
  <c r="R95" i="19"/>
  <c r="AQ95" i="19" s="1"/>
  <c r="AS73" i="19"/>
  <c r="AS24" i="19"/>
  <c r="R20" i="19"/>
  <c r="AQ20" i="19" s="1"/>
  <c r="AS30" i="19"/>
  <c r="AS40" i="19"/>
  <c r="AJ15" i="19"/>
  <c r="V15" i="19"/>
  <c r="BT15" i="19" s="1"/>
  <c r="V42" i="19"/>
  <c r="BT42" i="19" s="1"/>
  <c r="R88" i="19"/>
  <c r="AQ88" i="19" s="1"/>
  <c r="AS38" i="19"/>
  <c r="Z46" i="19"/>
  <c r="AA46" i="19" s="1"/>
  <c r="AB46" i="19" s="1"/>
  <c r="AN46" i="19"/>
  <c r="AP46" i="19" s="1"/>
  <c r="AN95" i="19"/>
  <c r="AP95" i="19" s="1"/>
  <c r="Z95" i="19"/>
  <c r="AA95" i="19" s="1"/>
  <c r="AB95" i="19" s="1"/>
  <c r="AS85" i="19"/>
  <c r="AN17" i="19"/>
  <c r="AP17" i="19" s="1"/>
  <c r="Z17" i="19"/>
  <c r="AA17" i="19" s="1"/>
  <c r="AB17" i="19" s="1"/>
  <c r="Z84" i="19"/>
  <c r="AA84" i="19" s="1"/>
  <c r="AB84" i="19" s="1"/>
  <c r="AN84" i="19"/>
  <c r="AP84" i="19" s="1"/>
  <c r="AS75" i="19"/>
  <c r="Z14" i="19"/>
  <c r="AA14" i="19" s="1"/>
  <c r="AB14" i="19" s="1"/>
  <c r="AN14" i="19"/>
  <c r="AP14" i="19" s="1"/>
  <c r="V25" i="19"/>
  <c r="AN89" i="19"/>
  <c r="AP89" i="19" s="1"/>
  <c r="Z89" i="19"/>
  <c r="AA89" i="19" s="1"/>
  <c r="AB89" i="19" s="1"/>
  <c r="V73" i="19"/>
  <c r="AN24" i="19"/>
  <c r="AP24" i="19" s="1"/>
  <c r="Z24" i="19"/>
  <c r="AA24" i="19" s="1"/>
  <c r="AB24" i="19" s="1"/>
  <c r="Z20" i="19"/>
  <c r="AA20" i="19" s="1"/>
  <c r="AB20" i="19" s="1"/>
  <c r="AN20" i="19"/>
  <c r="AP20" i="19" s="1"/>
  <c r="AS79" i="19"/>
  <c r="Z79" i="19"/>
  <c r="AA79" i="19" s="1"/>
  <c r="AB79" i="19" s="1"/>
  <c r="AN79" i="19"/>
  <c r="AP79" i="19" s="1"/>
  <c r="Z85" i="19"/>
  <c r="AA85" i="19" s="1"/>
  <c r="AB85" i="19" s="1"/>
  <c r="AN85" i="19"/>
  <c r="AP85" i="19" s="1"/>
  <c r="AN42" i="19"/>
  <c r="AP42" i="19" s="1"/>
  <c r="Z42" i="19"/>
  <c r="AA42" i="19" s="1"/>
  <c r="AB42" i="19" s="1"/>
  <c r="AN43" i="19"/>
  <c r="AP43" i="19" s="1"/>
  <c r="Z43" i="19"/>
  <c r="AA43" i="19" s="1"/>
  <c r="AB43" i="19" s="1"/>
  <c r="Z58" i="19"/>
  <c r="AA58" i="19" s="1"/>
  <c r="AB58" i="19" s="1"/>
  <c r="AN58" i="19"/>
  <c r="AP58" i="19" s="1"/>
  <c r="Z19" i="19"/>
  <c r="AA19" i="19" s="1"/>
  <c r="AB19" i="19" s="1"/>
  <c r="AN19" i="19"/>
  <c r="AP19" i="19" s="1"/>
  <c r="R98" i="19"/>
  <c r="AQ98" i="19" s="1"/>
  <c r="R84" i="19"/>
  <c r="AQ84" i="19" s="1"/>
  <c r="V60" i="19"/>
  <c r="AJ14" i="19"/>
  <c r="AN74" i="19"/>
  <c r="AP74" i="19" s="1"/>
  <c r="Z74" i="19"/>
  <c r="AA74" i="19" s="1"/>
  <c r="AB74" i="19" s="1"/>
  <c r="R74" i="19"/>
  <c r="AQ74" i="19" s="1"/>
  <c r="V35" i="19"/>
  <c r="Z35" i="19"/>
  <c r="AA35" i="19" s="1"/>
  <c r="AB35" i="19" s="1"/>
  <c r="AN35" i="19"/>
  <c r="AP35" i="19" s="1"/>
  <c r="R35" i="19"/>
  <c r="AQ35" i="19" s="1"/>
  <c r="AJ13" i="19"/>
  <c r="AS45" i="19"/>
  <c r="AJ45" i="19"/>
  <c r="V45" i="19"/>
  <c r="AN62" i="19"/>
  <c r="AP62" i="19" s="1"/>
  <c r="Z62" i="19"/>
  <c r="AA62" i="19" s="1"/>
  <c r="AB62" i="19" s="1"/>
  <c r="V62" i="19"/>
  <c r="AS89" i="19"/>
  <c r="AS61" i="19"/>
  <c r="Q106" i="19"/>
  <c r="U106" i="19"/>
  <c r="P106" i="19"/>
  <c r="BN106" i="19"/>
  <c r="AO106" i="19"/>
  <c r="N106" i="19"/>
  <c r="Z106" i="19" s="1"/>
  <c r="AA106" i="19" s="1"/>
  <c r="AB106" i="19" s="1"/>
  <c r="AM106" i="19"/>
  <c r="AE106" i="19"/>
  <c r="AK106" i="19"/>
  <c r="AL106" i="19" s="1"/>
  <c r="AC106" i="19"/>
  <c r="AD106" i="19" s="1"/>
  <c r="AS64" i="19"/>
  <c r="R7" i="19"/>
  <c r="AQ7" i="19" s="1"/>
  <c r="V29" i="19"/>
  <c r="Z29" i="19"/>
  <c r="AA29" i="19" s="1"/>
  <c r="AB29" i="19" s="1"/>
  <c r="AN29" i="19"/>
  <c r="AP29" i="19" s="1"/>
  <c r="R73" i="19"/>
  <c r="AQ73" i="19" s="1"/>
  <c r="AN72" i="19"/>
  <c r="AP72" i="19" s="1"/>
  <c r="Z72" i="19"/>
  <c r="AA72" i="19" s="1"/>
  <c r="AB72" i="19" s="1"/>
  <c r="R72" i="19"/>
  <c r="AQ72" i="19" s="1"/>
  <c r="V20" i="19"/>
  <c r="V79" i="19"/>
  <c r="R79" i="19"/>
  <c r="AQ79" i="19" s="1"/>
  <c r="R30" i="19"/>
  <c r="AQ30" i="19" s="1"/>
  <c r="AJ102" i="19"/>
  <c r="Z54" i="19"/>
  <c r="AA54" i="19" s="1"/>
  <c r="AB54" i="19" s="1"/>
  <c r="AN54" i="19"/>
  <c r="AP54" i="19" s="1"/>
  <c r="AN82" i="19"/>
  <c r="AP82" i="19" s="1"/>
  <c r="Z82" i="19"/>
  <c r="AA82" i="19" s="1"/>
  <c r="AB82" i="19" s="1"/>
  <c r="R82" i="19"/>
  <c r="AQ82" i="19" s="1"/>
  <c r="AS105" i="19"/>
  <c r="AJ97" i="19"/>
  <c r="V97" i="19"/>
  <c r="AS97" i="19"/>
  <c r="AJ94" i="19"/>
  <c r="AJ18" i="19"/>
  <c r="AN18" i="19"/>
  <c r="AP18" i="19" s="1"/>
  <c r="Z18" i="19"/>
  <c r="AA18" i="19" s="1"/>
  <c r="AB18" i="19" s="1"/>
  <c r="AS53" i="19"/>
  <c r="V53" i="19"/>
  <c r="R53" i="19"/>
  <c r="AQ53" i="19" s="1"/>
  <c r="AJ101" i="19"/>
  <c r="V101" i="19"/>
  <c r="R85" i="19"/>
  <c r="AQ85" i="19" s="1"/>
  <c r="AJ85" i="19"/>
  <c r="R63" i="19"/>
  <c r="AQ63" i="19" s="1"/>
  <c r="AN40" i="19"/>
  <c r="AP40" i="19" s="1"/>
  <c r="Z40" i="19"/>
  <c r="AA40" i="19" s="1"/>
  <c r="AB40" i="19" s="1"/>
  <c r="V40" i="19"/>
  <c r="R87" i="19"/>
  <c r="AQ87" i="19" s="1"/>
  <c r="AN15" i="19"/>
  <c r="AP15" i="19" s="1"/>
  <c r="Z15" i="19"/>
  <c r="AA15" i="19" s="1"/>
  <c r="AB15" i="19" s="1"/>
  <c r="AJ12" i="19"/>
  <c r="AS12" i="19"/>
  <c r="AN104" i="19"/>
  <c r="AP104" i="19" s="1"/>
  <c r="AN39" i="19"/>
  <c r="AP39" i="19" s="1"/>
  <c r="Z39" i="19"/>
  <c r="AA39" i="19" s="1"/>
  <c r="AB39" i="19" s="1"/>
  <c r="R43" i="19"/>
  <c r="AQ43" i="19" s="1"/>
  <c r="AS43" i="19"/>
  <c r="V58" i="19"/>
  <c r="V19" i="19"/>
  <c r="V98" i="19"/>
  <c r="AJ88" i="19"/>
  <c r="V88" i="19"/>
  <c r="AN60" i="19"/>
  <c r="AP60" i="19" s="1"/>
  <c r="Z60" i="19"/>
  <c r="AA60" i="19" s="1"/>
  <c r="AB60" i="19" s="1"/>
  <c r="AJ60" i="19"/>
  <c r="AN73" i="19"/>
  <c r="AP73" i="19" s="1"/>
  <c r="Z73" i="19"/>
  <c r="AA73" i="19" s="1"/>
  <c r="AB73" i="19" s="1"/>
  <c r="AS82" i="19"/>
  <c r="Z23" i="19"/>
  <c r="AA23" i="19" s="1"/>
  <c r="AB23" i="19" s="1"/>
  <c r="AN23" i="19"/>
  <c r="AP23" i="19" s="1"/>
  <c r="AN12" i="19"/>
  <c r="AP12" i="19" s="1"/>
  <c r="Z12" i="19"/>
  <c r="AA12" i="19" s="1"/>
  <c r="AB12" i="19" s="1"/>
  <c r="AN88" i="19"/>
  <c r="AP88" i="19" s="1"/>
  <c r="Z88" i="19"/>
  <c r="AA88" i="19" s="1"/>
  <c r="AB88" i="19" s="1"/>
  <c r="AS14" i="19"/>
  <c r="AS35" i="19"/>
  <c r="R25" i="19"/>
  <c r="AQ25" i="19" s="1"/>
  <c r="AJ89" i="19"/>
  <c r="AN61" i="19"/>
  <c r="AP61" i="19" s="1"/>
  <c r="Z61" i="19"/>
  <c r="AA61" i="19" s="1"/>
  <c r="AB61" i="19" s="1"/>
  <c r="AS46" i="19"/>
  <c r="Z30" i="19"/>
  <c r="AA30" i="19" s="1"/>
  <c r="AB30" i="19" s="1"/>
  <c r="AN30" i="19"/>
  <c r="AP30" i="19" s="1"/>
  <c r="R102" i="19"/>
  <c r="AQ102" i="19" s="1"/>
  <c r="Z22" i="19"/>
  <c r="AA22" i="19" s="1"/>
  <c r="AB22" i="19" s="1"/>
  <c r="AN22" i="19"/>
  <c r="AP22" i="19" s="1"/>
  <c r="Z97" i="19"/>
  <c r="AA97" i="19" s="1"/>
  <c r="AB97" i="19" s="1"/>
  <c r="AN97" i="19"/>
  <c r="AP97" i="19" s="1"/>
  <c r="Z101" i="19"/>
  <c r="AA101" i="19" s="1"/>
  <c r="AB101" i="19" s="1"/>
  <c r="AN101" i="19"/>
  <c r="AP101" i="19" s="1"/>
  <c r="V85" i="19"/>
  <c r="AN63" i="19"/>
  <c r="AP63" i="19" s="1"/>
  <c r="Z63" i="19"/>
  <c r="AA63" i="19" s="1"/>
  <c r="AB63" i="19" s="1"/>
  <c r="AS63" i="19"/>
  <c r="R17" i="19"/>
  <c r="AQ17" i="19" s="1"/>
  <c r="Z87" i="19"/>
  <c r="AA87" i="19" s="1"/>
  <c r="AB87" i="19" s="1"/>
  <c r="AN87" i="19"/>
  <c r="AP87" i="19" s="1"/>
  <c r="Z32" i="19"/>
  <c r="AA32" i="19" s="1"/>
  <c r="AB32" i="19" s="1"/>
  <c r="AN32" i="19"/>
  <c r="AN75" i="19"/>
  <c r="AP75" i="19" s="1"/>
  <c r="Z75" i="19"/>
  <c r="AA75" i="19" s="1"/>
  <c r="AB75" i="19" s="1"/>
  <c r="AS74" i="19"/>
  <c r="V74" i="19"/>
  <c r="AJ35" i="19"/>
  <c r="AN13" i="19"/>
  <c r="AP13" i="19" s="1"/>
  <c r="Z13" i="19"/>
  <c r="AA13" i="19" s="1"/>
  <c r="AB13" i="19" s="1"/>
  <c r="R13" i="19"/>
  <c r="AQ13" i="19" s="1"/>
  <c r="AN25" i="19"/>
  <c r="AP25" i="19" s="1"/>
  <c r="Z25" i="19"/>
  <c r="AA25" i="19" s="1"/>
  <c r="AB25" i="19" s="1"/>
  <c r="AN45" i="19"/>
  <c r="AP45" i="19" s="1"/>
  <c r="Z45" i="19"/>
  <c r="AA45" i="19" s="1"/>
  <c r="AB45" i="19" s="1"/>
  <c r="AS62" i="19"/>
  <c r="AJ62" i="19"/>
  <c r="R62" i="19"/>
  <c r="AQ62" i="19" s="1"/>
  <c r="R89" i="19"/>
  <c r="AQ89" i="19" s="1"/>
  <c r="AN36" i="19"/>
  <c r="AP36" i="19" s="1"/>
  <c r="Z36" i="19"/>
  <c r="AA36" i="19" s="1"/>
  <c r="AB36" i="19" s="1"/>
  <c r="R61" i="19"/>
  <c r="AQ61" i="19" s="1"/>
  <c r="V61" i="19"/>
  <c r="AN64" i="19"/>
  <c r="AP64" i="19" s="1"/>
  <c r="Z64" i="19"/>
  <c r="AA64" i="19" s="1"/>
  <c r="AB64" i="19" s="1"/>
  <c r="AJ7" i="19"/>
  <c r="AN7" i="19"/>
  <c r="AP7" i="19" s="1"/>
  <c r="Z7" i="19"/>
  <c r="AA7" i="19" s="1"/>
  <c r="AB7" i="19" s="1"/>
  <c r="AJ29" i="19"/>
  <c r="V46" i="19"/>
  <c r="AJ95" i="19"/>
  <c r="V72" i="19"/>
  <c r="AJ72" i="19"/>
  <c r="AJ79" i="19"/>
  <c r="V30" i="19"/>
  <c r="Z102" i="19"/>
  <c r="AA102" i="19" s="1"/>
  <c r="AB102" i="19" s="1"/>
  <c r="AN102" i="19"/>
  <c r="AJ82" i="19"/>
  <c r="V82" i="19"/>
  <c r="AS22" i="19"/>
  <c r="Z105" i="19"/>
  <c r="AA105" i="19" s="1"/>
  <c r="AB105" i="19" s="1"/>
  <c r="AN105" i="19"/>
  <c r="AP105" i="19" s="1"/>
  <c r="Z94" i="19"/>
  <c r="AA94" i="19" s="1"/>
  <c r="AB94" i="19" s="1"/>
  <c r="AN94" i="19"/>
  <c r="AP94" i="19" s="1"/>
  <c r="AS94" i="19"/>
  <c r="Z53" i="19"/>
  <c r="AA53" i="19" s="1"/>
  <c r="AB53" i="19" s="1"/>
  <c r="AN53" i="19"/>
  <c r="AP53" i="19" s="1"/>
  <c r="AS101" i="19"/>
  <c r="R40" i="19"/>
  <c r="AQ40" i="19" s="1"/>
  <c r="V17" i="19"/>
  <c r="AJ87" i="19"/>
  <c r="AS15" i="19"/>
  <c r="AJ104" i="19"/>
  <c r="R39" i="19"/>
  <c r="AQ39" i="19" s="1"/>
  <c r="R32" i="19"/>
  <c r="AQ32" i="19" s="1"/>
  <c r="AJ19" i="19"/>
  <c r="R19" i="19"/>
  <c r="AQ19" i="19" s="1"/>
  <c r="AS19" i="19"/>
  <c r="Z98" i="19"/>
  <c r="AA98" i="19" s="1"/>
  <c r="AB98" i="19" s="1"/>
  <c r="AN98" i="19"/>
  <c r="AP98" i="19" s="1"/>
  <c r="AS84" i="19"/>
  <c r="AR52" i="20" l="1"/>
  <c r="AR82" i="20"/>
  <c r="AS82" i="20" s="1"/>
  <c r="AY82" i="20" s="1"/>
  <c r="BZ92" i="19"/>
  <c r="BZ10" i="19"/>
  <c r="BZ84" i="19"/>
  <c r="BZ105" i="19"/>
  <c r="BZ75" i="19"/>
  <c r="BZ38" i="19"/>
  <c r="AT66" i="19"/>
  <c r="AU66" i="19" s="1"/>
  <c r="BP66" i="19" s="1"/>
  <c r="AT103" i="19"/>
  <c r="AU103" i="19" s="1"/>
  <c r="AT34" i="19"/>
  <c r="BR34" i="19" s="1"/>
  <c r="AT59" i="19"/>
  <c r="AU59" i="19" s="1"/>
  <c r="BH59" i="19" s="1"/>
  <c r="BZ39" i="19"/>
  <c r="AT31" i="19"/>
  <c r="BR31" i="19" s="1"/>
  <c r="AR25" i="20"/>
  <c r="BN25" i="20" s="1"/>
  <c r="AT52" i="19"/>
  <c r="BR52" i="19" s="1"/>
  <c r="AT80" i="19"/>
  <c r="BR80" i="19" s="1"/>
  <c r="BS70" i="19"/>
  <c r="BY70" i="19" s="1"/>
  <c r="AT70" i="19"/>
  <c r="AU70" i="19" s="1"/>
  <c r="BB70" i="19" s="1"/>
  <c r="BS65" i="19"/>
  <c r="BY65" i="19" s="1"/>
  <c r="AT65" i="19"/>
  <c r="AU65" i="19" s="1"/>
  <c r="BS47" i="19"/>
  <c r="BY47" i="19" s="1"/>
  <c r="AT47" i="19"/>
  <c r="AU47" i="19" s="1"/>
  <c r="BA47" i="19" s="1"/>
  <c r="BS81" i="19"/>
  <c r="BY81" i="19" s="1"/>
  <c r="AT81" i="19"/>
  <c r="BR81" i="19" s="1"/>
  <c r="BS9" i="19"/>
  <c r="BY9" i="19" s="1"/>
  <c r="AT9" i="19"/>
  <c r="BR9" i="19" s="1"/>
  <c r="BS48" i="19"/>
  <c r="BY48" i="19" s="1"/>
  <c r="AT48" i="19"/>
  <c r="BR48" i="19" s="1"/>
  <c r="BS76" i="19"/>
  <c r="BY76" i="19" s="1"/>
  <c r="AT76" i="19"/>
  <c r="BR76" i="19" s="1"/>
  <c r="BS44" i="19"/>
  <c r="BY44" i="19" s="1"/>
  <c r="AT44" i="19"/>
  <c r="AU44" i="19" s="1"/>
  <c r="BP44" i="19" s="1"/>
  <c r="BS50" i="19"/>
  <c r="BY50" i="19" s="1"/>
  <c r="AT50" i="19"/>
  <c r="AU50" i="19" s="1"/>
  <c r="BH50" i="19" s="1"/>
  <c r="BS28" i="19"/>
  <c r="BY28" i="19" s="1"/>
  <c r="AT28" i="19"/>
  <c r="AU28" i="19" s="1"/>
  <c r="BB28" i="19" s="1"/>
  <c r="BS55" i="19"/>
  <c r="BY55" i="19" s="1"/>
  <c r="AT55" i="19"/>
  <c r="AU55" i="19" s="1"/>
  <c r="BF55" i="19" s="1"/>
  <c r="BS21" i="19"/>
  <c r="BY21" i="19" s="1"/>
  <c r="AT21" i="19"/>
  <c r="BR21" i="19" s="1"/>
  <c r="BS68" i="19"/>
  <c r="BY68" i="19" s="1"/>
  <c r="AT68" i="19"/>
  <c r="AU68" i="19" s="1"/>
  <c r="BH68" i="19" s="1"/>
  <c r="BS99" i="19"/>
  <c r="BY99" i="19" s="1"/>
  <c r="AT99" i="19"/>
  <c r="AU99" i="19" s="1"/>
  <c r="AZ99" i="19" s="1"/>
  <c r="BS37" i="19"/>
  <c r="BY37" i="19" s="1"/>
  <c r="AT37" i="19"/>
  <c r="BR37" i="19" s="1"/>
  <c r="BS33" i="19"/>
  <c r="BY33" i="19" s="1"/>
  <c r="AT33" i="19"/>
  <c r="BR33" i="19" s="1"/>
  <c r="BS96" i="19"/>
  <c r="BY96" i="19" s="1"/>
  <c r="AT96" i="19"/>
  <c r="AU96" i="19" s="1"/>
  <c r="BA96" i="19" s="1"/>
  <c r="BS26" i="19"/>
  <c r="BY26" i="19" s="1"/>
  <c r="AT26" i="19"/>
  <c r="BR26" i="19" s="1"/>
  <c r="BS90" i="19"/>
  <c r="BY90" i="19" s="1"/>
  <c r="AT90" i="19"/>
  <c r="AU90" i="19" s="1"/>
  <c r="BE90" i="19" s="1"/>
  <c r="BS16" i="19"/>
  <c r="BY16" i="19" s="1"/>
  <c r="AT16" i="19"/>
  <c r="BR16" i="19" s="1"/>
  <c r="BS93" i="19"/>
  <c r="BY93" i="19" s="1"/>
  <c r="AT93" i="19"/>
  <c r="AU93" i="19" s="1"/>
  <c r="BD93" i="19" s="1"/>
  <c r="BS100" i="19"/>
  <c r="BY100" i="19" s="1"/>
  <c r="AT100" i="19"/>
  <c r="AU100" i="19" s="1"/>
  <c r="AX100" i="19" s="1"/>
  <c r="BS83" i="19"/>
  <c r="BY83" i="19" s="1"/>
  <c r="AT83" i="19"/>
  <c r="BR83" i="19" s="1"/>
  <c r="BS71" i="19"/>
  <c r="BY71" i="19" s="1"/>
  <c r="AT71" i="19"/>
  <c r="AU71" i="19" s="1"/>
  <c r="BH71" i="19" s="1"/>
  <c r="BS51" i="19"/>
  <c r="BY51" i="19" s="1"/>
  <c r="AT51" i="19"/>
  <c r="BR51" i="19" s="1"/>
  <c r="BS69" i="19"/>
  <c r="BY69" i="19" s="1"/>
  <c r="AT69" i="19"/>
  <c r="BR69" i="19" s="1"/>
  <c r="BS27" i="19"/>
  <c r="BY27" i="19" s="1"/>
  <c r="AT27" i="19"/>
  <c r="AU27" i="19" s="1"/>
  <c r="AW27" i="19" s="1"/>
  <c r="BI27" i="19" s="1"/>
  <c r="BJ27" i="19" s="1"/>
  <c r="BS41" i="19"/>
  <c r="BY41" i="19" s="1"/>
  <c r="AT41" i="19"/>
  <c r="BR41" i="19" s="1"/>
  <c r="AR89" i="19"/>
  <c r="AR17" i="19"/>
  <c r="AR82" i="19"/>
  <c r="AR35" i="19"/>
  <c r="AR74" i="19"/>
  <c r="AR88" i="19"/>
  <c r="AR36" i="19"/>
  <c r="AR101" i="19"/>
  <c r="AR97" i="19"/>
  <c r="AR14" i="19"/>
  <c r="AR75" i="19"/>
  <c r="AR92" i="19"/>
  <c r="AT11" i="19"/>
  <c r="AU11" i="19" s="1"/>
  <c r="BH11" i="19" s="1"/>
  <c r="AR61" i="19"/>
  <c r="BS61" i="19" s="1"/>
  <c r="BY61" i="19" s="1"/>
  <c r="AR62" i="19"/>
  <c r="BS62" i="19" s="1"/>
  <c r="BY62" i="19" s="1"/>
  <c r="AR53" i="19"/>
  <c r="BS53" i="19" s="1"/>
  <c r="BY53" i="19" s="1"/>
  <c r="AR7" i="19"/>
  <c r="BS7" i="19" s="1"/>
  <c r="BY7" i="19" s="1"/>
  <c r="AR84" i="19"/>
  <c r="BS84" i="19" s="1"/>
  <c r="BY84" i="19" s="1"/>
  <c r="AR58" i="19"/>
  <c r="BS58" i="19" s="1"/>
  <c r="BY58" i="19" s="1"/>
  <c r="AR105" i="19"/>
  <c r="BS105" i="19" s="1"/>
  <c r="BY105" i="19" s="1"/>
  <c r="AR29" i="19"/>
  <c r="BS29" i="19" s="1"/>
  <c r="BY29" i="19" s="1"/>
  <c r="AR54" i="19"/>
  <c r="BS54" i="19" s="1"/>
  <c r="BY54" i="19" s="1"/>
  <c r="AR49" i="19"/>
  <c r="BS49" i="19" s="1"/>
  <c r="BY49" i="19" s="1"/>
  <c r="AR25" i="19"/>
  <c r="BS25" i="19" s="1"/>
  <c r="BY25" i="19" s="1"/>
  <c r="AR85" i="19"/>
  <c r="BS85" i="19" s="1"/>
  <c r="BY85" i="19" s="1"/>
  <c r="AR30" i="19"/>
  <c r="BS30" i="19" s="1"/>
  <c r="BY30" i="19" s="1"/>
  <c r="AR72" i="19"/>
  <c r="BS72" i="19" s="1"/>
  <c r="BY72" i="19" s="1"/>
  <c r="AR98" i="19"/>
  <c r="BS98" i="19" s="1"/>
  <c r="BY98" i="19" s="1"/>
  <c r="AR95" i="19"/>
  <c r="BS95" i="19" s="1"/>
  <c r="BY95" i="19" s="1"/>
  <c r="AR18" i="19"/>
  <c r="BS18" i="19" s="1"/>
  <c r="BY18" i="19" s="1"/>
  <c r="AR94" i="19"/>
  <c r="BS94" i="19" s="1"/>
  <c r="BY94" i="19" s="1"/>
  <c r="AR64" i="19"/>
  <c r="BS64" i="19" s="1"/>
  <c r="BY64" i="19" s="1"/>
  <c r="AR22" i="19"/>
  <c r="BS22" i="19" s="1"/>
  <c r="BY22" i="19" s="1"/>
  <c r="AR38" i="19"/>
  <c r="BS38" i="19" s="1"/>
  <c r="BY38" i="19" s="1"/>
  <c r="AR60" i="19"/>
  <c r="BS60" i="19" s="1"/>
  <c r="BY60" i="19" s="1"/>
  <c r="AR86" i="19"/>
  <c r="BS86" i="19" s="1"/>
  <c r="BY86" i="19" s="1"/>
  <c r="AR102" i="19"/>
  <c r="BS102" i="19" s="1"/>
  <c r="BY102" i="19" s="1"/>
  <c r="AR43" i="19"/>
  <c r="BS43" i="19" s="1"/>
  <c r="BY43" i="19" s="1"/>
  <c r="AR87" i="19"/>
  <c r="BS87" i="19" s="1"/>
  <c r="BY87" i="19" s="1"/>
  <c r="AR63" i="19"/>
  <c r="BS63" i="19" s="1"/>
  <c r="BY63" i="19" s="1"/>
  <c r="AR79" i="19"/>
  <c r="BS79" i="19" s="1"/>
  <c r="BY79" i="19" s="1"/>
  <c r="AT57" i="19"/>
  <c r="AU57" i="19" s="1"/>
  <c r="BH57" i="19" s="1"/>
  <c r="AR20" i="19"/>
  <c r="AR46" i="19"/>
  <c r="AR24" i="19"/>
  <c r="AR42" i="19"/>
  <c r="AR45" i="19"/>
  <c r="AT56" i="19"/>
  <c r="BR56" i="19" s="1"/>
  <c r="AR10" i="19"/>
  <c r="BS10" i="19" s="1"/>
  <c r="BY10" i="19" s="1"/>
  <c r="BZ18" i="19"/>
  <c r="BZ43" i="19"/>
  <c r="AR23" i="20"/>
  <c r="BN23" i="20" s="1"/>
  <c r="AR43" i="20"/>
  <c r="AS43" i="20" s="1"/>
  <c r="AY43" i="20" s="1"/>
  <c r="BZ54" i="19"/>
  <c r="AR28" i="20"/>
  <c r="AS28" i="20" s="1"/>
  <c r="AR70" i="20"/>
  <c r="BN70" i="20" s="1"/>
  <c r="AR7" i="20"/>
  <c r="AS7" i="20" s="1"/>
  <c r="AY7" i="20" s="1"/>
  <c r="AR79" i="20"/>
  <c r="AS79" i="20" s="1"/>
  <c r="AY79" i="20" s="1"/>
  <c r="AR31" i="20"/>
  <c r="AS31" i="20" s="1"/>
  <c r="AR6" i="20"/>
  <c r="BN6" i="20" s="1"/>
  <c r="AR75" i="20"/>
  <c r="AS75" i="20" s="1"/>
  <c r="AY75" i="20" s="1"/>
  <c r="AR12" i="20"/>
  <c r="BN12" i="20" s="1"/>
  <c r="AR97" i="20"/>
  <c r="BN97" i="20" s="1"/>
  <c r="BZ94" i="19"/>
  <c r="BZ49" i="19"/>
  <c r="AR59" i="20"/>
  <c r="BN59" i="20" s="1"/>
  <c r="BZ42" i="19"/>
  <c r="AR33" i="20"/>
  <c r="AS33" i="20" s="1"/>
  <c r="AY33" i="20" s="1"/>
  <c r="AR78" i="20"/>
  <c r="BN78" i="20" s="1"/>
  <c r="AR11" i="20"/>
  <c r="BN11" i="20" s="1"/>
  <c r="AR21" i="20"/>
  <c r="BN21" i="20" s="1"/>
  <c r="AR100" i="20"/>
  <c r="BN100" i="20" s="1"/>
  <c r="AR30" i="20"/>
  <c r="AS30" i="20" s="1"/>
  <c r="AR92" i="20"/>
  <c r="BN92" i="20" s="1"/>
  <c r="AR49" i="20"/>
  <c r="AS49" i="20" s="1"/>
  <c r="AY49" i="20" s="1"/>
  <c r="AR45" i="20"/>
  <c r="BN45" i="20" s="1"/>
  <c r="AR36" i="20"/>
  <c r="BN36" i="20" s="1"/>
  <c r="AR42" i="20"/>
  <c r="BN42" i="20" s="1"/>
  <c r="BZ87" i="19"/>
  <c r="AR20" i="20"/>
  <c r="AS20" i="20" s="1"/>
  <c r="AY20" i="20" s="1"/>
  <c r="AR65" i="20"/>
  <c r="BN65" i="20" s="1"/>
  <c r="BZ36" i="19"/>
  <c r="BZ24" i="19"/>
  <c r="AR72" i="20"/>
  <c r="BN72" i="20" s="1"/>
  <c r="AR71" i="20"/>
  <c r="AS71" i="20" s="1"/>
  <c r="AY71" i="20" s="1"/>
  <c r="AR27" i="20"/>
  <c r="BN27" i="20" s="1"/>
  <c r="AR87" i="20"/>
  <c r="BN87" i="20" s="1"/>
  <c r="BZ64" i="19"/>
  <c r="AR98" i="20"/>
  <c r="BN98" i="20" s="1"/>
  <c r="BZ32" i="19"/>
  <c r="AR19" i="20"/>
  <c r="BN19" i="20" s="1"/>
  <c r="AR60" i="20"/>
  <c r="BN60" i="20" s="1"/>
  <c r="AR41" i="20"/>
  <c r="BN41" i="20" s="1"/>
  <c r="BZ89" i="19"/>
  <c r="BZ15" i="19"/>
  <c r="BZ13" i="19"/>
  <c r="BZ22" i="19"/>
  <c r="AR8" i="20"/>
  <c r="AS8" i="20" s="1"/>
  <c r="AY8" i="20" s="1"/>
  <c r="AR56" i="20"/>
  <c r="BN56" i="20" s="1"/>
  <c r="AR76" i="20"/>
  <c r="BN76" i="20" s="1"/>
  <c r="AR94" i="20"/>
  <c r="BN94" i="20" s="1"/>
  <c r="AR67" i="20"/>
  <c r="AS67" i="20" s="1"/>
  <c r="AY67" i="20" s="1"/>
  <c r="AR101" i="20"/>
  <c r="AS101" i="20" s="1"/>
  <c r="AY101" i="20" s="1"/>
  <c r="AR74" i="20"/>
  <c r="AS74" i="20" s="1"/>
  <c r="AY74" i="20" s="1"/>
  <c r="AR34" i="20"/>
  <c r="BN34" i="20" s="1"/>
  <c r="AR93" i="20"/>
  <c r="BN93" i="20" s="1"/>
  <c r="AR29" i="20"/>
  <c r="BN29" i="20" s="1"/>
  <c r="AR17" i="20"/>
  <c r="AS17" i="20" s="1"/>
  <c r="AY17" i="20" s="1"/>
  <c r="AR81" i="20"/>
  <c r="BN81" i="20" s="1"/>
  <c r="AR58" i="20"/>
  <c r="BN58" i="20" s="1"/>
  <c r="AR26" i="20"/>
  <c r="AS26" i="20" s="1"/>
  <c r="BZ104" i="19"/>
  <c r="AU31" i="19"/>
  <c r="AR85" i="20"/>
  <c r="BN85" i="20" s="1"/>
  <c r="AR40" i="20"/>
  <c r="BN40" i="20" s="1"/>
  <c r="AR77" i="20"/>
  <c r="AS77" i="20" s="1"/>
  <c r="AY77" i="20" s="1"/>
  <c r="AR55" i="20"/>
  <c r="AS55" i="20" s="1"/>
  <c r="AR22" i="20"/>
  <c r="AS22" i="20" s="1"/>
  <c r="AY22" i="20" s="1"/>
  <c r="AR88" i="20"/>
  <c r="BN88" i="20" s="1"/>
  <c r="AR48" i="20"/>
  <c r="BN48" i="20" s="1"/>
  <c r="BZ14" i="19"/>
  <c r="BZ102" i="19"/>
  <c r="AR47" i="20"/>
  <c r="BN47" i="20" s="1"/>
  <c r="AR64" i="20"/>
  <c r="AS64" i="20" s="1"/>
  <c r="AY64" i="20" s="1"/>
  <c r="AR91" i="20"/>
  <c r="BN91" i="20" s="1"/>
  <c r="BX91" i="19" s="1"/>
  <c r="AR90" i="20"/>
  <c r="BN90" i="20" s="1"/>
  <c r="AR14" i="20"/>
  <c r="AS14" i="20" s="1"/>
  <c r="AY14" i="20" s="1"/>
  <c r="AR10" i="20"/>
  <c r="BN10" i="20" s="1"/>
  <c r="AR16" i="20"/>
  <c r="BN16" i="20" s="1"/>
  <c r="AR80" i="20"/>
  <c r="BN80" i="20" s="1"/>
  <c r="AR54" i="20"/>
  <c r="AS54" i="20" s="1"/>
  <c r="AY54" i="20" s="1"/>
  <c r="AR53" i="20"/>
  <c r="BN53" i="20" s="1"/>
  <c r="AR13" i="20"/>
  <c r="AS13" i="20" s="1"/>
  <c r="AY13" i="20" s="1"/>
  <c r="AR57" i="20"/>
  <c r="BN57" i="20" s="1"/>
  <c r="AR37" i="20"/>
  <c r="BN37" i="20" s="1"/>
  <c r="AR51" i="20"/>
  <c r="BN51" i="20" s="1"/>
  <c r="AR83" i="20"/>
  <c r="BN83" i="20" s="1"/>
  <c r="AR35" i="20"/>
  <c r="BN35" i="20" s="1"/>
  <c r="AR38" i="20"/>
  <c r="BN38" i="20" s="1"/>
  <c r="AR84" i="20"/>
  <c r="AS84" i="20" s="1"/>
  <c r="AY84" i="20" s="1"/>
  <c r="AR24" i="20"/>
  <c r="AS24" i="20" s="1"/>
  <c r="AY24" i="20" s="1"/>
  <c r="AR102" i="20"/>
  <c r="AS102" i="20" s="1"/>
  <c r="AY102" i="20" s="1"/>
  <c r="AR46" i="20"/>
  <c r="BN46" i="20" s="1"/>
  <c r="AR15" i="20"/>
  <c r="BN15" i="20" s="1"/>
  <c r="AR66" i="20"/>
  <c r="BN66" i="20" s="1"/>
  <c r="AR89" i="20"/>
  <c r="AS89" i="20" s="1"/>
  <c r="AR61" i="20"/>
  <c r="AS61" i="20" s="1"/>
  <c r="AY61" i="20" s="1"/>
  <c r="AR50" i="20"/>
  <c r="AS50" i="20" s="1"/>
  <c r="AY50" i="20" s="1"/>
  <c r="AR62" i="20"/>
  <c r="AS62" i="20" s="1"/>
  <c r="AY62" i="20" s="1"/>
  <c r="AR18" i="20"/>
  <c r="BN18" i="20" s="1"/>
  <c r="AR39" i="20"/>
  <c r="AS39" i="20" s="1"/>
  <c r="AY39" i="20" s="1"/>
  <c r="AR32" i="20"/>
  <c r="AS32" i="20" s="1"/>
  <c r="AY32" i="20" s="1"/>
  <c r="AR73" i="20"/>
  <c r="AS73" i="20" s="1"/>
  <c r="AR103" i="20"/>
  <c r="BN103" i="20" s="1"/>
  <c r="AR95" i="20"/>
  <c r="AS95" i="20" s="1"/>
  <c r="AY95" i="20" s="1"/>
  <c r="AR86" i="20"/>
  <c r="AS86" i="20" s="1"/>
  <c r="AY86" i="20" s="1"/>
  <c r="AR105" i="20"/>
  <c r="BN105" i="20" s="1"/>
  <c r="AR69" i="20"/>
  <c r="BN69" i="20" s="1"/>
  <c r="AR44" i="20"/>
  <c r="AS44" i="20" s="1"/>
  <c r="AY44" i="20" s="1"/>
  <c r="AR104" i="20"/>
  <c r="AS104" i="20" s="1"/>
  <c r="AY104" i="20" s="1"/>
  <c r="AR68" i="20"/>
  <c r="AS68" i="20" s="1"/>
  <c r="AY68" i="20" s="1"/>
  <c r="AR99" i="20"/>
  <c r="AR106" i="20"/>
  <c r="AS106" i="20" s="1"/>
  <c r="AU8" i="19"/>
  <c r="AU67" i="19"/>
  <c r="AU91" i="19"/>
  <c r="AR96" i="20"/>
  <c r="BN96" i="20" s="1"/>
  <c r="AT23" i="19"/>
  <c r="BR23" i="19" s="1"/>
  <c r="AS106" i="19"/>
  <c r="AU78" i="19"/>
  <c r="BH78" i="19" s="1"/>
  <c r="BR78" i="19"/>
  <c r="BT86" i="19"/>
  <c r="BZ86" i="19" s="1"/>
  <c r="AU77" i="19"/>
  <c r="AR63" i="20"/>
  <c r="BN63" i="20" s="1"/>
  <c r="AR9" i="20"/>
  <c r="BN9" i="20" s="1"/>
  <c r="AT15" i="19"/>
  <c r="BR15" i="19" s="1"/>
  <c r="BR6" i="19"/>
  <c r="AU6" i="19"/>
  <c r="BH6" i="19" s="1"/>
  <c r="AT12" i="19"/>
  <c r="BR12" i="19" s="1"/>
  <c r="AN106" i="19"/>
  <c r="AP106" i="19" s="1"/>
  <c r="AR39" i="19"/>
  <c r="BT40" i="19"/>
  <c r="BZ40" i="19" s="1"/>
  <c r="BT101" i="19"/>
  <c r="BZ101" i="19" s="1"/>
  <c r="BT35" i="19"/>
  <c r="BZ35" i="19" s="1"/>
  <c r="AR19" i="19"/>
  <c r="BS19" i="19" s="1"/>
  <c r="BY19" i="19" s="1"/>
  <c r="BT58" i="19"/>
  <c r="BZ58" i="19" s="1"/>
  <c r="V106" i="19"/>
  <c r="BT45" i="19"/>
  <c r="BZ45" i="19" s="1"/>
  <c r="AP102" i="19"/>
  <c r="AP32" i="19"/>
  <c r="BT60" i="19"/>
  <c r="BZ60" i="19" s="1"/>
  <c r="AR32" i="19"/>
  <c r="BS32" i="19" s="1"/>
  <c r="BY32" i="19" s="1"/>
  <c r="AR40" i="19"/>
  <c r="BT61" i="19"/>
  <c r="BZ61" i="19" s="1"/>
  <c r="AR13" i="19"/>
  <c r="BS13" i="19" s="1"/>
  <c r="BY13" i="19" s="1"/>
  <c r="BT20" i="19"/>
  <c r="BZ20" i="19" s="1"/>
  <c r="AR73" i="19"/>
  <c r="BS73" i="19" s="1"/>
  <c r="BY73" i="19" s="1"/>
  <c r="BT74" i="19"/>
  <c r="BZ74" i="19" s="1"/>
  <c r="AS52" i="20"/>
  <c r="AY52" i="20" s="1"/>
  <c r="BN52" i="20"/>
  <c r="BT29" i="19"/>
  <c r="BZ29" i="19" s="1"/>
  <c r="BT62" i="19"/>
  <c r="BZ62" i="19" s="1"/>
  <c r="AT104" i="19"/>
  <c r="BT82" i="19"/>
  <c r="BZ82" i="19" s="1"/>
  <c r="BT30" i="19"/>
  <c r="BZ30" i="19" s="1"/>
  <c r="BT46" i="19"/>
  <c r="BZ46" i="19" s="1"/>
  <c r="BT98" i="19"/>
  <c r="BZ98" i="19" s="1"/>
  <c r="BT97" i="19"/>
  <c r="BZ97" i="19" s="1"/>
  <c r="AJ106" i="19"/>
  <c r="BT73" i="19"/>
  <c r="BZ73" i="19" s="1"/>
  <c r="BT85" i="19"/>
  <c r="BZ85" i="19" s="1"/>
  <c r="BT17" i="19"/>
  <c r="BZ17" i="19" s="1"/>
  <c r="BT72" i="19"/>
  <c r="BZ72" i="19" s="1"/>
  <c r="BT88" i="19"/>
  <c r="BZ88" i="19" s="1"/>
  <c r="BT19" i="19"/>
  <c r="BZ19" i="19" s="1"/>
  <c r="BT53" i="19"/>
  <c r="BZ53" i="19" s="1"/>
  <c r="BT79" i="19"/>
  <c r="BZ79" i="19" s="1"/>
  <c r="R106" i="19"/>
  <c r="AQ106" i="19" s="1"/>
  <c r="BT25" i="19"/>
  <c r="BZ25" i="19" s="1"/>
  <c r="BX48" i="19" l="1"/>
  <c r="AV106" i="20"/>
  <c r="AV109" i="20" s="1"/>
  <c r="AY106" i="20"/>
  <c r="AY109" i="20" s="1"/>
  <c r="BA26" i="20"/>
  <c r="AY26" i="20"/>
  <c r="AU31" i="20"/>
  <c r="BG31" i="20" s="1"/>
  <c r="BH31" i="20" s="1"/>
  <c r="AY31" i="20"/>
  <c r="AW28" i="20"/>
  <c r="AY28" i="20"/>
  <c r="AW89" i="20"/>
  <c r="AY89" i="20"/>
  <c r="AV73" i="20"/>
  <c r="AY73" i="20"/>
  <c r="BA55" i="20"/>
  <c r="AY55" i="20"/>
  <c r="AX30" i="20"/>
  <c r="AY30" i="20"/>
  <c r="BX83" i="19"/>
  <c r="BN82" i="20"/>
  <c r="AU82" i="20"/>
  <c r="BG82" i="20" s="1"/>
  <c r="BH82" i="20" s="1"/>
  <c r="AZ82" i="20"/>
  <c r="AV82" i="20"/>
  <c r="BD82" i="20"/>
  <c r="AX82" i="20"/>
  <c r="BB82" i="20"/>
  <c r="BA82" i="20"/>
  <c r="BE82" i="20"/>
  <c r="AW82" i="20"/>
  <c r="BC82" i="20"/>
  <c r="BR93" i="19"/>
  <c r="BX93" i="19" s="1"/>
  <c r="BC90" i="19"/>
  <c r="AZ93" i="19"/>
  <c r="AY66" i="19"/>
  <c r="BB96" i="19"/>
  <c r="BD47" i="19"/>
  <c r="BF66" i="19"/>
  <c r="AX66" i="19"/>
  <c r="AZ66" i="19"/>
  <c r="BC66" i="19"/>
  <c r="BH66" i="19"/>
  <c r="BR103" i="19"/>
  <c r="BX103" i="19" s="1"/>
  <c r="AW70" i="19"/>
  <c r="BI70" i="19" s="1"/>
  <c r="BJ70" i="19" s="1"/>
  <c r="BB66" i="19"/>
  <c r="BA66" i="19"/>
  <c r="BD66" i="19"/>
  <c r="BG66" i="19"/>
  <c r="BE66" i="19"/>
  <c r="BC96" i="19"/>
  <c r="AW66" i="19"/>
  <c r="BI66" i="19" s="1"/>
  <c r="BJ66" i="19" s="1"/>
  <c r="BR66" i="19"/>
  <c r="BX66" i="19" s="1"/>
  <c r="BG100" i="19"/>
  <c r="BN28" i="20"/>
  <c r="AS25" i="20"/>
  <c r="AY25" i="20" s="1"/>
  <c r="BC47" i="19"/>
  <c r="BB90" i="19"/>
  <c r="AZ47" i="19"/>
  <c r="AT30" i="19"/>
  <c r="BR30" i="19" s="1"/>
  <c r="AT29" i="19"/>
  <c r="BR29" i="19" s="1"/>
  <c r="BX29" i="19" s="1"/>
  <c r="BR11" i="19"/>
  <c r="BX11" i="19" s="1"/>
  <c r="AU37" i="19"/>
  <c r="BH37" i="19" s="1"/>
  <c r="AU83" i="19"/>
  <c r="BD83" i="19" s="1"/>
  <c r="BR55" i="19"/>
  <c r="BR59" i="19"/>
  <c r="BX59" i="19" s="1"/>
  <c r="BX76" i="19"/>
  <c r="AZ100" i="19"/>
  <c r="BH100" i="19"/>
  <c r="AW99" i="19"/>
  <c r="BI99" i="19" s="1"/>
  <c r="BJ99" i="19" s="1"/>
  <c r="BH99" i="19"/>
  <c r="AX28" i="19"/>
  <c r="BH28" i="19"/>
  <c r="BD44" i="19"/>
  <c r="BH44" i="19"/>
  <c r="AZ65" i="19"/>
  <c r="BH65" i="19"/>
  <c r="AT105" i="19"/>
  <c r="BR105" i="19" s="1"/>
  <c r="BX105" i="19" s="1"/>
  <c r="BF65" i="19"/>
  <c r="BP28" i="19"/>
  <c r="BF28" i="19"/>
  <c r="AY8" i="19"/>
  <c r="BH8" i="19"/>
  <c r="BP99" i="19"/>
  <c r="BX52" i="19"/>
  <c r="AU34" i="19"/>
  <c r="BH34" i="19" s="1"/>
  <c r="AT53" i="19"/>
  <c r="BR53" i="19" s="1"/>
  <c r="BX53" i="19" s="1"/>
  <c r="BG103" i="19"/>
  <c r="BH103" i="19"/>
  <c r="AY99" i="19"/>
  <c r="BD91" i="19"/>
  <c r="BH91" i="19"/>
  <c r="AU33" i="19"/>
  <c r="BD33" i="19" s="1"/>
  <c r="BA28" i="19"/>
  <c r="BC99" i="19"/>
  <c r="AW28" i="19"/>
  <c r="BI28" i="19" s="1"/>
  <c r="BJ28" i="19" s="1"/>
  <c r="BX16" i="19"/>
  <c r="AY27" i="19"/>
  <c r="BH27" i="19"/>
  <c r="AY93" i="19"/>
  <c r="BH93" i="19"/>
  <c r="BP90" i="19"/>
  <c r="BH90" i="19"/>
  <c r="AY96" i="19"/>
  <c r="BH96" i="19"/>
  <c r="AZ55" i="19"/>
  <c r="BH55" i="19"/>
  <c r="BP47" i="19"/>
  <c r="BH47" i="19"/>
  <c r="BF70" i="19"/>
  <c r="BH70" i="19"/>
  <c r="AT60" i="19"/>
  <c r="BR60" i="19" s="1"/>
  <c r="BX60" i="19" s="1"/>
  <c r="AX96" i="19"/>
  <c r="AU41" i="19"/>
  <c r="AY41" i="19" s="1"/>
  <c r="AT25" i="19"/>
  <c r="BR25" i="19" s="1"/>
  <c r="BX25" i="19" s="1"/>
  <c r="BC77" i="19"/>
  <c r="BH77" i="19"/>
  <c r="AY55" i="19"/>
  <c r="BD65" i="19"/>
  <c r="BB65" i="19"/>
  <c r="BG93" i="19"/>
  <c r="BA93" i="19"/>
  <c r="BP27" i="19"/>
  <c r="BC28" i="19"/>
  <c r="AY67" i="19"/>
  <c r="BH67" i="19"/>
  <c r="AT49" i="19"/>
  <c r="BR49" i="19" s="1"/>
  <c r="AW100" i="19"/>
  <c r="BI100" i="19" s="1"/>
  <c r="BJ100" i="19" s="1"/>
  <c r="AW31" i="19"/>
  <c r="BI31" i="19" s="1"/>
  <c r="BJ31" i="19" s="1"/>
  <c r="BW31" i="19" s="1"/>
  <c r="BH31" i="19"/>
  <c r="AT102" i="19"/>
  <c r="BR102" i="19" s="1"/>
  <c r="AT94" i="19"/>
  <c r="AU94" i="19" s="1"/>
  <c r="BH94" i="19" s="1"/>
  <c r="AT22" i="19"/>
  <c r="BR22" i="19" s="1"/>
  <c r="AU52" i="19"/>
  <c r="AX52" i="19" s="1"/>
  <c r="BR71" i="19"/>
  <c r="AU51" i="19"/>
  <c r="BF51" i="19" s="1"/>
  <c r="AY90" i="19"/>
  <c r="AT54" i="19"/>
  <c r="BR54" i="19" s="1"/>
  <c r="BR68" i="19"/>
  <c r="BE55" i="19"/>
  <c r="AX47" i="19"/>
  <c r="BD99" i="19"/>
  <c r="BP96" i="19"/>
  <c r="BC93" i="19"/>
  <c r="BF93" i="19"/>
  <c r="BG55" i="19"/>
  <c r="BF47" i="19"/>
  <c r="AY70" i="19"/>
  <c r="AW65" i="19"/>
  <c r="BI65" i="19" s="1"/>
  <c r="BJ65" i="19" s="1"/>
  <c r="BA44" i="19"/>
  <c r="AW44" i="19"/>
  <c r="BI44" i="19" s="1"/>
  <c r="BJ44" i="19" s="1"/>
  <c r="BR65" i="19"/>
  <c r="BX65" i="19" s="1"/>
  <c r="AZ44" i="19"/>
  <c r="BR100" i="19"/>
  <c r="BX100" i="19" s="1"/>
  <c r="AT43" i="19"/>
  <c r="BR43" i="19" s="1"/>
  <c r="AW90" i="19"/>
  <c r="BI90" i="19" s="1"/>
  <c r="BJ90" i="19" s="1"/>
  <c r="BR57" i="19"/>
  <c r="BX57" i="19" s="1"/>
  <c r="BR50" i="19"/>
  <c r="AT61" i="19"/>
  <c r="BR61" i="19" s="1"/>
  <c r="AX90" i="19"/>
  <c r="AT64" i="19"/>
  <c r="BR64" i="19" s="1"/>
  <c r="BF44" i="19"/>
  <c r="BP55" i="19"/>
  <c r="AX99" i="19"/>
  <c r="AY47" i="19"/>
  <c r="AZ70" i="19"/>
  <c r="BP70" i="19"/>
  <c r="BC65" i="19"/>
  <c r="AX55" i="19"/>
  <c r="BC70" i="19"/>
  <c r="AU56" i="19"/>
  <c r="BH56" i="19" s="1"/>
  <c r="AY100" i="19"/>
  <c r="AU48" i="19"/>
  <c r="BG48" i="19" s="1"/>
  <c r="AU80" i="19"/>
  <c r="BR99" i="19"/>
  <c r="BX80" i="19"/>
  <c r="BX56" i="19"/>
  <c r="AT18" i="19"/>
  <c r="BR18" i="19" s="1"/>
  <c r="BX18" i="19" s="1"/>
  <c r="AX27" i="19"/>
  <c r="BG28" i="19"/>
  <c r="AY28" i="19"/>
  <c r="BA27" i="19"/>
  <c r="BF27" i="19"/>
  <c r="BR28" i="19"/>
  <c r="BS42" i="19"/>
  <c r="BY42" i="19" s="1"/>
  <c r="AT42" i="19"/>
  <c r="BR42" i="19" s="1"/>
  <c r="BX42" i="19" s="1"/>
  <c r="BS14" i="19"/>
  <c r="BY14" i="19" s="1"/>
  <c r="AT14" i="19"/>
  <c r="BR14" i="19" s="1"/>
  <c r="BS88" i="19"/>
  <c r="BY88" i="19" s="1"/>
  <c r="AT88" i="19"/>
  <c r="BR88" i="19" s="1"/>
  <c r="BX88" i="19" s="1"/>
  <c r="BS17" i="19"/>
  <c r="BY17" i="19" s="1"/>
  <c r="AT17" i="19"/>
  <c r="BR17" i="19" s="1"/>
  <c r="BS24" i="19"/>
  <c r="BY24" i="19" s="1"/>
  <c r="AT24" i="19"/>
  <c r="BR24" i="19" s="1"/>
  <c r="BS74" i="19"/>
  <c r="BY74" i="19" s="1"/>
  <c r="AT74" i="19"/>
  <c r="BR74" i="19" s="1"/>
  <c r="BS46" i="19"/>
  <c r="BY46" i="19" s="1"/>
  <c r="AT46" i="19"/>
  <c r="BR46" i="19" s="1"/>
  <c r="BX46" i="19" s="1"/>
  <c r="BS92" i="19"/>
  <c r="BY92" i="19" s="1"/>
  <c r="AT92" i="19"/>
  <c r="BR92" i="19" s="1"/>
  <c r="BX92" i="19" s="1"/>
  <c r="BS101" i="19"/>
  <c r="BY101" i="19" s="1"/>
  <c r="AT101" i="19"/>
  <c r="BR101" i="19" s="1"/>
  <c r="BS35" i="19"/>
  <c r="BY35" i="19" s="1"/>
  <c r="AT35" i="19"/>
  <c r="BR35" i="19" s="1"/>
  <c r="BX35" i="19" s="1"/>
  <c r="BS45" i="19"/>
  <c r="BY45" i="19" s="1"/>
  <c r="AT45" i="19"/>
  <c r="BR45" i="19" s="1"/>
  <c r="BX45" i="19" s="1"/>
  <c r="BS20" i="19"/>
  <c r="BY20" i="19" s="1"/>
  <c r="AT20" i="19"/>
  <c r="BR20" i="19" s="1"/>
  <c r="BS75" i="19"/>
  <c r="BY75" i="19" s="1"/>
  <c r="AT75" i="19"/>
  <c r="BR75" i="19" s="1"/>
  <c r="BS36" i="19"/>
  <c r="BY36" i="19" s="1"/>
  <c r="AT36" i="19"/>
  <c r="BR36" i="19" s="1"/>
  <c r="BX36" i="19" s="1"/>
  <c r="BS82" i="19"/>
  <c r="BY82" i="19" s="1"/>
  <c r="AT82" i="19"/>
  <c r="BR82" i="19" s="1"/>
  <c r="BX82" i="19" s="1"/>
  <c r="BS97" i="19"/>
  <c r="BY97" i="19" s="1"/>
  <c r="AT97" i="19"/>
  <c r="BR97" i="19" s="1"/>
  <c r="BX97" i="19" s="1"/>
  <c r="BS89" i="19"/>
  <c r="BY89" i="19" s="1"/>
  <c r="AT89" i="19"/>
  <c r="BR89" i="19" s="1"/>
  <c r="AT79" i="19"/>
  <c r="BR79" i="19" s="1"/>
  <c r="AT95" i="19"/>
  <c r="BR95" i="19" s="1"/>
  <c r="AZ90" i="19"/>
  <c r="BG90" i="19"/>
  <c r="AT63" i="19"/>
  <c r="BR63" i="19" s="1"/>
  <c r="BX63" i="19" s="1"/>
  <c r="AT10" i="19"/>
  <c r="BR10" i="19" s="1"/>
  <c r="BX10" i="19" s="1"/>
  <c r="AW96" i="19"/>
  <c r="BI96" i="19" s="1"/>
  <c r="BJ96" i="19" s="1"/>
  <c r="AT58" i="19"/>
  <c r="BR58" i="19" s="1"/>
  <c r="BX58" i="19" s="1"/>
  <c r="AZ96" i="19"/>
  <c r="BR44" i="19"/>
  <c r="AT98" i="19"/>
  <c r="BR98" i="19" s="1"/>
  <c r="BX98" i="19" s="1"/>
  <c r="BG44" i="19"/>
  <c r="BB55" i="19"/>
  <c r="BA55" i="19"/>
  <c r="BD55" i="19"/>
  <c r="BE99" i="19"/>
  <c r="BE47" i="19"/>
  <c r="BC27" i="19"/>
  <c r="BA99" i="19"/>
  <c r="BG65" i="19"/>
  <c r="BG96" i="19"/>
  <c r="AX93" i="19"/>
  <c r="AU26" i="19"/>
  <c r="BE26" i="19" s="1"/>
  <c r="BA70" i="19"/>
  <c r="BG47" i="19"/>
  <c r="AU81" i="19"/>
  <c r="BD81" i="19" s="1"/>
  <c r="AW55" i="19"/>
  <c r="BI55" i="19" s="1"/>
  <c r="BJ55" i="19" s="1"/>
  <c r="BP65" i="19"/>
  <c r="BB47" i="19"/>
  <c r="BE70" i="19"/>
  <c r="BD70" i="19"/>
  <c r="BE27" i="19"/>
  <c r="BD27" i="19"/>
  <c r="BE28" i="19"/>
  <c r="AT86" i="19"/>
  <c r="BR86" i="19" s="1"/>
  <c r="BE100" i="19"/>
  <c r="AX44" i="19"/>
  <c r="BP100" i="19"/>
  <c r="BE44" i="19"/>
  <c r="BR90" i="19"/>
  <c r="BX90" i="19" s="1"/>
  <c r="BF100" i="19"/>
  <c r="BD100" i="19"/>
  <c r="BG99" i="19"/>
  <c r="BF99" i="19"/>
  <c r="BX81" i="19"/>
  <c r="BX41" i="19"/>
  <c r="AT85" i="19"/>
  <c r="BR85" i="19" s="1"/>
  <c r="BX85" i="19" s="1"/>
  <c r="AT62" i="19"/>
  <c r="BR62" i="19" s="1"/>
  <c r="AT7" i="19"/>
  <c r="BR7" i="19" s="1"/>
  <c r="AT87" i="19"/>
  <c r="BR87" i="19" s="1"/>
  <c r="BX87" i="19" s="1"/>
  <c r="BD90" i="19"/>
  <c r="BA90" i="19"/>
  <c r="BF90" i="19"/>
  <c r="AU9" i="19"/>
  <c r="BG9" i="19" s="1"/>
  <c r="BD96" i="19"/>
  <c r="BF96" i="19"/>
  <c r="AT72" i="19"/>
  <c r="BR72" i="19" s="1"/>
  <c r="BX72" i="19" s="1"/>
  <c r="AT38" i="19"/>
  <c r="BR38" i="19" s="1"/>
  <c r="BX38" i="19" s="1"/>
  <c r="AT84" i="19"/>
  <c r="BR84" i="19" s="1"/>
  <c r="BE96" i="19"/>
  <c r="BX9" i="19"/>
  <c r="BC55" i="19"/>
  <c r="AZ27" i="19"/>
  <c r="BE65" i="19"/>
  <c r="BR96" i="19"/>
  <c r="BX96" i="19" s="1"/>
  <c r="BG27" i="19"/>
  <c r="AY65" i="19"/>
  <c r="AW47" i="19"/>
  <c r="BI47" i="19" s="1"/>
  <c r="BJ47" i="19" s="1"/>
  <c r="AX70" i="19"/>
  <c r="AW93" i="19"/>
  <c r="BI93" i="19" s="1"/>
  <c r="BJ93" i="19" s="1"/>
  <c r="BG70" i="19"/>
  <c r="AX65" i="19"/>
  <c r="BR27" i="19"/>
  <c r="BX27" i="19" s="1"/>
  <c r="BP93" i="19"/>
  <c r="BA65" i="19"/>
  <c r="BB27" i="19"/>
  <c r="AU16" i="19"/>
  <c r="AZ16" i="19" s="1"/>
  <c r="BD28" i="19"/>
  <c r="AZ28" i="19"/>
  <c r="AU21" i="19"/>
  <c r="BB99" i="19"/>
  <c r="BB93" i="19"/>
  <c r="BA100" i="19"/>
  <c r="BB44" i="19"/>
  <c r="BC44" i="19"/>
  <c r="BR47" i="19"/>
  <c r="BX47" i="19" s="1"/>
  <c r="BR70" i="19"/>
  <c r="BX70" i="19" s="1"/>
  <c r="BB100" i="19"/>
  <c r="BC100" i="19"/>
  <c r="AU76" i="19"/>
  <c r="AW76" i="19" s="1"/>
  <c r="BI76" i="19" s="1"/>
  <c r="BJ76" i="19" s="1"/>
  <c r="AU69" i="19"/>
  <c r="AX69" i="19" s="1"/>
  <c r="AY44" i="19"/>
  <c r="BX69" i="19"/>
  <c r="BE93" i="19"/>
  <c r="BX21" i="19"/>
  <c r="BN43" i="20"/>
  <c r="AS23" i="20"/>
  <c r="AS78" i="20"/>
  <c r="AS70" i="20"/>
  <c r="AY70" i="20" s="1"/>
  <c r="BN33" i="20"/>
  <c r="BX33" i="19" s="1"/>
  <c r="BN7" i="20"/>
  <c r="AS11" i="20"/>
  <c r="BN79" i="20"/>
  <c r="AS97" i="20"/>
  <c r="AS21" i="20"/>
  <c r="BN31" i="20"/>
  <c r="BX31" i="19" s="1"/>
  <c r="BN75" i="20"/>
  <c r="BB30" i="20"/>
  <c r="BC30" i="20"/>
  <c r="BD31" i="19"/>
  <c r="BN49" i="20"/>
  <c r="BX12" i="19"/>
  <c r="AS6" i="20"/>
  <c r="BX6" i="19"/>
  <c r="AS12" i="20"/>
  <c r="BE30" i="20"/>
  <c r="AS59" i="20"/>
  <c r="AS45" i="20"/>
  <c r="AS100" i="20"/>
  <c r="BN20" i="20"/>
  <c r="AS72" i="20"/>
  <c r="AZ30" i="20"/>
  <c r="BN71" i="20"/>
  <c r="BN30" i="20"/>
  <c r="AS92" i="20"/>
  <c r="AW30" i="20"/>
  <c r="BA30" i="20"/>
  <c r="AV30" i="20"/>
  <c r="BD30" i="20"/>
  <c r="AS36" i="20"/>
  <c r="AU30" i="20"/>
  <c r="BG30" i="20" s="1"/>
  <c r="BH30" i="20" s="1"/>
  <c r="AS60" i="20"/>
  <c r="AS42" i="20"/>
  <c r="BC26" i="20"/>
  <c r="AS65" i="20"/>
  <c r="AS27" i="20"/>
  <c r="AY27" i="20" s="1"/>
  <c r="AS98" i="20"/>
  <c r="AS29" i="20"/>
  <c r="AS87" i="20"/>
  <c r="AS41" i="20"/>
  <c r="AY41" i="20" s="1"/>
  <c r="AS56" i="20"/>
  <c r="BN8" i="20"/>
  <c r="BX8" i="19" s="1"/>
  <c r="BX37" i="19"/>
  <c r="BG31" i="19"/>
  <c r="AX31" i="19"/>
  <c r="AS19" i="20"/>
  <c r="AZ31" i="19"/>
  <c r="BC55" i="20"/>
  <c r="AS94" i="20"/>
  <c r="BD74" i="20"/>
  <c r="AS34" i="20"/>
  <c r="AY34" i="20" s="1"/>
  <c r="BD55" i="20"/>
  <c r="AS40" i="20"/>
  <c r="BE74" i="20"/>
  <c r="BX51" i="19"/>
  <c r="AS76" i="20"/>
  <c r="BN74" i="20"/>
  <c r="BN67" i="20"/>
  <c r="BX67" i="19" s="1"/>
  <c r="AV55" i="20"/>
  <c r="AZ74" i="20"/>
  <c r="BN101" i="20"/>
  <c r="BC74" i="20"/>
  <c r="AZ26" i="20"/>
  <c r="AU26" i="20"/>
  <c r="BG26" i="20" s="1"/>
  <c r="BH26" i="20" s="1"/>
  <c r="BE26" i="20"/>
  <c r="AW26" i="20"/>
  <c r="AX74" i="20"/>
  <c r="BA74" i="20"/>
  <c r="AX26" i="20"/>
  <c r="AU74" i="20"/>
  <c r="BG74" i="20" s="1"/>
  <c r="BH74" i="20" s="1"/>
  <c r="AV74" i="20"/>
  <c r="BB74" i="20"/>
  <c r="BN17" i="20"/>
  <c r="AW74" i="20"/>
  <c r="AS93" i="20"/>
  <c r="AX55" i="20"/>
  <c r="BE55" i="20"/>
  <c r="AS81" i="20"/>
  <c r="BA31" i="19"/>
  <c r="BF31" i="19"/>
  <c r="AW55" i="20"/>
  <c r="AZ55" i="20"/>
  <c r="BB31" i="20"/>
  <c r="AS51" i="20"/>
  <c r="BN14" i="20"/>
  <c r="BN22" i="20"/>
  <c r="AS53" i="20"/>
  <c r="AS58" i="20"/>
  <c r="AU55" i="20"/>
  <c r="BG55" i="20" s="1"/>
  <c r="BH55" i="20" s="1"/>
  <c r="BB55" i="20"/>
  <c r="BN64" i="20"/>
  <c r="BE31" i="19"/>
  <c r="BB31" i="19"/>
  <c r="BN89" i="20"/>
  <c r="AY31" i="19"/>
  <c r="BC31" i="19"/>
  <c r="BP31" i="19"/>
  <c r="BN55" i="20"/>
  <c r="AS85" i="20"/>
  <c r="BN26" i="20"/>
  <c r="BX26" i="19" s="1"/>
  <c r="BB26" i="20"/>
  <c r="AV26" i="20"/>
  <c r="BD26" i="20"/>
  <c r="BN77" i="20"/>
  <c r="BX77" i="19" s="1"/>
  <c r="AS88" i="20"/>
  <c r="AS35" i="20"/>
  <c r="AS47" i="20"/>
  <c r="AS57" i="20"/>
  <c r="AS38" i="20"/>
  <c r="BD31" i="20"/>
  <c r="BA31" i="20"/>
  <c r="AS48" i="20"/>
  <c r="AS10" i="20"/>
  <c r="AS46" i="20"/>
  <c r="BN24" i="20"/>
  <c r="AS91" i="20"/>
  <c r="AS16" i="20"/>
  <c r="AZ31" i="20"/>
  <c r="AV31" i="20"/>
  <c r="AW31" i="20"/>
  <c r="BE31" i="20"/>
  <c r="AS90" i="20"/>
  <c r="BC31" i="20"/>
  <c r="AX31" i="20"/>
  <c r="BN84" i="20"/>
  <c r="BN13" i="20"/>
  <c r="AS83" i="20"/>
  <c r="BN54" i="20"/>
  <c r="BA106" i="20"/>
  <c r="BA109" i="20" s="1"/>
  <c r="AS37" i="20"/>
  <c r="AS80" i="20"/>
  <c r="BN102" i="20"/>
  <c r="BN86" i="20"/>
  <c r="AS69" i="20"/>
  <c r="AS103" i="20"/>
  <c r="BN104" i="20"/>
  <c r="BN73" i="20"/>
  <c r="AS15" i="20"/>
  <c r="BP8" i="19"/>
  <c r="AZ8" i="19"/>
  <c r="BN44" i="20"/>
  <c r="BN61" i="20"/>
  <c r="BN32" i="20"/>
  <c r="BC44" i="20"/>
  <c r="BA44" i="20"/>
  <c r="BE62" i="20"/>
  <c r="AZ62" i="20"/>
  <c r="BN62" i="20"/>
  <c r="AS96" i="20"/>
  <c r="BN39" i="20"/>
  <c r="AS66" i="20"/>
  <c r="BN95" i="20"/>
  <c r="BN50" i="20"/>
  <c r="BB106" i="20"/>
  <c r="BB109" i="20" s="1"/>
  <c r="AZ106" i="20"/>
  <c r="AS18" i="20"/>
  <c r="BB44" i="20"/>
  <c r="AV44" i="20"/>
  <c r="BX78" i="19"/>
  <c r="BN68" i="20"/>
  <c r="BC8" i="19"/>
  <c r="BG8" i="19"/>
  <c r="AS105" i="20"/>
  <c r="AW8" i="19"/>
  <c r="BI8" i="19" s="1"/>
  <c r="BJ8" i="19" s="1"/>
  <c r="AX91" i="19"/>
  <c r="AX44" i="20"/>
  <c r="AW106" i="20"/>
  <c r="AW109" i="20" s="1"/>
  <c r="BC89" i="20"/>
  <c r="BD106" i="20"/>
  <c r="BE106" i="20"/>
  <c r="BE109" i="20" s="1"/>
  <c r="BA62" i="20"/>
  <c r="BN106" i="20"/>
  <c r="AX106" i="20"/>
  <c r="AX109" i="20" s="1"/>
  <c r="AU106" i="20"/>
  <c r="F69" i="20" s="1"/>
  <c r="BN99" i="20"/>
  <c r="AS99" i="20"/>
  <c r="AY99" i="20" s="1"/>
  <c r="BC106" i="20"/>
  <c r="BC109" i="20" s="1"/>
  <c r="N110" i="20"/>
  <c r="N111" i="20" s="1"/>
  <c r="B150" i="2" s="1"/>
  <c r="E32" i="1" s="1"/>
  <c r="BX15" i="19"/>
  <c r="BF8" i="19"/>
  <c r="BB8" i="19"/>
  <c r="AX8" i="19"/>
  <c r="BE8" i="19"/>
  <c r="BD8" i="19"/>
  <c r="BA8" i="19"/>
  <c r="BX23" i="19"/>
  <c r="AU12" i="19"/>
  <c r="BA73" i="20"/>
  <c r="BB67" i="19"/>
  <c r="AW44" i="20"/>
  <c r="AS9" i="20"/>
  <c r="AX77" i="19"/>
  <c r="BE89" i="20"/>
  <c r="AZ44" i="20"/>
  <c r="AX67" i="19"/>
  <c r="BF91" i="19"/>
  <c r="BC91" i="19"/>
  <c r="AZ91" i="19"/>
  <c r="BP91" i="19"/>
  <c r="BB91" i="19"/>
  <c r="AW91" i="19"/>
  <c r="BI91" i="19" s="1"/>
  <c r="BJ91" i="19" s="1"/>
  <c r="BE67" i="19"/>
  <c r="AW67" i="19"/>
  <c r="BI67" i="19" s="1"/>
  <c r="BJ67" i="19" s="1"/>
  <c r="BD67" i="19"/>
  <c r="BA67" i="19"/>
  <c r="BA89" i="20"/>
  <c r="AY91" i="19"/>
  <c r="AV89" i="20"/>
  <c r="BE44" i="20"/>
  <c r="BP67" i="19"/>
  <c r="BG67" i="19"/>
  <c r="AZ67" i="19"/>
  <c r="BD44" i="20"/>
  <c r="AU44" i="20"/>
  <c r="BG44" i="20" s="1"/>
  <c r="BH44" i="20" s="1"/>
  <c r="BG91" i="19"/>
  <c r="BA91" i="19"/>
  <c r="BC62" i="20"/>
  <c r="BC67" i="19"/>
  <c r="BF67" i="19"/>
  <c r="BE91" i="19"/>
  <c r="BB28" i="20"/>
  <c r="AS63" i="20"/>
  <c r="BE28" i="20"/>
  <c r="AU23" i="19"/>
  <c r="BG77" i="19"/>
  <c r="BF103" i="19"/>
  <c r="BP103" i="19"/>
  <c r="BB103" i="19"/>
  <c r="AU15" i="19"/>
  <c r="AY77" i="19"/>
  <c r="BB73" i="20"/>
  <c r="AU73" i="20"/>
  <c r="BG73" i="20" s="1"/>
  <c r="BH73" i="20" s="1"/>
  <c r="AZ73" i="20"/>
  <c r="BC73" i="20"/>
  <c r="BE73" i="20"/>
  <c r="AW73" i="20"/>
  <c r="BE78" i="19"/>
  <c r="BP78" i="19"/>
  <c r="AW78" i="19"/>
  <c r="BI78" i="19" s="1"/>
  <c r="BJ78" i="19" s="1"/>
  <c r="BB78" i="19"/>
  <c r="AX78" i="19"/>
  <c r="BD78" i="19"/>
  <c r="BA78" i="19"/>
  <c r="AZ78" i="19"/>
  <c r="BG78" i="19"/>
  <c r="BF78" i="19"/>
  <c r="BC78" i="19"/>
  <c r="AY78" i="19"/>
  <c r="AV28" i="20"/>
  <c r="AX73" i="20"/>
  <c r="BA6" i="19"/>
  <c r="BC6" i="19"/>
  <c r="BG6" i="19"/>
  <c r="BP6" i="19"/>
  <c r="AZ6" i="19"/>
  <c r="BF6" i="19"/>
  <c r="BD6" i="19"/>
  <c r="AX6" i="19"/>
  <c r="BE6" i="19"/>
  <c r="AY6" i="19"/>
  <c r="AW6" i="19"/>
  <c r="BI6" i="19" s="1"/>
  <c r="BJ6" i="19" s="1"/>
  <c r="BB6" i="19"/>
  <c r="AX62" i="20"/>
  <c r="BB62" i="20"/>
  <c r="AW62" i="20"/>
  <c r="AV62" i="20"/>
  <c r="AU62" i="20"/>
  <c r="BG62" i="20" s="1"/>
  <c r="BH62" i="20" s="1"/>
  <c r="BD62" i="20"/>
  <c r="AZ89" i="20"/>
  <c r="BD89" i="20"/>
  <c r="AU89" i="20"/>
  <c r="BG89" i="20" s="1"/>
  <c r="BH89" i="20" s="1"/>
  <c r="AX89" i="20"/>
  <c r="BB89" i="20"/>
  <c r="BX34" i="19"/>
  <c r="BP77" i="19"/>
  <c r="AW77" i="19"/>
  <c r="BI77" i="19" s="1"/>
  <c r="BJ77" i="19" s="1"/>
  <c r="AZ77" i="19"/>
  <c r="BE77" i="19"/>
  <c r="BB77" i="19"/>
  <c r="BA77" i="19"/>
  <c r="BD77" i="19"/>
  <c r="BD103" i="19"/>
  <c r="AW103" i="19"/>
  <c r="BI103" i="19" s="1"/>
  <c r="BJ103" i="19" s="1"/>
  <c r="BA103" i="19"/>
  <c r="AZ103" i="19"/>
  <c r="BC103" i="19"/>
  <c r="BE103" i="19"/>
  <c r="AY103" i="19"/>
  <c r="BB64" i="20"/>
  <c r="BA64" i="20"/>
  <c r="BE64" i="20"/>
  <c r="AZ64" i="20"/>
  <c r="AX64" i="20"/>
  <c r="AW64" i="20"/>
  <c r="AU64" i="20"/>
  <c r="BG64" i="20" s="1"/>
  <c r="BH64" i="20" s="1"/>
  <c r="BC64" i="20"/>
  <c r="BD64" i="20"/>
  <c r="AV64" i="20"/>
  <c r="AX28" i="20"/>
  <c r="AU28" i="20"/>
  <c r="BG28" i="20" s="1"/>
  <c r="BH28" i="20" s="1"/>
  <c r="BD28" i="20"/>
  <c r="BC28" i="20"/>
  <c r="AX103" i="19"/>
  <c r="BA28" i="20"/>
  <c r="AZ28" i="20"/>
  <c r="BD73" i="20"/>
  <c r="BF77" i="19"/>
  <c r="BC68" i="19"/>
  <c r="AW68" i="19"/>
  <c r="BI68" i="19" s="1"/>
  <c r="BJ68" i="19" s="1"/>
  <c r="AY68" i="19"/>
  <c r="AX68" i="19"/>
  <c r="BF68" i="19"/>
  <c r="BB68" i="19"/>
  <c r="BA68" i="19"/>
  <c r="BP68" i="19"/>
  <c r="AZ68" i="19"/>
  <c r="BG68" i="19"/>
  <c r="BD68" i="19"/>
  <c r="BE68" i="19"/>
  <c r="AT19" i="19"/>
  <c r="BR19" i="19" s="1"/>
  <c r="BX19" i="19" s="1"/>
  <c r="AU24" i="20"/>
  <c r="BG24" i="20" s="1"/>
  <c r="BH24" i="20" s="1"/>
  <c r="BB24" i="20"/>
  <c r="AZ24" i="20"/>
  <c r="AX24" i="20"/>
  <c r="BA24" i="20"/>
  <c r="BD24" i="20"/>
  <c r="BE24" i="20"/>
  <c r="BC24" i="20"/>
  <c r="AV24" i="20"/>
  <c r="AW24" i="20"/>
  <c r="AU43" i="20"/>
  <c r="BG43" i="20" s="1"/>
  <c r="BH43" i="20" s="1"/>
  <c r="BB43" i="20"/>
  <c r="AX43" i="20"/>
  <c r="AZ43" i="20"/>
  <c r="BD43" i="20"/>
  <c r="AW43" i="20"/>
  <c r="BC43" i="20"/>
  <c r="BE43" i="20"/>
  <c r="BA43" i="20"/>
  <c r="AV43" i="20"/>
  <c r="BB50" i="19"/>
  <c r="BC50" i="19"/>
  <c r="AZ50" i="19"/>
  <c r="AX50" i="19"/>
  <c r="BD50" i="19"/>
  <c r="BG50" i="19"/>
  <c r="AY50" i="19"/>
  <c r="BE50" i="19"/>
  <c r="BP50" i="19"/>
  <c r="BA50" i="19"/>
  <c r="AW50" i="19"/>
  <c r="BI50" i="19" s="1"/>
  <c r="BJ50" i="19" s="1"/>
  <c r="BF50" i="19"/>
  <c r="BD50" i="20"/>
  <c r="AV50" i="20"/>
  <c r="BC50" i="20"/>
  <c r="BA50" i="20"/>
  <c r="AW50" i="20"/>
  <c r="BE50" i="20"/>
  <c r="AX50" i="20"/>
  <c r="AZ50" i="20"/>
  <c r="BB50" i="20"/>
  <c r="AU50" i="20"/>
  <c r="BG50" i="20" s="1"/>
  <c r="BH50" i="20" s="1"/>
  <c r="AR106" i="19"/>
  <c r="BS106" i="19" s="1"/>
  <c r="BY106" i="19" s="1"/>
  <c r="BD86" i="20"/>
  <c r="AX86" i="20"/>
  <c r="AU86" i="20"/>
  <c r="BG86" i="20" s="1"/>
  <c r="BH86" i="20" s="1"/>
  <c r="AW86" i="20"/>
  <c r="BE86" i="20"/>
  <c r="AZ86" i="20"/>
  <c r="AV86" i="20"/>
  <c r="BC86" i="20"/>
  <c r="BB86" i="20"/>
  <c r="BA86" i="20"/>
  <c r="AV17" i="20"/>
  <c r="AX17" i="20"/>
  <c r="BE17" i="20"/>
  <c r="BD17" i="20"/>
  <c r="BA17" i="20"/>
  <c r="AW17" i="20"/>
  <c r="BC17" i="20"/>
  <c r="AU17" i="20"/>
  <c r="BG17" i="20" s="1"/>
  <c r="BH17" i="20" s="1"/>
  <c r="BB17" i="20"/>
  <c r="AZ17" i="20"/>
  <c r="BA71" i="19"/>
  <c r="AZ71" i="19"/>
  <c r="BG71" i="19"/>
  <c r="AW71" i="19"/>
  <c r="BI71" i="19" s="1"/>
  <c r="BJ71" i="19" s="1"/>
  <c r="AX71" i="19"/>
  <c r="AY71" i="19"/>
  <c r="BD71" i="19"/>
  <c r="BF71" i="19"/>
  <c r="BB71" i="19"/>
  <c r="BC71" i="19"/>
  <c r="BP71" i="19"/>
  <c r="BE71" i="19"/>
  <c r="AY57" i="19"/>
  <c r="BA57" i="19"/>
  <c r="AW57" i="19"/>
  <c r="BI57" i="19" s="1"/>
  <c r="BJ57" i="19" s="1"/>
  <c r="BF57" i="19"/>
  <c r="BP57" i="19"/>
  <c r="BD57" i="19"/>
  <c r="BB57" i="19"/>
  <c r="AX57" i="19"/>
  <c r="AZ57" i="19"/>
  <c r="BC57" i="19"/>
  <c r="BG57" i="19"/>
  <c r="BE57" i="19"/>
  <c r="BB68" i="20"/>
  <c r="AZ68" i="20"/>
  <c r="AV68" i="20"/>
  <c r="BC68" i="20"/>
  <c r="AX68" i="20"/>
  <c r="AW68" i="20"/>
  <c r="BA68" i="20"/>
  <c r="BE68" i="20"/>
  <c r="BD68" i="20"/>
  <c r="AU68" i="20"/>
  <c r="BG68" i="20" s="1"/>
  <c r="BH68" i="20" s="1"/>
  <c r="BS39" i="19"/>
  <c r="BY39" i="19" s="1"/>
  <c r="AT39" i="19"/>
  <c r="AU33" i="20"/>
  <c r="BG33" i="20" s="1"/>
  <c r="BH33" i="20" s="1"/>
  <c r="BA33" i="20"/>
  <c r="AZ33" i="20"/>
  <c r="AW33" i="20"/>
  <c r="BD33" i="20"/>
  <c r="BC33" i="20"/>
  <c r="BB33" i="20"/>
  <c r="AV33" i="20"/>
  <c r="AX33" i="20"/>
  <c r="BE33" i="20"/>
  <c r="AZ79" i="20"/>
  <c r="AW79" i="20"/>
  <c r="BB79" i="20"/>
  <c r="AV79" i="20"/>
  <c r="AU79" i="20"/>
  <c r="BG79" i="20" s="1"/>
  <c r="BH79" i="20" s="1"/>
  <c r="BA79" i="20"/>
  <c r="BE79" i="20"/>
  <c r="AX79" i="20"/>
  <c r="BD79" i="20"/>
  <c r="BC79" i="20"/>
  <c r="AZ67" i="20"/>
  <c r="BC67" i="20"/>
  <c r="AX67" i="20"/>
  <c r="AW67" i="20"/>
  <c r="BA67" i="20"/>
  <c r="AU67" i="20"/>
  <c r="BG67" i="20" s="1"/>
  <c r="BH67" i="20" s="1"/>
  <c r="BD67" i="20"/>
  <c r="BB67" i="20"/>
  <c r="AV67" i="20"/>
  <c r="BE67" i="20"/>
  <c r="BR104" i="19"/>
  <c r="AU104" i="19"/>
  <c r="BH104" i="19" s="1"/>
  <c r="BB52" i="20"/>
  <c r="AW52" i="20"/>
  <c r="BE52" i="20"/>
  <c r="AX52" i="20"/>
  <c r="AZ52" i="20"/>
  <c r="BD52" i="20"/>
  <c r="AV52" i="20"/>
  <c r="AU52" i="20"/>
  <c r="BG52" i="20" s="1"/>
  <c r="BH52" i="20" s="1"/>
  <c r="BA52" i="20"/>
  <c r="BC52" i="20"/>
  <c r="AV8" i="20"/>
  <c r="AW8" i="20"/>
  <c r="AZ8" i="20"/>
  <c r="AX8" i="20"/>
  <c r="BD8" i="20"/>
  <c r="BE8" i="20"/>
  <c r="BC8" i="20"/>
  <c r="BA8" i="20"/>
  <c r="AU8" i="20"/>
  <c r="BG8" i="20" s="1"/>
  <c r="BH8" i="20" s="1"/>
  <c r="BB8" i="20"/>
  <c r="BS40" i="19"/>
  <c r="BY40" i="19" s="1"/>
  <c r="AT40" i="19"/>
  <c r="AT32" i="19"/>
  <c r="BT106" i="19"/>
  <c r="BZ106" i="19" s="1"/>
  <c r="AU20" i="20"/>
  <c r="BG20" i="20" s="1"/>
  <c r="BH20" i="20" s="1"/>
  <c r="BE20" i="20"/>
  <c r="AZ20" i="20"/>
  <c r="BA20" i="20"/>
  <c r="AV20" i="20"/>
  <c r="BC20" i="20"/>
  <c r="BD20" i="20"/>
  <c r="AX20" i="20"/>
  <c r="BB20" i="20"/>
  <c r="AW20" i="20"/>
  <c r="BP11" i="19"/>
  <c r="AX11" i="19"/>
  <c r="AZ11" i="19"/>
  <c r="BF11" i="19"/>
  <c r="AW11" i="19"/>
  <c r="BI11" i="19" s="1"/>
  <c r="BJ11" i="19" s="1"/>
  <c r="BD11" i="19"/>
  <c r="AY11" i="19"/>
  <c r="BG11" i="19"/>
  <c r="BC11" i="19"/>
  <c r="BB11" i="19"/>
  <c r="BA11" i="19"/>
  <c r="BE11" i="19"/>
  <c r="AZ77" i="20"/>
  <c r="AW77" i="20"/>
  <c r="AU77" i="20"/>
  <c r="BG77" i="20" s="1"/>
  <c r="BH77" i="20" s="1"/>
  <c r="BC77" i="20"/>
  <c r="BA77" i="20"/>
  <c r="AX77" i="20"/>
  <c r="BD77" i="20"/>
  <c r="BE77" i="20"/>
  <c r="BB77" i="20"/>
  <c r="AV77" i="20"/>
  <c r="BB75" i="20"/>
  <c r="BA75" i="20"/>
  <c r="BC75" i="20"/>
  <c r="AW75" i="20"/>
  <c r="AV75" i="20"/>
  <c r="BE75" i="20"/>
  <c r="BD75" i="20"/>
  <c r="AU75" i="20"/>
  <c r="BG75" i="20" s="1"/>
  <c r="BH75" i="20" s="1"/>
  <c r="AZ75" i="20"/>
  <c r="AX75" i="20"/>
  <c r="BE59" i="19"/>
  <c r="AY59" i="19"/>
  <c r="BA59" i="19"/>
  <c r="BC59" i="19"/>
  <c r="BB59" i="19"/>
  <c r="BG59" i="19"/>
  <c r="AZ59" i="19"/>
  <c r="BP59" i="19"/>
  <c r="AW59" i="19"/>
  <c r="BI59" i="19" s="1"/>
  <c r="BJ59" i="19" s="1"/>
  <c r="BF59" i="19"/>
  <c r="BD59" i="19"/>
  <c r="AX59" i="19"/>
  <c r="AV49" i="20"/>
  <c r="AU49" i="20"/>
  <c r="BG49" i="20" s="1"/>
  <c r="BH49" i="20" s="1"/>
  <c r="AW49" i="20"/>
  <c r="AZ49" i="20"/>
  <c r="BD49" i="20"/>
  <c r="AX49" i="20"/>
  <c r="BB49" i="20"/>
  <c r="BE49" i="20"/>
  <c r="BA49" i="20"/>
  <c r="BC49" i="20"/>
  <c r="AX54" i="20"/>
  <c r="AU54" i="20"/>
  <c r="BG54" i="20" s="1"/>
  <c r="BH54" i="20" s="1"/>
  <c r="AZ54" i="20"/>
  <c r="BB54" i="20"/>
  <c r="BA54" i="20"/>
  <c r="AW54" i="20"/>
  <c r="BE54" i="20"/>
  <c r="BC54" i="20"/>
  <c r="AV54" i="20"/>
  <c r="BD54" i="20"/>
  <c r="AT73" i="19"/>
  <c r="AU101" i="20"/>
  <c r="BG101" i="20" s="1"/>
  <c r="BH101" i="20" s="1"/>
  <c r="BB101" i="20"/>
  <c r="AZ101" i="20"/>
  <c r="BD101" i="20"/>
  <c r="AW101" i="20"/>
  <c r="AV101" i="20"/>
  <c r="AX101" i="20"/>
  <c r="BE101" i="20"/>
  <c r="BC101" i="20"/>
  <c r="BA101" i="20"/>
  <c r="AX71" i="20"/>
  <c r="AV71" i="20"/>
  <c r="AZ71" i="20"/>
  <c r="BA71" i="20"/>
  <c r="BC71" i="20"/>
  <c r="BD71" i="20"/>
  <c r="BB71" i="20"/>
  <c r="AW71" i="20"/>
  <c r="AU71" i="20"/>
  <c r="BG71" i="20" s="1"/>
  <c r="BH71" i="20" s="1"/>
  <c r="BE71" i="20"/>
  <c r="AT13" i="19"/>
  <c r="AW104" i="20"/>
  <c r="BB104" i="20"/>
  <c r="AX104" i="20"/>
  <c r="BA104" i="20"/>
  <c r="AV104" i="20"/>
  <c r="BC104" i="20"/>
  <c r="AZ104" i="20"/>
  <c r="AU104" i="20"/>
  <c r="BG104" i="20" s="1"/>
  <c r="BH104" i="20" s="1"/>
  <c r="BD104" i="20"/>
  <c r="BE104" i="20"/>
  <c r="AV61" i="20"/>
  <c r="BD61" i="20"/>
  <c r="AZ61" i="20"/>
  <c r="BC61" i="20"/>
  <c r="BA61" i="20"/>
  <c r="BB61" i="20"/>
  <c r="AU61" i="20"/>
  <c r="BG61" i="20" s="1"/>
  <c r="BH61" i="20" s="1"/>
  <c r="AW61" i="20"/>
  <c r="AX61" i="20"/>
  <c r="BE61" i="20"/>
  <c r="AV7" i="20"/>
  <c r="BC7" i="20"/>
  <c r="BD7" i="20"/>
  <c r="BB7" i="20"/>
  <c r="BE7" i="20"/>
  <c r="AX7" i="20"/>
  <c r="AU7" i="20"/>
  <c r="BG7" i="20" s="1"/>
  <c r="BH7" i="20" s="1"/>
  <c r="AZ7" i="20"/>
  <c r="BA7" i="20"/>
  <c r="AW7" i="20"/>
  <c r="AX13" i="20"/>
  <c r="BD13" i="20"/>
  <c r="BC13" i="20"/>
  <c r="AV13" i="20"/>
  <c r="BA13" i="20"/>
  <c r="AZ13" i="20"/>
  <c r="BB13" i="20"/>
  <c r="BE13" i="20"/>
  <c r="AW13" i="20"/>
  <c r="AU13" i="20"/>
  <c r="BG13" i="20" s="1"/>
  <c r="BH13" i="20" s="1"/>
  <c r="AU32" i="20"/>
  <c r="BG32" i="20" s="1"/>
  <c r="BH32" i="20" s="1"/>
  <c r="BD32" i="20"/>
  <c r="BB32" i="20"/>
  <c r="AW32" i="20"/>
  <c r="BE32" i="20"/>
  <c r="AX32" i="20"/>
  <c r="BA32" i="20"/>
  <c r="AZ32" i="20"/>
  <c r="AV32" i="20"/>
  <c r="BC32" i="20"/>
  <c r="AZ14" i="20"/>
  <c r="BD14" i="20"/>
  <c r="AV14" i="20"/>
  <c r="BA14" i="20"/>
  <c r="AW14" i="20"/>
  <c r="BC14" i="20"/>
  <c r="BB14" i="20"/>
  <c r="BE14" i="20"/>
  <c r="AX14" i="20"/>
  <c r="AU14" i="20"/>
  <c r="BG14" i="20" s="1"/>
  <c r="BH14" i="20" s="1"/>
  <c r="BB22" i="20"/>
  <c r="BA22" i="20"/>
  <c r="BD22" i="20"/>
  <c r="BC22" i="20"/>
  <c r="AV22" i="20"/>
  <c r="BE22" i="20"/>
  <c r="AZ22" i="20"/>
  <c r="AU22" i="20"/>
  <c r="BG22" i="20" s="1"/>
  <c r="BH22" i="20" s="1"/>
  <c r="AX22" i="20"/>
  <c r="AW22" i="20"/>
  <c r="AZ102" i="20"/>
  <c r="AU102" i="20"/>
  <c r="BG102" i="20" s="1"/>
  <c r="BH102" i="20" s="1"/>
  <c r="AW102" i="20"/>
  <c r="BA102" i="20"/>
  <c r="BD102" i="20"/>
  <c r="BC102" i="20"/>
  <c r="BB102" i="20"/>
  <c r="BE102" i="20"/>
  <c r="AV102" i="20"/>
  <c r="AX102" i="20"/>
  <c r="AV39" i="20"/>
  <c r="BA39" i="20"/>
  <c r="BD39" i="20"/>
  <c r="AW39" i="20"/>
  <c r="BE39" i="20"/>
  <c r="AU39" i="20"/>
  <c r="BG39" i="20" s="1"/>
  <c r="BH39" i="20" s="1"/>
  <c r="AZ39" i="20"/>
  <c r="AX39" i="20"/>
  <c r="BB39" i="20"/>
  <c r="BC39" i="20"/>
  <c r="AX95" i="20"/>
  <c r="AW95" i="20"/>
  <c r="AZ95" i="20"/>
  <c r="BA95" i="20"/>
  <c r="BC95" i="20"/>
  <c r="AV95" i="20"/>
  <c r="BD95" i="20"/>
  <c r="AU95" i="20"/>
  <c r="BG95" i="20" s="1"/>
  <c r="BH95" i="20" s="1"/>
  <c r="BB95" i="20"/>
  <c r="BE95" i="20"/>
  <c r="AZ84" i="20"/>
  <c r="BA84" i="20"/>
  <c r="AX84" i="20"/>
  <c r="BC84" i="20"/>
  <c r="BB84" i="20"/>
  <c r="AV84" i="20"/>
  <c r="BD84" i="20"/>
  <c r="AW84" i="20"/>
  <c r="AU84" i="20"/>
  <c r="BG84" i="20" s="1"/>
  <c r="BH84" i="20" s="1"/>
  <c r="BE84" i="20"/>
  <c r="BX7" i="19" l="1"/>
  <c r="BE66" i="20"/>
  <c r="AY66" i="20"/>
  <c r="BD83" i="20"/>
  <c r="AY83" i="20"/>
  <c r="BA47" i="20"/>
  <c r="AY47" i="20"/>
  <c r="BC85" i="20"/>
  <c r="AY85" i="20"/>
  <c r="BA93" i="20"/>
  <c r="AY93" i="20"/>
  <c r="BA60" i="20"/>
  <c r="AY60" i="20"/>
  <c r="AZ97" i="20"/>
  <c r="AY97" i="20"/>
  <c r="BC15" i="20"/>
  <c r="AY15" i="20"/>
  <c r="BA69" i="20"/>
  <c r="AY69" i="20"/>
  <c r="AW90" i="20"/>
  <c r="AY90" i="20"/>
  <c r="BA46" i="20"/>
  <c r="AY46" i="20"/>
  <c r="AW81" i="20"/>
  <c r="AY81" i="20"/>
  <c r="AX65" i="20"/>
  <c r="AY65" i="20"/>
  <c r="AW9" i="20"/>
  <c r="AY9" i="20"/>
  <c r="AZ96" i="20"/>
  <c r="AY96" i="20"/>
  <c r="AZ16" i="20"/>
  <c r="AY16" i="20"/>
  <c r="BD10" i="20"/>
  <c r="AY10" i="20"/>
  <c r="AZ38" i="20"/>
  <c r="AY38" i="20"/>
  <c r="AV88" i="20"/>
  <c r="AY88" i="20"/>
  <c r="BD19" i="20"/>
  <c r="AY19" i="20"/>
  <c r="BD29" i="20"/>
  <c r="AY29" i="20"/>
  <c r="BB36" i="20"/>
  <c r="AY36" i="20"/>
  <c r="AU45" i="20"/>
  <c r="BG45" i="20" s="1"/>
  <c r="BH45" i="20" s="1"/>
  <c r="AY45" i="20"/>
  <c r="AU11" i="20"/>
  <c r="BG11" i="20" s="1"/>
  <c r="BH11" i="20" s="1"/>
  <c r="BW11" i="19" s="1"/>
  <c r="AY11" i="20"/>
  <c r="AV78" i="20"/>
  <c r="AY78" i="20"/>
  <c r="AW63" i="20"/>
  <c r="AY63" i="20"/>
  <c r="BA18" i="20"/>
  <c r="AY18" i="20"/>
  <c r="AU91" i="20"/>
  <c r="BG91" i="20" s="1"/>
  <c r="BH91" i="20" s="1"/>
  <c r="AY91" i="20"/>
  <c r="AZ48" i="20"/>
  <c r="AY48" i="20"/>
  <c r="AW57" i="20"/>
  <c r="AY57" i="20"/>
  <c r="AZ58" i="20"/>
  <c r="AY58" i="20"/>
  <c r="AW51" i="20"/>
  <c r="AY51" i="20"/>
  <c r="AX40" i="20"/>
  <c r="AY40" i="20"/>
  <c r="AU94" i="20"/>
  <c r="BG94" i="20" s="1"/>
  <c r="BH94" i="20" s="1"/>
  <c r="AY94" i="20"/>
  <c r="AV56" i="20"/>
  <c r="AV110" i="20" s="1"/>
  <c r="AY56" i="20"/>
  <c r="AY110" i="20" s="1"/>
  <c r="BC98" i="20"/>
  <c r="AY98" i="20"/>
  <c r="BA42" i="20"/>
  <c r="AY42" i="20"/>
  <c r="AX92" i="20"/>
  <c r="AY92" i="20"/>
  <c r="AX72" i="20"/>
  <c r="AY72" i="20"/>
  <c r="BD59" i="20"/>
  <c r="AY59" i="20"/>
  <c r="BE6" i="20"/>
  <c r="AY6" i="20"/>
  <c r="BC21" i="20"/>
  <c r="AY21" i="20"/>
  <c r="BE23" i="20"/>
  <c r="AY23" i="20"/>
  <c r="AV105" i="20"/>
  <c r="AY105" i="20"/>
  <c r="AZ103" i="20"/>
  <c r="AY103" i="20"/>
  <c r="AX80" i="20"/>
  <c r="AY80" i="20"/>
  <c r="AX53" i="20"/>
  <c r="AY53" i="20"/>
  <c r="BE76" i="20"/>
  <c r="AY76" i="20"/>
  <c r="BD37" i="20"/>
  <c r="AY37" i="20"/>
  <c r="BB35" i="20"/>
  <c r="AY35" i="20"/>
  <c r="BB87" i="20"/>
  <c r="AY87" i="20"/>
  <c r="BC100" i="20"/>
  <c r="AY100" i="20"/>
  <c r="AV12" i="20"/>
  <c r="AY12" i="20"/>
  <c r="BF82" i="20"/>
  <c r="AU30" i="19"/>
  <c r="BH30" i="19" s="1"/>
  <c r="BX61" i="19"/>
  <c r="BX30" i="19"/>
  <c r="AW83" i="19"/>
  <c r="BI83" i="19" s="1"/>
  <c r="BJ83" i="19" s="1"/>
  <c r="AU43" i="19"/>
  <c r="BH43" i="19" s="1"/>
  <c r="BD37" i="19"/>
  <c r="AY37" i="19"/>
  <c r="AY56" i="19"/>
  <c r="AX33" i="19"/>
  <c r="BE69" i="19"/>
  <c r="BX28" i="19"/>
  <c r="AZ34" i="19"/>
  <c r="BA83" i="19"/>
  <c r="BB83" i="19"/>
  <c r="BC83" i="19"/>
  <c r="BF83" i="19"/>
  <c r="BE25" i="20"/>
  <c r="BA25" i="20"/>
  <c r="AZ25" i="20"/>
  <c r="AW25" i="20"/>
  <c r="BC25" i="20"/>
  <c r="AX25" i="20"/>
  <c r="AX41" i="19"/>
  <c r="BD25" i="20"/>
  <c r="AV25" i="20"/>
  <c r="BB25" i="20"/>
  <c r="AU25" i="20"/>
  <c r="BG25" i="20" s="1"/>
  <c r="BH25" i="20" s="1"/>
  <c r="BF37" i="19"/>
  <c r="AU22" i="19"/>
  <c r="BD22" i="19" s="1"/>
  <c r="BA56" i="19"/>
  <c r="BD48" i="19"/>
  <c r="BB37" i="19"/>
  <c r="AX56" i="19"/>
  <c r="BW44" i="19"/>
  <c r="BC33" i="19"/>
  <c r="BA48" i="19"/>
  <c r="BA69" i="19"/>
  <c r="BC37" i="19"/>
  <c r="AZ37" i="19"/>
  <c r="AU102" i="19"/>
  <c r="AX102" i="19" s="1"/>
  <c r="AX26" i="19"/>
  <c r="AW16" i="19"/>
  <c r="BI16" i="19" s="1"/>
  <c r="BJ16" i="19" s="1"/>
  <c r="AU7" i="19"/>
  <c r="BH7" i="19" s="1"/>
  <c r="AU72" i="19"/>
  <c r="BB72" i="19" s="1"/>
  <c r="BG37" i="19"/>
  <c r="AX37" i="19"/>
  <c r="BE37" i="19"/>
  <c r="AU25" i="19"/>
  <c r="BC25" i="19" s="1"/>
  <c r="BE56" i="19"/>
  <c r="BD56" i="19"/>
  <c r="AZ26" i="19"/>
  <c r="BA33" i="19"/>
  <c r="BB33" i="19"/>
  <c r="BC48" i="19"/>
  <c r="BF69" i="19"/>
  <c r="AU85" i="19"/>
  <c r="BH85" i="19" s="1"/>
  <c r="AU29" i="19"/>
  <c r="BH29" i="19" s="1"/>
  <c r="AU53" i="19"/>
  <c r="BH53" i="19" s="1"/>
  <c r="BP37" i="19"/>
  <c r="AW37" i="19"/>
  <c r="BI37" i="19" s="1"/>
  <c r="BJ37" i="19" s="1"/>
  <c r="BA37" i="19"/>
  <c r="AU61" i="19"/>
  <c r="AZ61" i="19" s="1"/>
  <c r="AX16" i="19"/>
  <c r="BB56" i="19"/>
  <c r="AU86" i="19"/>
  <c r="BH86" i="19" s="1"/>
  <c r="BF33" i="19"/>
  <c r="AU49" i="19"/>
  <c r="BB49" i="19" s="1"/>
  <c r="BB48" i="19"/>
  <c r="BF48" i="19"/>
  <c r="BX55" i="19"/>
  <c r="BX71" i="19"/>
  <c r="AU95" i="19"/>
  <c r="BH95" i="19" s="1"/>
  <c r="BE83" i="19"/>
  <c r="BG83" i="19"/>
  <c r="BX50" i="19"/>
  <c r="BX101" i="19"/>
  <c r="BH83" i="19"/>
  <c r="AY83" i="19"/>
  <c r="BD34" i="19"/>
  <c r="BP83" i="19"/>
  <c r="AX83" i="19"/>
  <c r="AZ83" i="19"/>
  <c r="AY76" i="19"/>
  <c r="BX20" i="19"/>
  <c r="BE34" i="19"/>
  <c r="AW34" i="19"/>
  <c r="BI34" i="19" s="1"/>
  <c r="BJ34" i="19" s="1"/>
  <c r="BC51" i="19"/>
  <c r="AU60" i="19"/>
  <c r="BF60" i="19" s="1"/>
  <c r="BA34" i="19"/>
  <c r="BP34" i="19"/>
  <c r="AY34" i="19"/>
  <c r="AX9" i="19"/>
  <c r="AU79" i="19"/>
  <c r="BA79" i="19" s="1"/>
  <c r="BE16" i="19"/>
  <c r="AW56" i="19"/>
  <c r="BI56" i="19" s="1"/>
  <c r="BJ56" i="19" s="1"/>
  <c r="F64" i="19" s="1"/>
  <c r="AZ56" i="19"/>
  <c r="BF56" i="19"/>
  <c r="BD16" i="19"/>
  <c r="BX99" i="19"/>
  <c r="BX68" i="19"/>
  <c r="BX86" i="19"/>
  <c r="BX84" i="19"/>
  <c r="BW55" i="19"/>
  <c r="BX14" i="19"/>
  <c r="BX17" i="19"/>
  <c r="BX74" i="19"/>
  <c r="BX43" i="19"/>
  <c r="BC34" i="19"/>
  <c r="BB34" i="19"/>
  <c r="AU63" i="19"/>
  <c r="BH63" i="19" s="1"/>
  <c r="BP56" i="19"/>
  <c r="BC56" i="19"/>
  <c r="BG56" i="19"/>
  <c r="BX102" i="19"/>
  <c r="BX49" i="19"/>
  <c r="BX79" i="19"/>
  <c r="BF12" i="19"/>
  <c r="BH12" i="19"/>
  <c r="AZ21" i="19"/>
  <c r="BH21" i="19"/>
  <c r="AZ80" i="19"/>
  <c r="BH80" i="19"/>
  <c r="AW52" i="19"/>
  <c r="BI52" i="19" s="1"/>
  <c r="BJ52" i="19" s="1"/>
  <c r="BW52" i="19" s="1"/>
  <c r="BH52" i="19"/>
  <c r="BD41" i="19"/>
  <c r="BH41" i="19"/>
  <c r="BB52" i="19"/>
  <c r="BB41" i="19"/>
  <c r="BB23" i="19"/>
  <c r="BH23" i="19"/>
  <c r="BC80" i="19"/>
  <c r="BX62" i="19"/>
  <c r="BD69" i="19"/>
  <c r="BH69" i="19"/>
  <c r="BA26" i="19"/>
  <c r="BH26" i="19"/>
  <c r="AW48" i="19"/>
  <c r="BI48" i="19" s="1"/>
  <c r="BJ48" i="19" s="1"/>
  <c r="BH48" i="19"/>
  <c r="AY33" i="19"/>
  <c r="BH33" i="19"/>
  <c r="AW41" i="19"/>
  <c r="BI41" i="19" s="1"/>
  <c r="BJ41" i="19" s="1"/>
  <c r="BF41" i="19"/>
  <c r="AU75" i="19"/>
  <c r="BA75" i="19" s="1"/>
  <c r="BG41" i="19"/>
  <c r="BG52" i="19"/>
  <c r="AZ52" i="19"/>
  <c r="BG15" i="19"/>
  <c r="BH15" i="19"/>
  <c r="AW26" i="19"/>
  <c r="BI26" i="19" s="1"/>
  <c r="BJ26" i="19" s="1"/>
  <c r="BW26" i="19" s="1"/>
  <c r="AU54" i="19"/>
  <c r="AW54" i="19" s="1"/>
  <c r="BI54" i="19" s="1"/>
  <c r="BJ54" i="19" s="1"/>
  <c r="BW54" i="19" s="1"/>
  <c r="BD26" i="19"/>
  <c r="BC21" i="19"/>
  <c r="BP33" i="19"/>
  <c r="BE33" i="19"/>
  <c r="AU98" i="19"/>
  <c r="BE98" i="19" s="1"/>
  <c r="AZ33" i="19"/>
  <c r="AY48" i="19"/>
  <c r="BB80" i="19"/>
  <c r="AZ69" i="19"/>
  <c r="BP48" i="19"/>
  <c r="AY69" i="19"/>
  <c r="BC69" i="19"/>
  <c r="BX64" i="19"/>
  <c r="BA76" i="19"/>
  <c r="BH76" i="19"/>
  <c r="BB9" i="19"/>
  <c r="BH9" i="19"/>
  <c r="BB81" i="19"/>
  <c r="BH81" i="19"/>
  <c r="BE51" i="19"/>
  <c r="BH51" i="19"/>
  <c r="BR94" i="19"/>
  <c r="BX94" i="19" s="1"/>
  <c r="BG34" i="19"/>
  <c r="BF34" i="19"/>
  <c r="AX34" i="19"/>
  <c r="BD51" i="19"/>
  <c r="AW9" i="19"/>
  <c r="BI9" i="19" s="1"/>
  <c r="BJ9" i="19" s="1"/>
  <c r="AU105" i="19"/>
  <c r="BA105" i="19" s="1"/>
  <c r="BC41" i="19"/>
  <c r="BA41" i="19"/>
  <c r="AZ41" i="19"/>
  <c r="BW28" i="19"/>
  <c r="AU64" i="19"/>
  <c r="BA64" i="19" s="1"/>
  <c r="BP52" i="19"/>
  <c r="BA52" i="19"/>
  <c r="BE41" i="19"/>
  <c r="BP41" i="19"/>
  <c r="AU14" i="19"/>
  <c r="BA14" i="19" s="1"/>
  <c r="AY81" i="19"/>
  <c r="AW33" i="19"/>
  <c r="BI33" i="19" s="1"/>
  <c r="BJ33" i="19" s="1"/>
  <c r="BW33" i="19" s="1"/>
  <c r="AX48" i="19"/>
  <c r="AU84" i="19"/>
  <c r="BG84" i="19" s="1"/>
  <c r="BE48" i="19"/>
  <c r="BG33" i="19"/>
  <c r="BP76" i="19"/>
  <c r="BF76" i="19"/>
  <c r="AZ48" i="19"/>
  <c r="AW69" i="19"/>
  <c r="BI69" i="19" s="1"/>
  <c r="BJ69" i="19" s="1"/>
  <c r="BP69" i="19"/>
  <c r="BB69" i="19"/>
  <c r="BG69" i="19"/>
  <c r="BX22" i="19"/>
  <c r="BP16" i="19"/>
  <c r="BH16" i="19"/>
  <c r="AU18" i="19"/>
  <c r="BH18" i="19" s="1"/>
  <c r="BP51" i="19"/>
  <c r="AX51" i="19"/>
  <c r="AU10" i="19"/>
  <c r="BB10" i="19" s="1"/>
  <c r="AZ9" i="19"/>
  <c r="AY52" i="19"/>
  <c r="BF52" i="19"/>
  <c r="BE52" i="19"/>
  <c r="AZ81" i="19"/>
  <c r="BE21" i="19"/>
  <c r="AW21" i="19"/>
  <c r="BI21" i="19" s="1"/>
  <c r="BJ21" i="19" s="1"/>
  <c r="AU46" i="19"/>
  <c r="BG46" i="19" s="1"/>
  <c r="AY80" i="19"/>
  <c r="BX54" i="19"/>
  <c r="AY51" i="19"/>
  <c r="AY9" i="19"/>
  <c r="BF9" i="19"/>
  <c r="AU17" i="19"/>
  <c r="AW17" i="19" s="1"/>
  <c r="BI17" i="19" s="1"/>
  <c r="BJ17" i="19" s="1"/>
  <c r="BW17" i="19" s="1"/>
  <c r="BD52" i="19"/>
  <c r="BC52" i="19"/>
  <c r="BA21" i="19"/>
  <c r="BP81" i="19"/>
  <c r="BA80" i="19"/>
  <c r="BP21" i="19"/>
  <c r="BC76" i="19"/>
  <c r="BD21" i="19"/>
  <c r="BA51" i="19"/>
  <c r="BG51" i="19"/>
  <c r="AZ51" i="19"/>
  <c r="AU101" i="19"/>
  <c r="AZ101" i="19" s="1"/>
  <c r="AU97" i="19"/>
  <c r="AY97" i="19" s="1"/>
  <c r="BC81" i="19"/>
  <c r="AU35" i="19"/>
  <c r="BC35" i="19" s="1"/>
  <c r="BE81" i="19"/>
  <c r="BF80" i="19"/>
  <c r="BE80" i="19"/>
  <c r="AU42" i="19"/>
  <c r="BB42" i="19" s="1"/>
  <c r="AX80" i="19"/>
  <c r="AW80" i="19"/>
  <c r="BI80" i="19" s="1"/>
  <c r="BJ80" i="19" s="1"/>
  <c r="BX75" i="19"/>
  <c r="AW51" i="19"/>
  <c r="BI51" i="19" s="1"/>
  <c r="BJ51" i="19" s="1"/>
  <c r="BB51" i="19"/>
  <c r="AU45" i="19"/>
  <c r="AW45" i="19" s="1"/>
  <c r="BI45" i="19" s="1"/>
  <c r="BJ45" i="19" s="1"/>
  <c r="BD80" i="19"/>
  <c r="AU36" i="19"/>
  <c r="BC36" i="19" s="1"/>
  <c r="BX95" i="19"/>
  <c r="BG80" i="19"/>
  <c r="BP80" i="19"/>
  <c r="BX44" i="19"/>
  <c r="BC16" i="19"/>
  <c r="BG16" i="19"/>
  <c r="BB16" i="19"/>
  <c r="BP26" i="19"/>
  <c r="BA16" i="19"/>
  <c r="BB26" i="19"/>
  <c r="BG26" i="19"/>
  <c r="AY16" i="19"/>
  <c r="AY26" i="19"/>
  <c r="BC26" i="19"/>
  <c r="BF26" i="19"/>
  <c r="BF16" i="19"/>
  <c r="AU89" i="19"/>
  <c r="BP89" i="19" s="1"/>
  <c r="AU87" i="19"/>
  <c r="BF87" i="19" s="1"/>
  <c r="AU88" i="19"/>
  <c r="BC88" i="19" s="1"/>
  <c r="BC9" i="19"/>
  <c r="BD9" i="19"/>
  <c r="BP9" i="19"/>
  <c r="AU24" i="19"/>
  <c r="BP24" i="19" s="1"/>
  <c r="BG81" i="19"/>
  <c r="BA81" i="19"/>
  <c r="BF81" i="19"/>
  <c r="BF21" i="19"/>
  <c r="BB21" i="19"/>
  <c r="AX21" i="19"/>
  <c r="AU38" i="19"/>
  <c r="AY38" i="19" s="1"/>
  <c r="BE76" i="19"/>
  <c r="AX76" i="19"/>
  <c r="BG76" i="19"/>
  <c r="AX81" i="19"/>
  <c r="BB76" i="19"/>
  <c r="BX24" i="19"/>
  <c r="BX89" i="19"/>
  <c r="AU62" i="19"/>
  <c r="BG62" i="19" s="1"/>
  <c r="BE9" i="19"/>
  <c r="BA9" i="19"/>
  <c r="AU74" i="19"/>
  <c r="AZ74" i="19" s="1"/>
  <c r="AU82" i="19"/>
  <c r="BB82" i="19" s="1"/>
  <c r="AU58" i="19"/>
  <c r="AW58" i="19" s="1"/>
  <c r="BI58" i="19" s="1"/>
  <c r="BJ58" i="19" s="1"/>
  <c r="AU20" i="19"/>
  <c r="AW81" i="19"/>
  <c r="BI81" i="19" s="1"/>
  <c r="BJ81" i="19" s="1"/>
  <c r="F65" i="19" s="1"/>
  <c r="BG21" i="19"/>
  <c r="AY21" i="19"/>
  <c r="AU92" i="19"/>
  <c r="AW92" i="19" s="1"/>
  <c r="BI92" i="19" s="1"/>
  <c r="BJ92" i="19" s="1"/>
  <c r="BD76" i="19"/>
  <c r="AZ76" i="19"/>
  <c r="AX23" i="20"/>
  <c r="AW78" i="20"/>
  <c r="BA78" i="20"/>
  <c r="AU78" i="20"/>
  <c r="BG78" i="20" s="1"/>
  <c r="BH78" i="20" s="1"/>
  <c r="BW78" i="19" s="1"/>
  <c r="AZ78" i="20"/>
  <c r="AV21" i="20"/>
  <c r="BE78" i="20"/>
  <c r="AU23" i="20"/>
  <c r="BG23" i="20" s="1"/>
  <c r="BH23" i="20" s="1"/>
  <c r="BB23" i="20"/>
  <c r="BC23" i="20"/>
  <c r="AV23" i="20"/>
  <c r="BD23" i="20"/>
  <c r="AZ23" i="20"/>
  <c r="BD70" i="20"/>
  <c r="AW70" i="20"/>
  <c r="AW23" i="20"/>
  <c r="BA23" i="20"/>
  <c r="BB78" i="20"/>
  <c r="AX78" i="20"/>
  <c r="BD78" i="20"/>
  <c r="BC78" i="20"/>
  <c r="AV70" i="20"/>
  <c r="AU70" i="20"/>
  <c r="BG70" i="20" s="1"/>
  <c r="BH70" i="20" s="1"/>
  <c r="BW70" i="19" s="1"/>
  <c r="BB70" i="20"/>
  <c r="BE70" i="20"/>
  <c r="BA70" i="20"/>
  <c r="AX70" i="20"/>
  <c r="AZ70" i="20"/>
  <c r="BC70" i="20"/>
  <c r="AW11" i="20"/>
  <c r="AZ11" i="20"/>
  <c r="AX11" i="20"/>
  <c r="AV11" i="20"/>
  <c r="BB11" i="20"/>
  <c r="AV97" i="20"/>
  <c r="AX97" i="20"/>
  <c r="AX59" i="20"/>
  <c r="AU59" i="20"/>
  <c r="BG59" i="20" s="1"/>
  <c r="BH59" i="20" s="1"/>
  <c r="BW59" i="19" s="1"/>
  <c r="BC97" i="20"/>
  <c r="BC11" i="20"/>
  <c r="BE11" i="20"/>
  <c r="BB97" i="20"/>
  <c r="BD11" i="20"/>
  <c r="BA11" i="20"/>
  <c r="AW36" i="20"/>
  <c r="AW97" i="20"/>
  <c r="BA21" i="20"/>
  <c r="BA100" i="20"/>
  <c r="BE97" i="20"/>
  <c r="BD97" i="20"/>
  <c r="AX21" i="20"/>
  <c r="AV59" i="20"/>
  <c r="BB59" i="20"/>
  <c r="BA97" i="20"/>
  <c r="AU97" i="20"/>
  <c r="BG97" i="20" s="1"/>
  <c r="BH97" i="20" s="1"/>
  <c r="BE21" i="20"/>
  <c r="AU21" i="20"/>
  <c r="BG21" i="20" s="1"/>
  <c r="BH21" i="20" s="1"/>
  <c r="BD21" i="20"/>
  <c r="BB21" i="20"/>
  <c r="AW21" i="20"/>
  <c r="AZ21" i="20"/>
  <c r="BC60" i="20"/>
  <c r="AU92" i="20"/>
  <c r="BG92" i="20" s="1"/>
  <c r="BH92" i="20" s="1"/>
  <c r="AZ72" i="20"/>
  <c r="BE45" i="20"/>
  <c r="AU6" i="20"/>
  <c r="BG6" i="20" s="1"/>
  <c r="BH6" i="20" s="1"/>
  <c r="BW6" i="19" s="1"/>
  <c r="AX27" i="20"/>
  <c r="BB12" i="20"/>
  <c r="BC12" i="20"/>
  <c r="BC45" i="20"/>
  <c r="BB29" i="20"/>
  <c r="AZ45" i="20"/>
  <c r="BA12" i="20"/>
  <c r="AW27" i="20"/>
  <c r="AX45" i="20"/>
  <c r="AZ6" i="20"/>
  <c r="BE12" i="20"/>
  <c r="BC29" i="20"/>
  <c r="AV6" i="20"/>
  <c r="AW6" i="20"/>
  <c r="AX6" i="20"/>
  <c r="BC6" i="20"/>
  <c r="AZ56" i="20"/>
  <c r="BD12" i="20"/>
  <c r="AX12" i="20"/>
  <c r="BC27" i="20"/>
  <c r="AW45" i="20"/>
  <c r="AX60" i="20"/>
  <c r="BE60" i="20"/>
  <c r="BB6" i="20"/>
  <c r="BA6" i="20"/>
  <c r="BD6" i="20"/>
  <c r="AU12" i="20"/>
  <c r="BG12" i="20" s="1"/>
  <c r="BH12" i="20" s="1"/>
  <c r="AW12" i="20"/>
  <c r="AZ12" i="20"/>
  <c r="AV27" i="20"/>
  <c r="AV45" i="20"/>
  <c r="AU29" i="20"/>
  <c r="BG29" i="20" s="1"/>
  <c r="BH29" i="20" s="1"/>
  <c r="BD60" i="20"/>
  <c r="AX19" i="20"/>
  <c r="BE27" i="20"/>
  <c r="AU27" i="20"/>
  <c r="BG27" i="20" s="1"/>
  <c r="BH27" i="20" s="1"/>
  <c r="BW27" i="19" s="1"/>
  <c r="BB45" i="20"/>
  <c r="BD45" i="20"/>
  <c r="AV29" i="20"/>
  <c r="AU60" i="20"/>
  <c r="BG60" i="20" s="1"/>
  <c r="BH60" i="20" s="1"/>
  <c r="AV60" i="20"/>
  <c r="BA45" i="20"/>
  <c r="BF30" i="20"/>
  <c r="BA36" i="20"/>
  <c r="BA59" i="20"/>
  <c r="BE72" i="20"/>
  <c r="AZ59" i="20"/>
  <c r="BE59" i="20"/>
  <c r="AW59" i="20"/>
  <c r="BC59" i="20"/>
  <c r="BA72" i="20"/>
  <c r="AU72" i="20"/>
  <c r="BG72" i="20" s="1"/>
  <c r="BH72" i="20" s="1"/>
  <c r="BC72" i="20"/>
  <c r="AU65" i="20"/>
  <c r="BG65" i="20" s="1"/>
  <c r="BH65" i="20" s="1"/>
  <c r="BW65" i="19" s="1"/>
  <c r="BB92" i="20"/>
  <c r="AZ92" i="20"/>
  <c r="BA92" i="20"/>
  <c r="BD72" i="20"/>
  <c r="AV72" i="20"/>
  <c r="AW72" i="20"/>
  <c r="BD92" i="20"/>
  <c r="BB72" i="20"/>
  <c r="BD65" i="20"/>
  <c r="BB100" i="20"/>
  <c r="AV100" i="20"/>
  <c r="AV36" i="20"/>
  <c r="BE100" i="20"/>
  <c r="AX36" i="20"/>
  <c r="AU100" i="20"/>
  <c r="BG100" i="20" s="1"/>
  <c r="BH100" i="20" s="1"/>
  <c r="BW100" i="19" s="1"/>
  <c r="AZ100" i="20"/>
  <c r="AX100" i="20"/>
  <c r="AZ36" i="20"/>
  <c r="BD100" i="20"/>
  <c r="AW100" i="20"/>
  <c r="BD42" i="20"/>
  <c r="AV42" i="20"/>
  <c r="BE92" i="20"/>
  <c r="AV92" i="20"/>
  <c r="BC92" i="20"/>
  <c r="BC36" i="20"/>
  <c r="BD36" i="20"/>
  <c r="BB42" i="20"/>
  <c r="AU36" i="20"/>
  <c r="BG36" i="20" s="1"/>
  <c r="BH36" i="20" s="1"/>
  <c r="BC65" i="20"/>
  <c r="BE42" i="20"/>
  <c r="AW92" i="20"/>
  <c r="BE36" i="20"/>
  <c r="AW42" i="20"/>
  <c r="AZ65" i="20"/>
  <c r="AZ27" i="20"/>
  <c r="BA27" i="20"/>
  <c r="AZ29" i="20"/>
  <c r="BE29" i="20"/>
  <c r="AX29" i="20"/>
  <c r="AW60" i="20"/>
  <c r="BD27" i="20"/>
  <c r="BB27" i="20"/>
  <c r="AW29" i="20"/>
  <c r="BA29" i="20"/>
  <c r="AZ60" i="20"/>
  <c r="BB60" i="20"/>
  <c r="BD56" i="20"/>
  <c r="BB19" i="20"/>
  <c r="BB65" i="20"/>
  <c r="BA65" i="20"/>
  <c r="AX42" i="20"/>
  <c r="AU42" i="20"/>
  <c r="BG42" i="20" s="1"/>
  <c r="BH42" i="20" s="1"/>
  <c r="BE65" i="20"/>
  <c r="BB41" i="20"/>
  <c r="AZ42" i="20"/>
  <c r="BC42" i="20"/>
  <c r="BB98" i="20"/>
  <c r="BE41" i="20"/>
  <c r="AX87" i="20"/>
  <c r="AW65" i="20"/>
  <c r="AV65" i="20"/>
  <c r="AZ98" i="20"/>
  <c r="AV41" i="20"/>
  <c r="BA98" i="20"/>
  <c r="AU41" i="20"/>
  <c r="BG41" i="20" s="1"/>
  <c r="BH41" i="20" s="1"/>
  <c r="BD87" i="20"/>
  <c r="BD35" i="20"/>
  <c r="BE98" i="20"/>
  <c r="AW98" i="20"/>
  <c r="BD41" i="20"/>
  <c r="AZ41" i="20"/>
  <c r="AU87" i="20"/>
  <c r="BG87" i="20" s="1"/>
  <c r="BH87" i="20" s="1"/>
  <c r="BC87" i="20"/>
  <c r="AU98" i="20"/>
  <c r="BG98" i="20" s="1"/>
  <c r="BH98" i="20" s="1"/>
  <c r="BD98" i="20"/>
  <c r="AW41" i="20"/>
  <c r="BC41" i="20"/>
  <c r="BE87" i="20"/>
  <c r="AZ87" i="20"/>
  <c r="BA87" i="20"/>
  <c r="AX98" i="20"/>
  <c r="AV98" i="20"/>
  <c r="BA41" i="20"/>
  <c r="AX41" i="20"/>
  <c r="AV87" i="20"/>
  <c r="AW87" i="20"/>
  <c r="BC56" i="20"/>
  <c r="BC110" i="20" s="1"/>
  <c r="BE56" i="20"/>
  <c r="BE110" i="20" s="1"/>
  <c r="BE94" i="20"/>
  <c r="AU34" i="20"/>
  <c r="BG34" i="20" s="1"/>
  <c r="BH34" i="20" s="1"/>
  <c r="AZ19" i="20"/>
  <c r="AX56" i="20"/>
  <c r="AX110" i="20" s="1"/>
  <c r="AW56" i="20"/>
  <c r="AW110" i="20" s="1"/>
  <c r="BA19" i="20"/>
  <c r="BC19" i="20"/>
  <c r="AU19" i="20"/>
  <c r="BG19" i="20" s="1"/>
  <c r="BH19" i="20" s="1"/>
  <c r="BB56" i="20"/>
  <c r="BB110" i="20" s="1"/>
  <c r="BA56" i="20"/>
  <c r="BA110" i="20" s="1"/>
  <c r="AU56" i="20"/>
  <c r="F67" i="20" s="1"/>
  <c r="AX94" i="20"/>
  <c r="BE34" i="20"/>
  <c r="AW19" i="20"/>
  <c r="AV19" i="20"/>
  <c r="BE19" i="20"/>
  <c r="BB34" i="20"/>
  <c r="BC94" i="20"/>
  <c r="BA94" i="20"/>
  <c r="AV94" i="20"/>
  <c r="BB94" i="20"/>
  <c r="AZ94" i="20"/>
  <c r="AW94" i="20"/>
  <c r="BD94" i="20"/>
  <c r="AV34" i="20"/>
  <c r="BA34" i="20"/>
  <c r="BC34" i="20"/>
  <c r="AX34" i="20"/>
  <c r="AZ34" i="20"/>
  <c r="BD34" i="20"/>
  <c r="AW34" i="20"/>
  <c r="BC51" i="20"/>
  <c r="AX81" i="20"/>
  <c r="BB81" i="20"/>
  <c r="BE88" i="20"/>
  <c r="BB40" i="20"/>
  <c r="AW76" i="20"/>
  <c r="BE16" i="20"/>
  <c r="BC48" i="20"/>
  <c r="BA40" i="20"/>
  <c r="AW40" i="20"/>
  <c r="BC76" i="20"/>
  <c r="AU76" i="20"/>
  <c r="BG76" i="20" s="1"/>
  <c r="BH76" i="20" s="1"/>
  <c r="BW76" i="19" s="1"/>
  <c r="BA81" i="20"/>
  <c r="BD88" i="20"/>
  <c r="BD76" i="20"/>
  <c r="AX76" i="20"/>
  <c r="AZ81" i="20"/>
  <c r="BC40" i="20"/>
  <c r="BX104" i="19"/>
  <c r="BA35" i="20"/>
  <c r="BD40" i="20"/>
  <c r="BB58" i="20"/>
  <c r="BB76" i="20"/>
  <c r="AU40" i="20"/>
  <c r="BG40" i="20" s="1"/>
  <c r="BH40" i="20" s="1"/>
  <c r="BE40" i="20"/>
  <c r="AZ40" i="20"/>
  <c r="AV40" i="20"/>
  <c r="AV58" i="20"/>
  <c r="AU16" i="20"/>
  <c r="BG16" i="20" s="1"/>
  <c r="BH16" i="20" s="1"/>
  <c r="BE51" i="20"/>
  <c r="AV35" i="20"/>
  <c r="AV76" i="20"/>
  <c r="BW91" i="19"/>
  <c r="AW58" i="20"/>
  <c r="AZ35" i="20"/>
  <c r="BA51" i="20"/>
  <c r="AX58" i="20"/>
  <c r="BC35" i="20"/>
  <c r="BE35" i="20"/>
  <c r="BA76" i="20"/>
  <c r="AZ76" i="20"/>
  <c r="AX51" i="20"/>
  <c r="AU80" i="20"/>
  <c r="BG80" i="20" s="1"/>
  <c r="BH80" i="20" s="1"/>
  <c r="AW83" i="20"/>
  <c r="BD93" i="20"/>
  <c r="AW93" i="20"/>
  <c r="AU53" i="20"/>
  <c r="BG53" i="20" s="1"/>
  <c r="BH53" i="20" s="1"/>
  <c r="BC90" i="20"/>
  <c r="BF74" i="20"/>
  <c r="BE93" i="20"/>
  <c r="AX85" i="20"/>
  <c r="AV81" i="20"/>
  <c r="BB88" i="20"/>
  <c r="BB93" i="20"/>
  <c r="AX48" i="20"/>
  <c r="BC93" i="20"/>
  <c r="AX93" i="20"/>
  <c r="AZ93" i="20"/>
  <c r="AU93" i="20"/>
  <c r="BG93" i="20" s="1"/>
  <c r="BH93" i="20" s="1"/>
  <c r="BW93" i="19" s="1"/>
  <c r="BE53" i="20"/>
  <c r="BE48" i="20"/>
  <c r="AV93" i="20"/>
  <c r="BE58" i="20"/>
  <c r="BA58" i="20"/>
  <c r="BC58" i="20"/>
  <c r="AW35" i="20"/>
  <c r="AX35" i="20"/>
  <c r="BD81" i="20"/>
  <c r="BE81" i="20"/>
  <c r="AU51" i="20"/>
  <c r="BG51" i="20" s="1"/>
  <c r="BH51" i="20" s="1"/>
  <c r="AU81" i="20"/>
  <c r="F68" i="20" s="1"/>
  <c r="BD51" i="20"/>
  <c r="AW88" i="20"/>
  <c r="AX16" i="20"/>
  <c r="BD90" i="20"/>
  <c r="AU58" i="20"/>
  <c r="BG58" i="20" s="1"/>
  <c r="BH58" i="20" s="1"/>
  <c r="BD58" i="20"/>
  <c r="AU88" i="20"/>
  <c r="BG88" i="20" s="1"/>
  <c r="BH88" i="20" s="1"/>
  <c r="AU35" i="20"/>
  <c r="BG35" i="20" s="1"/>
  <c r="BH35" i="20" s="1"/>
  <c r="BA88" i="20"/>
  <c r="BC81" i="20"/>
  <c r="BB51" i="20"/>
  <c r="AW37" i="20"/>
  <c r="AZ51" i="20"/>
  <c r="AV51" i="20"/>
  <c r="AV16" i="20"/>
  <c r="BF26" i="20"/>
  <c r="AU48" i="20"/>
  <c r="BG48" i="20" s="1"/>
  <c r="BH48" i="20" s="1"/>
  <c r="BF55" i="20"/>
  <c r="BC53" i="20"/>
  <c r="BB48" i="20"/>
  <c r="AW85" i="20"/>
  <c r="BD85" i="20"/>
  <c r="BB85" i="20"/>
  <c r="AV85" i="20"/>
  <c r="BD53" i="20"/>
  <c r="AW53" i="20"/>
  <c r="BE38" i="20"/>
  <c r="AZ88" i="20"/>
  <c r="AW47" i="20"/>
  <c r="BE85" i="20"/>
  <c r="AU47" i="20"/>
  <c r="BG47" i="20" s="1"/>
  <c r="BH47" i="20" s="1"/>
  <c r="BW47" i="19" s="1"/>
  <c r="BA85" i="20"/>
  <c r="BA53" i="20"/>
  <c r="AV53" i="20"/>
  <c r="BC57" i="20"/>
  <c r="BB53" i="20"/>
  <c r="AZ53" i="20"/>
  <c r="BB38" i="20"/>
  <c r="AX88" i="20"/>
  <c r="BC88" i="20"/>
  <c r="AU10" i="20"/>
  <c r="BG10" i="20" s="1"/>
  <c r="BH10" i="20" s="1"/>
  <c r="AZ85" i="20"/>
  <c r="AU85" i="20"/>
  <c r="BG85" i="20" s="1"/>
  <c r="BH85" i="20" s="1"/>
  <c r="BB46" i="20"/>
  <c r="AZ57" i="20"/>
  <c r="BA38" i="20"/>
  <c r="BD69" i="20"/>
  <c r="AW48" i="20"/>
  <c r="BD48" i="20"/>
  <c r="BA48" i="20"/>
  <c r="AV91" i="20"/>
  <c r="AV83" i="20"/>
  <c r="BE57" i="20"/>
  <c r="AV48" i="20"/>
  <c r="AW46" i="20"/>
  <c r="AW38" i="20"/>
  <c r="BC38" i="20"/>
  <c r="AU46" i="20"/>
  <c r="BG46" i="20" s="1"/>
  <c r="BH46" i="20" s="1"/>
  <c r="BD57" i="20"/>
  <c r="AV57" i="20"/>
  <c r="AU57" i="20"/>
  <c r="BG57" i="20" s="1"/>
  <c r="BH57" i="20" s="1"/>
  <c r="BW57" i="19" s="1"/>
  <c r="AU38" i="20"/>
  <c r="BG38" i="20" s="1"/>
  <c r="BH38" i="20" s="1"/>
  <c r="BD38" i="20"/>
  <c r="AW91" i="20"/>
  <c r="BE91" i="20"/>
  <c r="AX47" i="20"/>
  <c r="BE47" i="20"/>
  <c r="AV47" i="20"/>
  <c r="BB10" i="20"/>
  <c r="AZ47" i="20"/>
  <c r="BB47" i="20"/>
  <c r="BC47" i="20"/>
  <c r="BB57" i="20"/>
  <c r="BB91" i="20"/>
  <c r="AX46" i="20"/>
  <c r="AX57" i="20"/>
  <c r="BA57" i="20"/>
  <c r="AV38" i="20"/>
  <c r="AX38" i="20"/>
  <c r="AW10" i="20"/>
  <c r="BD47" i="20"/>
  <c r="AZ10" i="20"/>
  <c r="AV10" i="20"/>
  <c r="BE10" i="20"/>
  <c r="BA10" i="20"/>
  <c r="BC10" i="20"/>
  <c r="AX10" i="20"/>
  <c r="BC46" i="20"/>
  <c r="AV46" i="20"/>
  <c r="BE46" i="20"/>
  <c r="BC91" i="20"/>
  <c r="BD91" i="20"/>
  <c r="BB16" i="20"/>
  <c r="AZ91" i="20"/>
  <c r="BC16" i="20"/>
  <c r="AZ90" i="20"/>
  <c r="BA90" i="20"/>
  <c r="AX90" i="20"/>
  <c r="AU90" i="20"/>
  <c r="BG90" i="20" s="1"/>
  <c r="BH90" i="20" s="1"/>
  <c r="BW90" i="19" s="1"/>
  <c r="AZ46" i="20"/>
  <c r="BD46" i="20"/>
  <c r="BA91" i="20"/>
  <c r="AW16" i="20"/>
  <c r="BA16" i="20"/>
  <c r="AX91" i="20"/>
  <c r="BD16" i="20"/>
  <c r="BF31" i="20"/>
  <c r="BB69" i="20"/>
  <c r="AU83" i="20"/>
  <c r="BG83" i="20" s="1"/>
  <c r="BH83" i="20" s="1"/>
  <c r="AZ83" i="20"/>
  <c r="BC83" i="20"/>
  <c r="AX83" i="20"/>
  <c r="BD80" i="20"/>
  <c r="BE69" i="20"/>
  <c r="BE83" i="20"/>
  <c r="BB80" i="20"/>
  <c r="BB83" i="20"/>
  <c r="BA83" i="20"/>
  <c r="AZ80" i="20"/>
  <c r="AV90" i="20"/>
  <c r="BB90" i="20"/>
  <c r="BE90" i="20"/>
  <c r="BB37" i="20"/>
  <c r="AU37" i="20"/>
  <c r="BG37" i="20" s="1"/>
  <c r="BH37" i="20" s="1"/>
  <c r="BB96" i="20"/>
  <c r="AX37" i="20"/>
  <c r="AZ37" i="20"/>
  <c r="BE37" i="20"/>
  <c r="BA37" i="20"/>
  <c r="AV37" i="20"/>
  <c r="BC37" i="20"/>
  <c r="AW103" i="20"/>
  <c r="BB15" i="20"/>
  <c r="AZ69" i="20"/>
  <c r="BE80" i="20"/>
  <c r="AU69" i="20"/>
  <c r="BG69" i="20" s="1"/>
  <c r="BH69" i="20" s="1"/>
  <c r="BC80" i="20"/>
  <c r="BA80" i="20"/>
  <c r="AW80" i="20"/>
  <c r="AV80" i="20"/>
  <c r="BB103" i="20"/>
  <c r="AX15" i="20"/>
  <c r="AX69" i="20"/>
  <c r="BC69" i="20"/>
  <c r="BB66" i="20"/>
  <c r="AW69" i="20"/>
  <c r="AV69" i="20"/>
  <c r="AU66" i="20"/>
  <c r="BG66" i="20" s="1"/>
  <c r="BH66" i="20" s="1"/>
  <c r="BW66" i="19" s="1"/>
  <c r="AU103" i="20"/>
  <c r="BG103" i="20" s="1"/>
  <c r="BH103" i="20" s="1"/>
  <c r="BW103" i="19" s="1"/>
  <c r="AV103" i="20"/>
  <c r="BD15" i="20"/>
  <c r="AZ15" i="20"/>
  <c r="AZ66" i="20"/>
  <c r="BE15" i="20"/>
  <c r="BC66" i="20"/>
  <c r="BD66" i="20"/>
  <c r="BC9" i="20"/>
  <c r="AZ12" i="19"/>
  <c r="BC18" i="20"/>
  <c r="BE103" i="20"/>
  <c r="BC103" i="20"/>
  <c r="AX103" i="20"/>
  <c r="BA15" i="20"/>
  <c r="AU15" i="20"/>
  <c r="BG15" i="20" s="1"/>
  <c r="BH15" i="20" s="1"/>
  <c r="AZ105" i="20"/>
  <c r="BA103" i="20"/>
  <c r="BD103" i="20"/>
  <c r="AV15" i="20"/>
  <c r="AW15" i="20"/>
  <c r="AU105" i="20"/>
  <c r="BG105" i="20" s="1"/>
  <c r="BH105" i="20" s="1"/>
  <c r="BA66" i="20"/>
  <c r="BD18" i="20"/>
  <c r="AX9" i="20"/>
  <c r="AW96" i="20"/>
  <c r="AV66" i="20"/>
  <c r="AW66" i="20"/>
  <c r="AX66" i="20"/>
  <c r="BA105" i="20"/>
  <c r="AV96" i="20"/>
  <c r="BA96" i="20"/>
  <c r="AU96" i="20"/>
  <c r="BG96" i="20" s="1"/>
  <c r="BH96" i="20" s="1"/>
  <c r="BW96" i="19" s="1"/>
  <c r="BE96" i="20"/>
  <c r="BD96" i="20"/>
  <c r="BC96" i="20"/>
  <c r="AX96" i="20"/>
  <c r="BA63" i="20"/>
  <c r="BG106" i="20"/>
  <c r="BH106" i="20" s="1"/>
  <c r="AV9" i="20"/>
  <c r="BW8" i="19"/>
  <c r="AV18" i="20"/>
  <c r="AZ18" i="20"/>
  <c r="BB18" i="20"/>
  <c r="AW18" i="20"/>
  <c r="AX18" i="20"/>
  <c r="AU18" i="20"/>
  <c r="BG18" i="20" s="1"/>
  <c r="BH18" i="20" s="1"/>
  <c r="BE18" i="20"/>
  <c r="BD105" i="20"/>
  <c r="BC105" i="20"/>
  <c r="BB105" i="20"/>
  <c r="BE105" i="20"/>
  <c r="AX105" i="20"/>
  <c r="AW105" i="20"/>
  <c r="BE9" i="20"/>
  <c r="BD9" i="20"/>
  <c r="F97" i="20"/>
  <c r="BB9" i="20"/>
  <c r="BP12" i="19"/>
  <c r="BC63" i="20"/>
  <c r="BF44" i="20"/>
  <c r="AW99" i="20"/>
  <c r="AU99" i="20"/>
  <c r="BG99" i="20" s="1"/>
  <c r="BH99" i="20" s="1"/>
  <c r="BW99" i="19" s="1"/>
  <c r="BB99" i="20"/>
  <c r="BA99" i="20"/>
  <c r="AV99" i="20"/>
  <c r="BD99" i="20"/>
  <c r="AX99" i="20"/>
  <c r="BE99" i="20"/>
  <c r="AZ99" i="20"/>
  <c r="BC99" i="20"/>
  <c r="BF106" i="20"/>
  <c r="AX12" i="19"/>
  <c r="AW15" i="19"/>
  <c r="BI15" i="19" s="1"/>
  <c r="BJ15" i="19" s="1"/>
  <c r="AY12" i="19"/>
  <c r="BA12" i="19"/>
  <c r="AW12" i="19"/>
  <c r="BI12" i="19" s="1"/>
  <c r="BJ12" i="19" s="1"/>
  <c r="AX23" i="19"/>
  <c r="AT106" i="19"/>
  <c r="AU106" i="19" s="1"/>
  <c r="BC12" i="19"/>
  <c r="BE12" i="19"/>
  <c r="BB12" i="19"/>
  <c r="BG12" i="19"/>
  <c r="BD12" i="19"/>
  <c r="BA23" i="19"/>
  <c r="BW67" i="19"/>
  <c r="AV63" i="20"/>
  <c r="AU9" i="20"/>
  <c r="BG9" i="20" s="1"/>
  <c r="BH9" i="20" s="1"/>
  <c r="AZ9" i="20"/>
  <c r="AZ15" i="19"/>
  <c r="BG23" i="19"/>
  <c r="BE63" i="20"/>
  <c r="AZ63" i="20"/>
  <c r="BA9" i="20"/>
  <c r="AW23" i="19"/>
  <c r="BI23" i="19" s="1"/>
  <c r="BJ23" i="19" s="1"/>
  <c r="AU63" i="20"/>
  <c r="BG63" i="20" s="1"/>
  <c r="BH63" i="20" s="1"/>
  <c r="BF28" i="20"/>
  <c r="BB63" i="20"/>
  <c r="BD63" i="20"/>
  <c r="BA15" i="19"/>
  <c r="AY23" i="19"/>
  <c r="AX63" i="20"/>
  <c r="BF89" i="20"/>
  <c r="BF62" i="20"/>
  <c r="BE15" i="19"/>
  <c r="BP23" i="19"/>
  <c r="AZ23" i="19"/>
  <c r="BF23" i="19"/>
  <c r="AX15" i="19"/>
  <c r="BC23" i="19"/>
  <c r="BE23" i="19"/>
  <c r="BD23" i="19"/>
  <c r="BW77" i="19"/>
  <c r="BB15" i="19"/>
  <c r="BP15" i="19"/>
  <c r="AY15" i="19"/>
  <c r="BF15" i="19"/>
  <c r="BC15" i="19"/>
  <c r="BD15" i="19"/>
  <c r="BF64" i="20"/>
  <c r="BF73" i="20"/>
  <c r="BF24" i="20"/>
  <c r="BW68" i="19"/>
  <c r="BF54" i="20"/>
  <c r="BW50" i="19"/>
  <c r="BW71" i="19"/>
  <c r="AU19" i="19"/>
  <c r="BF43" i="20"/>
  <c r="BR13" i="19"/>
  <c r="BX13" i="19" s="1"/>
  <c r="AU13" i="19"/>
  <c r="BH13" i="19" s="1"/>
  <c r="BF101" i="20"/>
  <c r="BF77" i="20"/>
  <c r="BF20" i="20"/>
  <c r="BR32" i="19"/>
  <c r="BX32" i="19" s="1"/>
  <c r="AU32" i="19"/>
  <c r="BH32" i="19" s="1"/>
  <c r="BF67" i="20"/>
  <c r="BF33" i="20"/>
  <c r="BF49" i="20"/>
  <c r="BF75" i="20"/>
  <c r="BR40" i="19"/>
  <c r="BX40" i="19" s="1"/>
  <c r="AU40" i="19"/>
  <c r="BH40" i="19" s="1"/>
  <c r="BF8" i="20"/>
  <c r="BF52" i="20"/>
  <c r="AW104" i="19"/>
  <c r="BI104" i="19" s="1"/>
  <c r="BJ104" i="19" s="1"/>
  <c r="BW104" i="19" s="1"/>
  <c r="AZ104" i="19"/>
  <c r="BF104" i="19"/>
  <c r="BD104" i="19"/>
  <c r="AX104" i="19"/>
  <c r="BG104" i="19"/>
  <c r="BP104" i="19"/>
  <c r="BE104" i="19"/>
  <c r="BC104" i="19"/>
  <c r="BB104" i="19"/>
  <c r="AY104" i="19"/>
  <c r="BA104" i="19"/>
  <c r="BR39" i="19"/>
  <c r="BX39" i="19" s="1"/>
  <c r="AU39" i="19"/>
  <c r="BH39" i="19" s="1"/>
  <c r="BF50" i="20"/>
  <c r="BF71" i="20"/>
  <c r="BF79" i="20"/>
  <c r="BR73" i="19"/>
  <c r="BX73" i="19" s="1"/>
  <c r="AU73" i="19"/>
  <c r="BH73" i="19" s="1"/>
  <c r="AZ94" i="19"/>
  <c r="AY94" i="19"/>
  <c r="BG94" i="19"/>
  <c r="BB94" i="19"/>
  <c r="BA94" i="19"/>
  <c r="AX94" i="19"/>
  <c r="BF94" i="19"/>
  <c r="BC94" i="19"/>
  <c r="BE94" i="19"/>
  <c r="BD94" i="19"/>
  <c r="AW94" i="19"/>
  <c r="BI94" i="19" s="1"/>
  <c r="BJ94" i="19" s="1"/>
  <c r="BP94" i="19"/>
  <c r="BF68" i="20"/>
  <c r="BF17" i="20"/>
  <c r="BF86" i="20"/>
  <c r="BF84" i="20"/>
  <c r="BF22" i="20"/>
  <c r="BF61" i="20"/>
  <c r="BF102" i="20"/>
  <c r="BF14" i="20"/>
  <c r="BF32" i="20"/>
  <c r="BF39" i="20"/>
  <c r="BF7" i="20"/>
  <c r="BF95" i="20"/>
  <c r="BF13" i="20"/>
  <c r="BF104" i="20"/>
  <c r="BW45" i="19" l="1"/>
  <c r="BW94" i="19"/>
  <c r="BE92" i="19"/>
  <c r="AY30" i="19"/>
  <c r="BE30" i="19"/>
  <c r="BC30" i="19"/>
  <c r="BW16" i="19"/>
  <c r="B278" i="2" s="1"/>
  <c r="BB30" i="19"/>
  <c r="BF30" i="19"/>
  <c r="BP30" i="19"/>
  <c r="AX30" i="19"/>
  <c r="AW30" i="19"/>
  <c r="BI30" i="19" s="1"/>
  <c r="BJ30" i="19" s="1"/>
  <c r="BW30" i="19" s="1"/>
  <c r="BG30" i="19"/>
  <c r="BD30" i="19"/>
  <c r="BA30" i="19"/>
  <c r="AZ30" i="19"/>
  <c r="BW83" i="19"/>
  <c r="BD43" i="19"/>
  <c r="BW34" i="19"/>
  <c r="BB43" i="19"/>
  <c r="AY43" i="19"/>
  <c r="BA43" i="19"/>
  <c r="AZ43" i="19"/>
  <c r="BF43" i="19"/>
  <c r="BA22" i="19"/>
  <c r="BC43" i="19"/>
  <c r="BG43" i="19"/>
  <c r="BE43" i="19"/>
  <c r="AW43" i="19"/>
  <c r="BI43" i="19" s="1"/>
  <c r="BJ43" i="19" s="1"/>
  <c r="BW43" i="19" s="1"/>
  <c r="BP43" i="19"/>
  <c r="AX43" i="19"/>
  <c r="BW37" i="19"/>
  <c r="BB105" i="19"/>
  <c r="AW72" i="19"/>
  <c r="BI72" i="19" s="1"/>
  <c r="BJ72" i="19" s="1"/>
  <c r="BW72" i="19" s="1"/>
  <c r="AX63" i="19"/>
  <c r="BA53" i="19"/>
  <c r="BD54" i="19"/>
  <c r="AZ105" i="19"/>
  <c r="AZ85" i="19"/>
  <c r="BF105" i="19"/>
  <c r="AX105" i="19"/>
  <c r="BG95" i="19"/>
  <c r="BP85" i="19"/>
  <c r="BF54" i="19"/>
  <c r="AW105" i="19"/>
  <c r="BI105" i="19" s="1"/>
  <c r="BJ105" i="19" s="1"/>
  <c r="BW105" i="19" s="1"/>
  <c r="BG102" i="19"/>
  <c r="BB61" i="19"/>
  <c r="AZ102" i="19"/>
  <c r="BC102" i="19"/>
  <c r="AZ95" i="19"/>
  <c r="BB25" i="19"/>
  <c r="BE105" i="19"/>
  <c r="BB102" i="19"/>
  <c r="BE102" i="19"/>
  <c r="BG72" i="19"/>
  <c r="BC63" i="19"/>
  <c r="AX95" i="19"/>
  <c r="BP53" i="19"/>
  <c r="BP75" i="19"/>
  <c r="BG25" i="19"/>
  <c r="BH72" i="19"/>
  <c r="BB95" i="19"/>
  <c r="BE95" i="19"/>
  <c r="BP72" i="19"/>
  <c r="BF25" i="19"/>
  <c r="AW25" i="19"/>
  <c r="BI25" i="19" s="1"/>
  <c r="BJ25" i="19" s="1"/>
  <c r="BW25" i="19" s="1"/>
  <c r="BA85" i="19"/>
  <c r="BE25" i="19"/>
  <c r="AY25" i="19"/>
  <c r="BC61" i="19"/>
  <c r="BP102" i="19"/>
  <c r="AW61" i="19"/>
  <c r="BI61" i="19" s="1"/>
  <c r="BJ61" i="19" s="1"/>
  <c r="BW61" i="19" s="1"/>
  <c r="AX85" i="19"/>
  <c r="BD102" i="19"/>
  <c r="BH102" i="19"/>
  <c r="BC95" i="19"/>
  <c r="AX72" i="19"/>
  <c r="BA72" i="19"/>
  <c r="BE72" i="19"/>
  <c r="BF61" i="19"/>
  <c r="BP61" i="19"/>
  <c r="BC53" i="19"/>
  <c r="BP95" i="19"/>
  <c r="BD95" i="19"/>
  <c r="BA95" i="19"/>
  <c r="BP105" i="19"/>
  <c r="AW85" i="19"/>
  <c r="BI85" i="19" s="1"/>
  <c r="BJ85" i="19" s="1"/>
  <c r="BW85" i="19" s="1"/>
  <c r="BG85" i="19"/>
  <c r="BD105" i="19"/>
  <c r="AY85" i="19"/>
  <c r="AY72" i="19"/>
  <c r="BC72" i="19"/>
  <c r="BA63" i="19"/>
  <c r="BA25" i="19"/>
  <c r="BB60" i="19"/>
  <c r="AZ25" i="19"/>
  <c r="BC105" i="19"/>
  <c r="BF85" i="19"/>
  <c r="BA61" i="19"/>
  <c r="AY61" i="19"/>
  <c r="AW102" i="19"/>
  <c r="BI102" i="19" s="1"/>
  <c r="BJ102" i="19" s="1"/>
  <c r="BW102" i="19" s="1"/>
  <c r="AX25" i="19"/>
  <c r="AX53" i="19"/>
  <c r="BE61" i="19"/>
  <c r="BF102" i="19"/>
  <c r="BG36" i="19"/>
  <c r="BH61" i="19"/>
  <c r="BH25" i="19"/>
  <c r="AX18" i="19"/>
  <c r="BF95" i="19"/>
  <c r="AY95" i="19"/>
  <c r="AW95" i="19"/>
  <c r="BI95" i="19" s="1"/>
  <c r="BJ95" i="19" s="1"/>
  <c r="BW95" i="19" s="1"/>
  <c r="BC85" i="19"/>
  <c r="BD85" i="19"/>
  <c r="BG105" i="19"/>
  <c r="BF72" i="19"/>
  <c r="BB85" i="19"/>
  <c r="AZ72" i="19"/>
  <c r="BF53" i="19"/>
  <c r="BD53" i="19"/>
  <c r="BE60" i="19"/>
  <c r="BD72" i="19"/>
  <c r="AY60" i="19"/>
  <c r="AY54" i="19"/>
  <c r="BP25" i="19"/>
  <c r="BP63" i="19"/>
  <c r="AY102" i="19"/>
  <c r="BA54" i="19"/>
  <c r="BA102" i="19"/>
  <c r="BD25" i="19"/>
  <c r="AW36" i="19"/>
  <c r="BI36" i="19" s="1"/>
  <c r="BJ36" i="19" s="1"/>
  <c r="BW36" i="19" s="1"/>
  <c r="BB63" i="19"/>
  <c r="BC89" i="19"/>
  <c r="BP22" i="19"/>
  <c r="AX64" i="19"/>
  <c r="BW23" i="19"/>
  <c r="AY84" i="19"/>
  <c r="AY49" i="19"/>
  <c r="BG63" i="19"/>
  <c r="AZ45" i="19"/>
  <c r="BG53" i="19"/>
  <c r="AZ63" i="19"/>
  <c r="AZ53" i="19"/>
  <c r="AW63" i="19"/>
  <c r="BI63" i="19" s="1"/>
  <c r="BJ63" i="19" s="1"/>
  <c r="BW63" i="19" s="1"/>
  <c r="BE53" i="19"/>
  <c r="BE63" i="19"/>
  <c r="BF38" i="19"/>
  <c r="BG61" i="19"/>
  <c r="BB53" i="19"/>
  <c r="BG49" i="19"/>
  <c r="BD61" i="19"/>
  <c r="BE85" i="19"/>
  <c r="AY63" i="19"/>
  <c r="AW53" i="19"/>
  <c r="BI53" i="19" s="1"/>
  <c r="BJ53" i="19" s="1"/>
  <c r="BW53" i="19" s="1"/>
  <c r="BD63" i="19"/>
  <c r="AX54" i="19"/>
  <c r="BF63" i="19"/>
  <c r="AY53" i="19"/>
  <c r="AX61" i="19"/>
  <c r="BG54" i="19"/>
  <c r="BA87" i="19"/>
  <c r="AZ22" i="19"/>
  <c r="BF86" i="19"/>
  <c r="BD38" i="19"/>
  <c r="BC62" i="19"/>
  <c r="AW22" i="19"/>
  <c r="BI22" i="19" s="1"/>
  <c r="BJ22" i="19" s="1"/>
  <c r="BW22" i="19" s="1"/>
  <c r="BF25" i="20"/>
  <c r="BC18" i="19"/>
  <c r="BA7" i="19"/>
  <c r="AX82" i="19"/>
  <c r="BD97" i="19"/>
  <c r="AW29" i="19"/>
  <c r="BI29" i="19" s="1"/>
  <c r="BJ29" i="19" s="1"/>
  <c r="BW29" i="19" s="1"/>
  <c r="BG22" i="19"/>
  <c r="AY86" i="19"/>
  <c r="BA36" i="19"/>
  <c r="BF42" i="19"/>
  <c r="AZ29" i="19"/>
  <c r="AY22" i="19"/>
  <c r="BC97" i="19"/>
  <c r="AY45" i="19"/>
  <c r="BH22" i="19"/>
  <c r="BG79" i="19"/>
  <c r="AY7" i="19"/>
  <c r="BD29" i="19"/>
  <c r="BB17" i="19"/>
  <c r="BC29" i="19"/>
  <c r="AX58" i="19"/>
  <c r="AX24" i="19"/>
  <c r="AX17" i="19"/>
  <c r="AX22" i="19"/>
  <c r="BE22" i="19"/>
  <c r="AW46" i="19"/>
  <c r="BI46" i="19" s="1"/>
  <c r="BJ46" i="19" s="1"/>
  <c r="BW46" i="19" s="1"/>
  <c r="BB22" i="19"/>
  <c r="BB86" i="19"/>
  <c r="BD7" i="19"/>
  <c r="BF22" i="19"/>
  <c r="BE17" i="19"/>
  <c r="BC22" i="19"/>
  <c r="AW89" i="19"/>
  <c r="BI89" i="19" s="1"/>
  <c r="BJ89" i="19" s="1"/>
  <c r="BW89" i="19" s="1"/>
  <c r="BC7" i="19"/>
  <c r="BB74" i="19"/>
  <c r="BG101" i="19"/>
  <c r="BC79" i="19"/>
  <c r="AX29" i="19"/>
  <c r="BD49" i="19"/>
  <c r="BC49" i="19"/>
  <c r="BP49" i="19"/>
  <c r="BP86" i="19"/>
  <c r="BP7" i="19"/>
  <c r="AZ7" i="19"/>
  <c r="BP79" i="19"/>
  <c r="BC54" i="19"/>
  <c r="BP54" i="19"/>
  <c r="AZ54" i="19"/>
  <c r="BB54" i="19"/>
  <c r="AZ86" i="19"/>
  <c r="BG29" i="19"/>
  <c r="AY98" i="19"/>
  <c r="BE46" i="19"/>
  <c r="AZ49" i="19"/>
  <c r="BF29" i="19"/>
  <c r="BF7" i="19"/>
  <c r="AX7" i="19"/>
  <c r="AW7" i="19"/>
  <c r="BI7" i="19" s="1"/>
  <c r="BJ7" i="19" s="1"/>
  <c r="BW7" i="19" s="1"/>
  <c r="BP29" i="19"/>
  <c r="AY79" i="19"/>
  <c r="BD86" i="19"/>
  <c r="AY17" i="19"/>
  <c r="AX86" i="19"/>
  <c r="AW49" i="19"/>
  <c r="BI49" i="19" s="1"/>
  <c r="BJ49" i="19" s="1"/>
  <c r="BW49" i="19" s="1"/>
  <c r="AX49" i="19"/>
  <c r="BF49" i="19"/>
  <c r="BG86" i="19"/>
  <c r="AZ98" i="19"/>
  <c r="BA49" i="19"/>
  <c r="BW69" i="19"/>
  <c r="BH49" i="19"/>
  <c r="BB7" i="19"/>
  <c r="BG7" i="19"/>
  <c r="BE7" i="19"/>
  <c r="AZ75" i="19"/>
  <c r="AW79" i="19"/>
  <c r="BI79" i="19" s="1"/>
  <c r="BJ79" i="19" s="1"/>
  <c r="BW79" i="19" s="1"/>
  <c r="AY29" i="19"/>
  <c r="BB29" i="19"/>
  <c r="BE29" i="19"/>
  <c r="BA29" i="19"/>
  <c r="BE86" i="19"/>
  <c r="BE49" i="19"/>
  <c r="AW86" i="19"/>
  <c r="BI86" i="19" s="1"/>
  <c r="BJ86" i="19" s="1"/>
  <c r="BW86" i="19" s="1"/>
  <c r="BC86" i="19"/>
  <c r="BA86" i="19"/>
  <c r="BF18" i="19"/>
  <c r="AY62" i="19"/>
  <c r="AY75" i="19"/>
  <c r="BG75" i="19"/>
  <c r="BF79" i="19"/>
  <c r="AX35" i="19"/>
  <c r="AX79" i="19"/>
  <c r="BC98" i="19"/>
  <c r="AZ42" i="19"/>
  <c r="BW80" i="19"/>
  <c r="BH79" i="19"/>
  <c r="BG87" i="19"/>
  <c r="BF82" i="19"/>
  <c r="BD75" i="19"/>
  <c r="BD79" i="19"/>
  <c r="BA97" i="19"/>
  <c r="BB79" i="19"/>
  <c r="BE79" i="19"/>
  <c r="AZ79" i="19"/>
  <c r="BF45" i="19"/>
  <c r="AX45" i="19"/>
  <c r="BW9" i="19"/>
  <c r="BG38" i="19"/>
  <c r="BA98" i="19"/>
  <c r="BC87" i="19"/>
  <c r="BB62" i="19"/>
  <c r="BP10" i="19"/>
  <c r="BC24" i="19"/>
  <c r="BD60" i="19"/>
  <c r="BG97" i="19"/>
  <c r="AX60" i="19"/>
  <c r="BF75" i="19"/>
  <c r="AX75" i="19"/>
  <c r="BE45" i="19"/>
  <c r="BA45" i="19"/>
  <c r="BC14" i="19"/>
  <c r="AX14" i="19"/>
  <c r="BD98" i="19"/>
  <c r="AY14" i="19"/>
  <c r="AW84" i="19"/>
  <c r="BI84" i="19" s="1"/>
  <c r="BJ84" i="19" s="1"/>
  <c r="BW84" i="19" s="1"/>
  <c r="AW98" i="19"/>
  <c r="BI98" i="19" s="1"/>
  <c r="BJ98" i="19" s="1"/>
  <c r="BW98" i="19" s="1"/>
  <c r="AZ84" i="19"/>
  <c r="BP45" i="19"/>
  <c r="BH60" i="19"/>
  <c r="BP60" i="19"/>
  <c r="AW60" i="19"/>
  <c r="BI60" i="19" s="1"/>
  <c r="BJ60" i="19" s="1"/>
  <c r="BW60" i="19" s="1"/>
  <c r="BB58" i="19"/>
  <c r="BP14" i="19"/>
  <c r="BP84" i="19"/>
  <c r="BA46" i="19"/>
  <c r="BG82" i="19"/>
  <c r="BA60" i="19"/>
  <c r="BC75" i="19"/>
  <c r="BB97" i="19"/>
  <c r="BC60" i="19"/>
  <c r="AZ60" i="19"/>
  <c r="AX97" i="19"/>
  <c r="BE97" i="19"/>
  <c r="BG60" i="19"/>
  <c r="BF14" i="19"/>
  <c r="BP98" i="19"/>
  <c r="AX84" i="19"/>
  <c r="BC84" i="19"/>
  <c r="BF46" i="19"/>
  <c r="BW41" i="19"/>
  <c r="BG92" i="19"/>
  <c r="BH92" i="19"/>
  <c r="BP20" i="19"/>
  <c r="BH20" i="19"/>
  <c r="BB36" i="19"/>
  <c r="BH36" i="19"/>
  <c r="BD42" i="19"/>
  <c r="BH42" i="19"/>
  <c r="BD35" i="19"/>
  <c r="BH35" i="19"/>
  <c r="BB64" i="19"/>
  <c r="BH64" i="19"/>
  <c r="BD18" i="19"/>
  <c r="BE18" i="19"/>
  <c r="BB18" i="19"/>
  <c r="AY64" i="19"/>
  <c r="BF64" i="19"/>
  <c r="BG20" i="19"/>
  <c r="BA35" i="19"/>
  <c r="BF35" i="19"/>
  <c r="BE35" i="19"/>
  <c r="AW106" i="19"/>
  <c r="BI106" i="19" s="1"/>
  <c r="BJ106" i="19" s="1"/>
  <c r="BW106" i="19" s="1"/>
  <c r="B276" i="2" s="1"/>
  <c r="BH106" i="19"/>
  <c r="BG35" i="19"/>
  <c r="BE36" i="19"/>
  <c r="BP36" i="19"/>
  <c r="AY36" i="19"/>
  <c r="BA42" i="19"/>
  <c r="BW51" i="19"/>
  <c r="BC58" i="19"/>
  <c r="BH58" i="19"/>
  <c r="BG24" i="19"/>
  <c r="BH24" i="19"/>
  <c r="AY88" i="19"/>
  <c r="BH88" i="19"/>
  <c r="BP46" i="19"/>
  <c r="BH46" i="19"/>
  <c r="AW10" i="19"/>
  <c r="BI10" i="19" s="1"/>
  <c r="BJ10" i="19" s="1"/>
  <c r="BW10" i="19" s="1"/>
  <c r="BH10" i="19"/>
  <c r="BE84" i="19"/>
  <c r="BH84" i="19"/>
  <c r="BG14" i="19"/>
  <c r="BH14" i="19"/>
  <c r="BG18" i="19"/>
  <c r="AW18" i="19"/>
  <c r="BI18" i="19" s="1"/>
  <c r="BJ18" i="19" s="1"/>
  <c r="BW18" i="19" s="1"/>
  <c r="BA18" i="19"/>
  <c r="BG10" i="19"/>
  <c r="AZ10" i="19"/>
  <c r="AW19" i="19"/>
  <c r="BI19" i="19" s="1"/>
  <c r="BJ19" i="19" s="1"/>
  <c r="BW19" i="19" s="1"/>
  <c r="BH19" i="19"/>
  <c r="AZ64" i="19"/>
  <c r="AW64" i="19"/>
  <c r="BI64" i="19" s="1"/>
  <c r="BJ64" i="19" s="1"/>
  <c r="BW64" i="19" s="1"/>
  <c r="BD24" i="19"/>
  <c r="BC20" i="19"/>
  <c r="BE64" i="19"/>
  <c r="AZ14" i="19"/>
  <c r="AW14" i="19"/>
  <c r="BI14" i="19" s="1"/>
  <c r="BJ14" i="19" s="1"/>
  <c r="BW14" i="19" s="1"/>
  <c r="AZ35" i="19"/>
  <c r="BA92" i="19"/>
  <c r="AY92" i="19"/>
  <c r="BD14" i="19"/>
  <c r="AX92" i="19"/>
  <c r="AZ46" i="19"/>
  <c r="BF36" i="19"/>
  <c r="BE42" i="19"/>
  <c r="BD36" i="19"/>
  <c r="BP42" i="19"/>
  <c r="AX42" i="19"/>
  <c r="BB84" i="19"/>
  <c r="BA84" i="19"/>
  <c r="BA82" i="19"/>
  <c r="BH82" i="19"/>
  <c r="BF62" i="19"/>
  <c r="BH62" i="19"/>
  <c r="BB38" i="19"/>
  <c r="BH38" i="19"/>
  <c r="BP87" i="19"/>
  <c r="BH87" i="19"/>
  <c r="BD45" i="19"/>
  <c r="BH45" i="19"/>
  <c r="BP97" i="19"/>
  <c r="BH97" i="19"/>
  <c r="BG98" i="19"/>
  <c r="BH98" i="19"/>
  <c r="BB75" i="19"/>
  <c r="BH75" i="19"/>
  <c r="BB87" i="19"/>
  <c r="AY87" i="19"/>
  <c r="AZ18" i="19"/>
  <c r="BP18" i="19"/>
  <c r="AY18" i="19"/>
  <c r="AX62" i="19"/>
  <c r="AZ62" i="19"/>
  <c r="BE10" i="19"/>
  <c r="BC10" i="19"/>
  <c r="BC82" i="19"/>
  <c r="BA88" i="19"/>
  <c r="AY82" i="19"/>
  <c r="BE75" i="19"/>
  <c r="BD64" i="19"/>
  <c r="BG64" i="19"/>
  <c r="BF97" i="19"/>
  <c r="AW75" i="19"/>
  <c r="BI75" i="19" s="1"/>
  <c r="BJ75" i="19" s="1"/>
  <c r="BW75" i="19" s="1"/>
  <c r="BP64" i="19"/>
  <c r="BC64" i="19"/>
  <c r="BB45" i="19"/>
  <c r="AZ97" i="19"/>
  <c r="AW97" i="19"/>
  <c r="BI97" i="19" s="1"/>
  <c r="BJ97" i="19" s="1"/>
  <c r="BW97" i="19" s="1"/>
  <c r="BC45" i="19"/>
  <c r="BB14" i="19"/>
  <c r="AW35" i="19"/>
  <c r="BI35" i="19" s="1"/>
  <c r="BJ35" i="19" s="1"/>
  <c r="BW35" i="19" s="1"/>
  <c r="BP35" i="19"/>
  <c r="BE14" i="19"/>
  <c r="BF92" i="19"/>
  <c r="BP38" i="19"/>
  <c r="BB98" i="19"/>
  <c r="BF98" i="19"/>
  <c r="BF20" i="19"/>
  <c r="AX98" i="19"/>
  <c r="AY35" i="19"/>
  <c r="BD84" i="19"/>
  <c r="AW42" i="19"/>
  <c r="BI42" i="19" s="1"/>
  <c r="BJ42" i="19" s="1"/>
  <c r="BW42" i="19" s="1"/>
  <c r="AZ36" i="19"/>
  <c r="BG42" i="19"/>
  <c r="AX36" i="19"/>
  <c r="BC42" i="19"/>
  <c r="AY42" i="19"/>
  <c r="BC46" i="19"/>
  <c r="BF84" i="19"/>
  <c r="BB35" i="19"/>
  <c r="BG45" i="19"/>
  <c r="AZ82" i="19"/>
  <c r="BW48" i="19"/>
  <c r="BW21" i="19"/>
  <c r="AY74" i="19"/>
  <c r="BH74" i="19"/>
  <c r="AY89" i="19"/>
  <c r="BH89" i="19"/>
  <c r="AY101" i="19"/>
  <c r="BH101" i="19"/>
  <c r="BA17" i="19"/>
  <c r="BH17" i="19"/>
  <c r="AY105" i="19"/>
  <c r="BH105" i="19"/>
  <c r="BE54" i="19"/>
  <c r="BH54" i="19"/>
  <c r="BD89" i="19"/>
  <c r="AX10" i="19"/>
  <c r="BD10" i="19"/>
  <c r="AY10" i="19"/>
  <c r="BC74" i="19"/>
  <c r="BE88" i="19"/>
  <c r="AW24" i="19"/>
  <c r="BI24" i="19" s="1"/>
  <c r="BJ24" i="19" s="1"/>
  <c r="BW24" i="19" s="1"/>
  <c r="BC17" i="19"/>
  <c r="BB24" i="19"/>
  <c r="BP17" i="19"/>
  <c r="BE24" i="19"/>
  <c r="AZ17" i="19"/>
  <c r="BB88" i="19"/>
  <c r="BB46" i="19"/>
  <c r="BG17" i="19"/>
  <c r="BD17" i="19"/>
  <c r="BF89" i="19"/>
  <c r="AZ89" i="19"/>
  <c r="BE101" i="19"/>
  <c r="BA10" i="19"/>
  <c r="BF10" i="19"/>
  <c r="BP101" i="19"/>
  <c r="AW101" i="19"/>
  <c r="BI101" i="19" s="1"/>
  <c r="BJ101" i="19" s="1"/>
  <c r="BW101" i="19" s="1"/>
  <c r="AY24" i="19"/>
  <c r="BF24" i="19"/>
  <c r="BF58" i="19"/>
  <c r="BA24" i="19"/>
  <c r="BP58" i="19"/>
  <c r="BF17" i="19"/>
  <c r="BF88" i="19"/>
  <c r="BC101" i="19"/>
  <c r="AY46" i="19"/>
  <c r="AY58" i="19"/>
  <c r="AX46" i="19"/>
  <c r="BD46" i="19"/>
  <c r="AZ24" i="19"/>
  <c r="BE89" i="19"/>
  <c r="BB89" i="19"/>
  <c r="BA89" i="19"/>
  <c r="BG74" i="19"/>
  <c r="BE74" i="19"/>
  <c r="AX101" i="19"/>
  <c r="BP88" i="19"/>
  <c r="BF101" i="19"/>
  <c r="AX88" i="19"/>
  <c r="BA74" i="19"/>
  <c r="BB101" i="19"/>
  <c r="AW88" i="19"/>
  <c r="BI88" i="19" s="1"/>
  <c r="BJ88" i="19" s="1"/>
  <c r="BW88" i="19" s="1"/>
  <c r="BA58" i="19"/>
  <c r="BF74" i="19"/>
  <c r="AZ58" i="19"/>
  <c r="BE58" i="19"/>
  <c r="BD74" i="19"/>
  <c r="BG89" i="19"/>
  <c r="AX89" i="19"/>
  <c r="BD101" i="19"/>
  <c r="AW74" i="19"/>
  <c r="BI74" i="19" s="1"/>
  <c r="BJ74" i="19" s="1"/>
  <c r="BW74" i="19" s="1"/>
  <c r="AZ88" i="19"/>
  <c r="BA101" i="19"/>
  <c r="AX74" i="19"/>
  <c r="BG88" i="19"/>
  <c r="BG58" i="19"/>
  <c r="BD58" i="19"/>
  <c r="BD88" i="19"/>
  <c r="BP74" i="19"/>
  <c r="BD20" i="19"/>
  <c r="BD87" i="19"/>
  <c r="AW87" i="19"/>
  <c r="BI87" i="19" s="1"/>
  <c r="BJ87" i="19" s="1"/>
  <c r="BW87" i="19" s="1"/>
  <c r="AZ87" i="19"/>
  <c r="BD62" i="19"/>
  <c r="BE62" i="19"/>
  <c r="BA62" i="19"/>
  <c r="BE82" i="19"/>
  <c r="AW82" i="19"/>
  <c r="BI82" i="19" s="1"/>
  <c r="BJ82" i="19" s="1"/>
  <c r="BW82" i="19" s="1"/>
  <c r="BE20" i="19"/>
  <c r="AZ20" i="19"/>
  <c r="BD92" i="19"/>
  <c r="AZ38" i="19"/>
  <c r="AZ92" i="19"/>
  <c r="AX38" i="19"/>
  <c r="BA38" i="19"/>
  <c r="BE38" i="19"/>
  <c r="AX20" i="19"/>
  <c r="BA20" i="19"/>
  <c r="BP92" i="19"/>
  <c r="AW20" i="19"/>
  <c r="BI20" i="19" s="1"/>
  <c r="BJ20" i="19" s="1"/>
  <c r="BW20" i="19" s="1"/>
  <c r="BE87" i="19"/>
  <c r="AX87" i="19"/>
  <c r="AW62" i="19"/>
  <c r="BI62" i="19" s="1"/>
  <c r="BJ62" i="19" s="1"/>
  <c r="BW62" i="19" s="1"/>
  <c r="BP62" i="19"/>
  <c r="BD82" i="19"/>
  <c r="BP82" i="19"/>
  <c r="AY20" i="19"/>
  <c r="BB20" i="19"/>
  <c r="BC92" i="19"/>
  <c r="BB92" i="19"/>
  <c r="BC38" i="19"/>
  <c r="AW38" i="19"/>
  <c r="BI38" i="19" s="1"/>
  <c r="BJ38" i="19" s="1"/>
  <c r="BW38" i="19" s="1"/>
  <c r="BF23" i="20"/>
  <c r="BF78" i="20"/>
  <c r="BF70" i="20"/>
  <c r="BF11" i="20"/>
  <c r="BF21" i="20"/>
  <c r="BF97" i="20"/>
  <c r="BW12" i="19"/>
  <c r="BW92" i="19"/>
  <c r="BF12" i="20"/>
  <c r="BF6" i="20"/>
  <c r="F95" i="20"/>
  <c r="BF45" i="20"/>
  <c r="BF59" i="20"/>
  <c r="BF72" i="20"/>
  <c r="BF36" i="20"/>
  <c r="BF100" i="20"/>
  <c r="BF92" i="20"/>
  <c r="BF60" i="20"/>
  <c r="BF27" i="20"/>
  <c r="BF29" i="20"/>
  <c r="BF42" i="20"/>
  <c r="BG56" i="20"/>
  <c r="BH56" i="20" s="1"/>
  <c r="BW56" i="19" s="1"/>
  <c r="B279" i="2" s="1"/>
  <c r="BF65" i="20"/>
  <c r="BF19" i="20"/>
  <c r="BF41" i="20"/>
  <c r="BW15" i="19"/>
  <c r="BF87" i="20"/>
  <c r="BF98" i="20"/>
  <c r="BF56" i="20"/>
  <c r="BF94" i="20"/>
  <c r="BF34" i="20"/>
  <c r="BF40" i="20"/>
  <c r="BF76" i="20"/>
  <c r="BW58" i="19"/>
  <c r="BG81" i="20"/>
  <c r="BH81" i="20" s="1"/>
  <c r="BW81" i="19" s="1"/>
  <c r="BF51" i="20"/>
  <c r="BF81" i="20"/>
  <c r="BF93" i="20"/>
  <c r="BF48" i="20"/>
  <c r="BF85" i="20"/>
  <c r="BF88" i="20"/>
  <c r="BF53" i="20"/>
  <c r="BF58" i="20"/>
  <c r="BF35" i="20"/>
  <c r="F96" i="20"/>
  <c r="BF57" i="20"/>
  <c r="BF47" i="20"/>
  <c r="BF38" i="20"/>
  <c r="BF46" i="20"/>
  <c r="BF10" i="20"/>
  <c r="BF91" i="20"/>
  <c r="BF16" i="20"/>
  <c r="BF90" i="20"/>
  <c r="BF83" i="20"/>
  <c r="BF69" i="20"/>
  <c r="BF37" i="20"/>
  <c r="BF80" i="20"/>
  <c r="BF103" i="20"/>
  <c r="BF15" i="20"/>
  <c r="BF66" i="20"/>
  <c r="BF106" i="19"/>
  <c r="BF96" i="20"/>
  <c r="BF18" i="20"/>
  <c r="BF105" i="20"/>
  <c r="BF9" i="20"/>
  <c r="BG106" i="19"/>
  <c r="AZ106" i="19"/>
  <c r="AY106" i="19"/>
  <c r="BA106" i="19"/>
  <c r="BD106" i="19"/>
  <c r="BR106" i="19"/>
  <c r="BX106" i="19" s="1"/>
  <c r="BE106" i="19"/>
  <c r="AX106" i="19"/>
  <c r="BC106" i="19"/>
  <c r="BP106" i="19"/>
  <c r="BB106" i="19"/>
  <c r="B26" i="2"/>
  <c r="E50" i="1" s="1"/>
  <c r="BF99" i="20"/>
  <c r="BF63" i="20"/>
  <c r="BE19" i="19"/>
  <c r="BD19" i="19"/>
  <c r="AY19" i="19"/>
  <c r="BF19" i="19"/>
  <c r="BB19" i="19"/>
  <c r="AZ19" i="19"/>
  <c r="BG19" i="19"/>
  <c r="BC19" i="19"/>
  <c r="AX19" i="19"/>
  <c r="BP19" i="19"/>
  <c r="BA19" i="19"/>
  <c r="AX32" i="19"/>
  <c r="AY32" i="19"/>
  <c r="BC32" i="19"/>
  <c r="BA32" i="19"/>
  <c r="AZ32" i="19"/>
  <c r="BE32" i="19"/>
  <c r="BD32" i="19"/>
  <c r="BF32" i="19"/>
  <c r="AW32" i="19"/>
  <c r="BI32" i="19" s="1"/>
  <c r="BJ32" i="19" s="1"/>
  <c r="BW32" i="19" s="1"/>
  <c r="BP32" i="19"/>
  <c r="BB32" i="19"/>
  <c r="BG32" i="19"/>
  <c r="BD13" i="19"/>
  <c r="AX13" i="19"/>
  <c r="AY13" i="19"/>
  <c r="BC13" i="19"/>
  <c r="BE13" i="19"/>
  <c r="BF13" i="19"/>
  <c r="AW13" i="19"/>
  <c r="BI13" i="19" s="1"/>
  <c r="BJ13" i="19" s="1"/>
  <c r="BW13" i="19" s="1"/>
  <c r="AZ13" i="19"/>
  <c r="BB13" i="19"/>
  <c r="BA13" i="19"/>
  <c r="BP13" i="19"/>
  <c r="BG13" i="19"/>
  <c r="AZ40" i="19"/>
  <c r="BE40" i="19"/>
  <c r="BA40" i="19"/>
  <c r="AY40" i="19"/>
  <c r="AW40" i="19"/>
  <c r="BI40" i="19" s="1"/>
  <c r="BJ40" i="19" s="1"/>
  <c r="BW40" i="19" s="1"/>
  <c r="BC40" i="19"/>
  <c r="BP40" i="19"/>
  <c r="AX40" i="19"/>
  <c r="BD40" i="19"/>
  <c r="BB40" i="19"/>
  <c r="BF40" i="19"/>
  <c r="BG40" i="19"/>
  <c r="BC73" i="19"/>
  <c r="AZ73" i="19"/>
  <c r="BE73" i="19"/>
  <c r="AW73" i="19"/>
  <c r="BI73" i="19" s="1"/>
  <c r="BJ73" i="19" s="1"/>
  <c r="BW73" i="19" s="1"/>
  <c r="AX73" i="19"/>
  <c r="AY73" i="19"/>
  <c r="BA73" i="19"/>
  <c r="BD73" i="19"/>
  <c r="BB73" i="19"/>
  <c r="BP73" i="19"/>
  <c r="BG73" i="19"/>
  <c r="BF73" i="19"/>
  <c r="AZ39" i="19"/>
  <c r="BE39" i="19"/>
  <c r="BA39" i="19"/>
  <c r="BP39" i="19"/>
  <c r="AY39" i="19"/>
  <c r="BB39" i="19"/>
  <c r="AX39" i="19"/>
  <c r="AW39" i="19"/>
  <c r="BI39" i="19" s="1"/>
  <c r="BJ39" i="19" s="1"/>
  <c r="BW39" i="19" s="1"/>
  <c r="BD39" i="19"/>
  <c r="BC39" i="19"/>
  <c r="BG39" i="19"/>
  <c r="BF39" i="19"/>
  <c r="F66" i="19" l="1"/>
  <c r="E51"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Timothy Hegarty</author>
  </authors>
  <commentList>
    <comment ref="A3" authorId="0" shapeId="0" xr:uid="{00000000-0006-0000-0000-000001000000}">
      <text>
        <r>
          <rPr>
            <b/>
            <sz val="11"/>
            <color indexed="10"/>
            <rFont val="Tahoma"/>
            <family val="2"/>
          </rPr>
          <t>Welcome to the LM5165 Design Tool</t>
        </r>
        <r>
          <rPr>
            <sz val="9"/>
            <color indexed="81"/>
            <rFont val="Tahoma"/>
            <family val="2"/>
          </rPr>
          <t xml:space="preserve">
This stand-alone tool facilitates and assists the power supply engineer with design of a DC/DC buck converter based on the </t>
        </r>
        <r>
          <rPr>
            <b/>
            <sz val="9"/>
            <color indexed="81"/>
            <rFont val="Tahoma"/>
            <family val="2"/>
          </rPr>
          <t>LM5165 low I</t>
        </r>
        <r>
          <rPr>
            <b/>
            <vertAlign val="subscript"/>
            <sz val="9"/>
            <color indexed="81"/>
            <rFont val="Tahoma"/>
            <family val="2"/>
          </rPr>
          <t>Q</t>
        </r>
        <r>
          <rPr>
            <b/>
            <sz val="9"/>
            <color indexed="81"/>
            <rFont val="Tahoma"/>
            <family val="2"/>
          </rPr>
          <t xml:space="preserve"> synchronous buck DC/DC regulator</t>
        </r>
        <r>
          <rPr>
            <sz val="9"/>
            <color indexed="81"/>
            <rFont val="Tahoma"/>
            <family val="2"/>
          </rPr>
          <t xml:space="preserve">. As such, the user can expeditiously arrive at an optimized design by virtue of the following:
- Determine filter inductance and input and output filter capacitances for a given operating mode (PFM or COT)
- Optimize the design using efficiency and solution size as key performance metrics
- Select components for soft-start, input UVLO, current limit and switching frequency
- Inspect converter efficiency and component power dissipation
- Analyze efficiency based on selected component parameters
- Review auto-generated schematic and BOM list
</t>
        </r>
        <r>
          <rPr>
            <b/>
            <sz val="9"/>
            <color indexed="81"/>
            <rFont val="Tahoma"/>
            <family val="2"/>
          </rPr>
          <t>IMPORTANT:</t>
        </r>
        <r>
          <rPr>
            <sz val="9"/>
            <color indexed="81"/>
            <rFont val="Tahoma"/>
            <family val="2"/>
          </rPr>
          <t xml:space="preserve"> You must enable macros if Microsoft EXCEL asks as the file is being opened.
U.S. English notation is used throughout.
</t>
        </r>
        <r>
          <rPr>
            <u/>
            <sz val="9"/>
            <color indexed="12"/>
            <rFont val="Tahoma"/>
            <family val="2"/>
          </rPr>
          <t>http://www.ti.com/widevin/</t>
        </r>
        <r>
          <rPr>
            <sz val="9"/>
            <color indexed="81"/>
            <rFont val="Tahoma"/>
            <family val="2"/>
          </rPr>
          <t xml:space="preserve">
</t>
        </r>
        <r>
          <rPr>
            <b/>
            <sz val="9"/>
            <color indexed="81"/>
            <rFont val="Tahoma"/>
            <family val="2"/>
          </rPr>
          <t xml:space="preserve">
Rev 59, Timothy Hegarty, Texas Instruments, Inc.</t>
        </r>
      </text>
    </comment>
    <comment ref="O3" authorId="0" shapeId="0" xr:uid="{00000000-0006-0000-0000-000002000000}">
      <text>
        <r>
          <rPr>
            <b/>
            <u/>
            <sz val="11"/>
            <color indexed="10"/>
            <rFont val="Tahoma"/>
            <family val="2"/>
          </rPr>
          <t>Texas Instruments</t>
        </r>
        <r>
          <rPr>
            <sz val="11"/>
            <color indexed="10"/>
            <rFont val="Tahoma"/>
            <family val="2"/>
          </rPr>
          <t>:</t>
        </r>
        <r>
          <rPr>
            <sz val="9"/>
            <color indexed="81"/>
            <rFont val="Tahoma"/>
            <family val="2"/>
          </rPr>
          <t xml:space="preserve">
</t>
        </r>
        <r>
          <rPr>
            <b/>
            <sz val="9"/>
            <color indexed="81"/>
            <rFont val="Tahoma"/>
            <family val="2"/>
          </rPr>
          <t>Limited Use Policy</t>
        </r>
        <r>
          <rPr>
            <sz val="9"/>
            <color indexed="81"/>
            <rFont val="Tahoma"/>
            <family val="2"/>
          </rPr>
          <t xml:space="preserve">
You must treat this software and documentation like any other copyrighted material.
</t>
        </r>
        <r>
          <rPr>
            <b/>
            <sz val="9"/>
            <color indexed="81"/>
            <rFont val="Tahoma"/>
            <family val="2"/>
          </rPr>
          <t>You may not:</t>
        </r>
        <r>
          <rPr>
            <sz val="9"/>
            <color indexed="81"/>
            <rFont val="Tahoma"/>
            <family val="2"/>
          </rPr>
          <t xml:space="preserve">
- Copy documentation of the software
- Copy this software except to make archival or backup copies
- Reverse engineer, disassemble, decompile or make any attempt to discover the source code of the software 
- Place the software onto a server so that it is accessible via a public network such as the internet 
- Sublicense, rent, lease or lend any portion of the software or documentation.
Texas Instruments is not responsible for the validity of any design created with this design tool and recommends that all designs be fully tested and carefully verified. Refer to the LM5165 product datasheet and EVM user's guide for more details.
</t>
        </r>
        <r>
          <rPr>
            <b/>
            <sz val="9"/>
            <color indexed="81"/>
            <rFont val="Tahoma"/>
            <family val="2"/>
          </rPr>
          <t>Rev 59, Timothy Hegarty, Texas Instruments, Inc.</t>
        </r>
      </text>
    </comment>
    <comment ref="F6" authorId="0" shapeId="0" xr:uid="{00000000-0006-0000-0000-000003000000}">
      <text>
        <r>
          <rPr>
            <b/>
            <u/>
            <sz val="9"/>
            <color indexed="81"/>
            <rFont val="Tahoma"/>
            <family val="2"/>
          </rPr>
          <t>Minimum Input Voltage</t>
        </r>
        <r>
          <rPr>
            <b/>
            <sz val="9"/>
            <color indexed="81"/>
            <rFont val="Tahoma"/>
            <family val="2"/>
          </rPr>
          <t>:</t>
        </r>
        <r>
          <rPr>
            <sz val="9"/>
            <color indexed="81"/>
            <rFont val="Tahoma"/>
            <family val="2"/>
          </rPr>
          <t xml:space="preserve">
Enter the minimum input operating voltage.
The LM5165 input operating voltage range is 3V to 65V.
</t>
        </r>
        <r>
          <rPr>
            <b/>
            <sz val="9"/>
            <color indexed="81"/>
            <rFont val="Tahoma"/>
            <family val="2"/>
          </rPr>
          <t>The text in this cell is red if:</t>
        </r>
        <r>
          <rPr>
            <sz val="9"/>
            <color indexed="81"/>
            <rFont val="Tahoma"/>
            <family val="2"/>
          </rPr>
          <t xml:space="preserve">
-The input voltage is above </t>
        </r>
        <r>
          <rPr>
            <b/>
            <sz val="9"/>
            <color indexed="10"/>
            <rFont val="Tahoma"/>
            <family val="2"/>
          </rPr>
          <t>65V</t>
        </r>
        <r>
          <rPr>
            <sz val="9"/>
            <color indexed="81"/>
            <rFont val="Tahoma"/>
            <family val="2"/>
          </rPr>
          <t xml:space="preserve">
-The input voltage is below </t>
        </r>
        <r>
          <rPr>
            <b/>
            <sz val="9"/>
            <color indexed="10"/>
            <rFont val="Tahoma"/>
            <family val="2"/>
          </rPr>
          <t>3V</t>
        </r>
      </text>
    </comment>
    <comment ref="F7" authorId="0" shapeId="0" xr:uid="{00000000-0006-0000-0000-000004000000}">
      <text>
        <r>
          <rPr>
            <b/>
            <u/>
            <sz val="9"/>
            <color indexed="81"/>
            <rFont val="Tahoma"/>
            <family val="2"/>
          </rPr>
          <t>Nominal Input Voltage</t>
        </r>
        <r>
          <rPr>
            <b/>
            <sz val="9"/>
            <color indexed="81"/>
            <rFont val="Tahoma"/>
            <family val="2"/>
          </rPr>
          <t>:</t>
        </r>
        <r>
          <rPr>
            <sz val="9"/>
            <color indexed="81"/>
            <rFont val="Tahoma"/>
            <family val="2"/>
          </rPr>
          <t xml:space="preserve">
Enter the nominal input operating voltage.
The LM5165 input operating voltage range is 3V to 65V.
</t>
        </r>
        <r>
          <rPr>
            <b/>
            <sz val="9"/>
            <color indexed="81"/>
            <rFont val="Tahoma"/>
            <family val="2"/>
          </rPr>
          <t>The text in this cell is red if:</t>
        </r>
        <r>
          <rPr>
            <sz val="9"/>
            <color indexed="81"/>
            <rFont val="Tahoma"/>
            <family val="2"/>
          </rPr>
          <t xml:space="preserve">
-The input voltage is above </t>
        </r>
        <r>
          <rPr>
            <b/>
            <sz val="9"/>
            <color indexed="10"/>
            <rFont val="Tahoma"/>
            <family val="2"/>
          </rPr>
          <t>65V</t>
        </r>
        <r>
          <rPr>
            <sz val="9"/>
            <color indexed="81"/>
            <rFont val="Tahoma"/>
            <family val="2"/>
          </rPr>
          <t xml:space="preserve">
-The input voltage is below </t>
        </r>
        <r>
          <rPr>
            <b/>
            <sz val="9"/>
            <color indexed="10"/>
            <rFont val="Tahoma"/>
            <family val="2"/>
          </rPr>
          <t>3V</t>
        </r>
      </text>
    </comment>
    <comment ref="F8" authorId="0" shapeId="0" xr:uid="{00000000-0006-0000-0000-000005000000}">
      <text>
        <r>
          <rPr>
            <b/>
            <u/>
            <sz val="9"/>
            <color indexed="81"/>
            <rFont val="Tahoma"/>
            <family val="2"/>
          </rPr>
          <t>Maximum Input Voltage</t>
        </r>
        <r>
          <rPr>
            <b/>
            <sz val="9"/>
            <color indexed="81"/>
            <rFont val="Tahoma"/>
            <family val="2"/>
          </rPr>
          <t>:</t>
        </r>
        <r>
          <rPr>
            <sz val="9"/>
            <color indexed="81"/>
            <rFont val="Tahoma"/>
            <family val="2"/>
          </rPr>
          <t xml:space="preserve">
Enter the maximum input operating voltage.
The LM5165 input operating voltage range is 3V to 65V.
</t>
        </r>
        <r>
          <rPr>
            <b/>
            <sz val="9"/>
            <color indexed="81"/>
            <rFont val="Tahoma"/>
            <family val="2"/>
          </rPr>
          <t>The text in this cell is red if:</t>
        </r>
        <r>
          <rPr>
            <sz val="9"/>
            <color indexed="81"/>
            <rFont val="Tahoma"/>
            <family val="2"/>
          </rPr>
          <t xml:space="preserve">
-The input voltage is above </t>
        </r>
        <r>
          <rPr>
            <b/>
            <sz val="9"/>
            <color indexed="10"/>
            <rFont val="Tahoma"/>
            <family val="2"/>
          </rPr>
          <t>65V</t>
        </r>
        <r>
          <rPr>
            <sz val="9"/>
            <color indexed="81"/>
            <rFont val="Tahoma"/>
            <family val="2"/>
          </rPr>
          <t xml:space="preserve">
-The input voltage is below </t>
        </r>
        <r>
          <rPr>
            <b/>
            <sz val="9"/>
            <color indexed="10"/>
            <rFont val="Tahoma"/>
            <family val="2"/>
          </rPr>
          <t>3V</t>
        </r>
      </text>
    </comment>
    <comment ref="F9" authorId="0" shapeId="0" xr:uid="{00000000-0006-0000-0000-000006000000}">
      <text>
        <r>
          <rPr>
            <b/>
            <u/>
            <sz val="9"/>
            <color indexed="81"/>
            <rFont val="Tahoma"/>
            <family val="2"/>
          </rPr>
          <t>Output Voltage</t>
        </r>
        <r>
          <rPr>
            <b/>
            <sz val="9"/>
            <color indexed="81"/>
            <rFont val="Tahoma"/>
            <family val="2"/>
          </rPr>
          <t xml:space="preserve">:
</t>
        </r>
        <r>
          <rPr>
            <sz val="9"/>
            <color indexed="81"/>
            <rFont val="Tahoma"/>
            <family val="2"/>
          </rPr>
          <t xml:space="preserve">Enter the desired </t>
        </r>
        <r>
          <rPr>
            <sz val="9"/>
            <color indexed="8"/>
            <rFont val="Tahoma"/>
            <family val="2"/>
          </rPr>
          <t>output</t>
        </r>
        <r>
          <rPr>
            <sz val="9"/>
            <color indexed="81"/>
            <rFont val="Tahoma"/>
            <family val="2"/>
          </rPr>
          <t xml:space="preserve"> voltage here.</t>
        </r>
        <r>
          <rPr>
            <b/>
            <sz val="9"/>
            <color indexed="81"/>
            <rFont val="Tahoma"/>
            <family val="2"/>
          </rPr>
          <t xml:space="preserve">
</t>
        </r>
        <r>
          <rPr>
            <sz val="9"/>
            <color indexed="81"/>
            <rFont val="Tahoma"/>
            <family val="2"/>
          </rPr>
          <t>The text in this cell is red if:</t>
        </r>
        <r>
          <rPr>
            <b/>
            <sz val="9"/>
            <color indexed="81"/>
            <rFont val="Tahoma"/>
            <family val="2"/>
          </rPr>
          <t xml:space="preserve">
</t>
        </r>
        <r>
          <rPr>
            <b/>
            <sz val="9"/>
            <color indexed="39"/>
            <rFont val="Tahoma"/>
            <family val="2"/>
          </rPr>
          <t>-The output voltage is above</t>
        </r>
        <r>
          <rPr>
            <b/>
            <sz val="9"/>
            <color indexed="10"/>
            <rFont val="Tahoma"/>
            <family val="2"/>
          </rPr>
          <t xml:space="preserve"> 60V 
</t>
        </r>
        <r>
          <rPr>
            <b/>
            <sz val="9"/>
            <color indexed="39"/>
            <rFont val="Tahoma"/>
            <family val="2"/>
          </rPr>
          <t xml:space="preserve">-The output voltage is below </t>
        </r>
        <r>
          <rPr>
            <b/>
            <sz val="9"/>
            <color indexed="10"/>
            <rFont val="Tahoma"/>
            <family val="2"/>
          </rPr>
          <t xml:space="preserve">1.23V
</t>
        </r>
        <r>
          <rPr>
            <b/>
            <sz val="9"/>
            <color indexed="39"/>
            <rFont val="Tahoma"/>
            <family val="2"/>
          </rPr>
          <t xml:space="preserve">-The output voltage is above specified </t>
        </r>
        <r>
          <rPr>
            <b/>
            <sz val="9"/>
            <color indexed="10"/>
            <rFont val="Tahoma"/>
            <family val="2"/>
          </rPr>
          <t>V</t>
        </r>
        <r>
          <rPr>
            <b/>
            <vertAlign val="subscript"/>
            <sz val="9"/>
            <color indexed="10"/>
            <rFont val="Tahoma"/>
            <family val="2"/>
          </rPr>
          <t>IN(min)</t>
        </r>
        <r>
          <rPr>
            <b/>
            <sz val="9"/>
            <color indexed="10"/>
            <rFont val="Tahoma"/>
            <family val="2"/>
          </rPr>
          <t xml:space="preserve">
</t>
        </r>
        <r>
          <rPr>
            <b/>
            <sz val="9"/>
            <color indexed="57"/>
            <rFont val="Tahoma"/>
            <family val="2"/>
          </rPr>
          <t xml:space="preserve">For fixed output voltage versions of </t>
        </r>
        <r>
          <rPr>
            <b/>
            <sz val="9"/>
            <color indexed="39"/>
            <rFont val="Tahoma"/>
            <family val="2"/>
          </rPr>
          <t>3.3V</t>
        </r>
        <r>
          <rPr>
            <b/>
            <sz val="9"/>
            <color indexed="57"/>
            <rFont val="Tahoma"/>
            <family val="2"/>
          </rPr>
          <t xml:space="preserve"> and </t>
        </r>
        <r>
          <rPr>
            <b/>
            <sz val="9"/>
            <color indexed="39"/>
            <rFont val="Tahoma"/>
            <family val="2"/>
          </rPr>
          <t>5V</t>
        </r>
        <r>
          <rPr>
            <b/>
            <sz val="9"/>
            <color indexed="57"/>
            <rFont val="Tahoma"/>
            <family val="2"/>
          </rPr>
          <t>, connect the VOUT pin to the point of output regulation =&gt; external feedback resistors are not required.</t>
        </r>
      </text>
    </comment>
    <comment ref="F10" authorId="0" shapeId="0" xr:uid="{00000000-0006-0000-0000-000007000000}">
      <text>
        <r>
          <rPr>
            <b/>
            <u/>
            <sz val="9"/>
            <color indexed="81"/>
            <rFont val="Tahoma"/>
            <family val="2"/>
          </rPr>
          <t>Output Current</t>
        </r>
        <r>
          <rPr>
            <b/>
            <sz val="9"/>
            <color indexed="81"/>
            <rFont val="Tahoma"/>
            <family val="2"/>
          </rPr>
          <t xml:space="preserve">:
</t>
        </r>
        <r>
          <rPr>
            <sz val="9"/>
            <color indexed="81"/>
            <rFont val="Tahoma"/>
            <family val="2"/>
          </rPr>
          <t>Enter the desired output current here.</t>
        </r>
        <r>
          <rPr>
            <b/>
            <sz val="9"/>
            <color indexed="81"/>
            <rFont val="Tahoma"/>
            <family val="2"/>
          </rPr>
          <t xml:space="preserve">
</t>
        </r>
        <r>
          <rPr>
            <sz val="9"/>
            <color indexed="81"/>
            <rFont val="Tahoma"/>
            <family val="2"/>
          </rPr>
          <t xml:space="preserve">The text in this cell is </t>
        </r>
        <r>
          <rPr>
            <b/>
            <sz val="9"/>
            <color indexed="10"/>
            <rFont val="Tahoma"/>
            <family val="2"/>
          </rPr>
          <t>RED</t>
        </r>
        <r>
          <rPr>
            <sz val="9"/>
            <color indexed="81"/>
            <rFont val="Tahoma"/>
            <family val="2"/>
          </rPr>
          <t xml:space="preserve"> if:</t>
        </r>
        <r>
          <rPr>
            <b/>
            <sz val="9"/>
            <color indexed="81"/>
            <rFont val="Tahoma"/>
            <family val="2"/>
          </rPr>
          <t xml:space="preserve">
</t>
        </r>
        <r>
          <rPr>
            <b/>
            <sz val="9"/>
            <color indexed="39"/>
            <rFont val="Tahoma"/>
            <family val="2"/>
          </rPr>
          <t>-The output current is above</t>
        </r>
        <r>
          <rPr>
            <b/>
            <sz val="9"/>
            <color indexed="10"/>
            <rFont val="Tahoma"/>
            <family val="2"/>
          </rPr>
          <t xml:space="preserve"> 100mA</t>
        </r>
        <r>
          <rPr>
            <b/>
            <sz val="9"/>
            <color indexed="39"/>
            <rFont val="Tahoma"/>
            <family val="2"/>
          </rPr>
          <t xml:space="preserve"> (PFM) or </t>
        </r>
        <r>
          <rPr>
            <b/>
            <sz val="9"/>
            <color indexed="10"/>
            <rFont val="Tahoma"/>
            <family val="2"/>
          </rPr>
          <t>150mA</t>
        </r>
        <r>
          <rPr>
            <b/>
            <sz val="9"/>
            <color indexed="39"/>
            <rFont val="Tahoma"/>
            <family val="2"/>
          </rPr>
          <t xml:space="preserve"> (COT)</t>
        </r>
        <r>
          <rPr>
            <b/>
            <sz val="9"/>
            <color indexed="10"/>
            <rFont val="Tahoma"/>
            <family val="2"/>
          </rPr>
          <t xml:space="preserve">
</t>
        </r>
        <r>
          <rPr>
            <b/>
            <sz val="9"/>
            <color indexed="39"/>
            <rFont val="Tahoma"/>
            <family val="2"/>
          </rPr>
          <t xml:space="preserve">-The output current is below </t>
        </r>
        <r>
          <rPr>
            <b/>
            <sz val="9"/>
            <color indexed="10"/>
            <rFont val="Tahoma"/>
            <family val="2"/>
          </rPr>
          <t xml:space="preserve">10mA
</t>
        </r>
        <r>
          <rPr>
            <b/>
            <sz val="9"/>
            <color indexed="39"/>
            <rFont val="Tahoma"/>
            <family val="2"/>
          </rPr>
          <t>-The output current causes</t>
        </r>
        <r>
          <rPr>
            <b/>
            <sz val="9"/>
            <color indexed="10"/>
            <rFont val="Tahoma"/>
            <family val="2"/>
          </rPr>
          <t xml:space="preserve"> current limit</t>
        </r>
        <r>
          <rPr>
            <b/>
            <sz val="9"/>
            <color indexed="39"/>
            <rFont val="Tahoma"/>
            <family val="2"/>
          </rPr>
          <t xml:space="preserve"> to engage</t>
        </r>
        <r>
          <rPr>
            <b/>
            <sz val="9"/>
            <color indexed="10"/>
            <rFont val="Tahoma"/>
            <family val="2"/>
          </rPr>
          <t xml:space="preserve">
</t>
        </r>
        <r>
          <rPr>
            <b/>
            <sz val="9"/>
            <color indexed="57"/>
            <rFont val="Tahoma"/>
            <family val="2"/>
          </rPr>
          <t xml:space="preserve">For output currents of </t>
        </r>
        <r>
          <rPr>
            <b/>
            <sz val="9"/>
            <color indexed="39"/>
            <rFont val="Tahoma"/>
            <family val="2"/>
          </rPr>
          <t xml:space="preserve">20mA, 50mA, 75mA, and 100mA, </t>
        </r>
        <r>
          <rPr>
            <b/>
            <sz val="9"/>
            <color indexed="57"/>
            <rFont val="Tahoma"/>
            <family val="2"/>
          </rPr>
          <t xml:space="preserve">it is desirable to select a peak inductor current limit of </t>
        </r>
        <r>
          <rPr>
            <b/>
            <sz val="9"/>
            <color indexed="39"/>
            <rFont val="Tahoma"/>
            <family val="2"/>
          </rPr>
          <t>60mA, 120mA, 180mA and 240mA</t>
        </r>
        <r>
          <rPr>
            <b/>
            <sz val="9"/>
            <color indexed="57"/>
            <rFont val="Tahoma"/>
            <family val="2"/>
          </rPr>
          <t>, respectively.</t>
        </r>
      </text>
    </comment>
    <comment ref="F12" authorId="0" shapeId="0" xr:uid="{00000000-0006-0000-0000-000008000000}">
      <text>
        <r>
          <rPr>
            <b/>
            <u/>
            <sz val="9"/>
            <color indexed="81"/>
            <rFont val="Tahoma"/>
            <family val="2"/>
          </rPr>
          <t>Operating Frequency</t>
        </r>
        <r>
          <rPr>
            <b/>
            <sz val="9"/>
            <color indexed="81"/>
            <rFont val="Tahoma"/>
            <family val="2"/>
          </rPr>
          <t>:</t>
        </r>
        <r>
          <rPr>
            <sz val="9"/>
            <color indexed="81"/>
            <rFont val="Tahoma"/>
            <family val="2"/>
          </rPr>
          <t xml:space="preserve">
This cell defines the switching frequency, defined by:
(a) the RT pin resistance (COT mode), or
(b) the filter inductance (PFM mode).
Connect the RT pin to GND for PFM.
</t>
        </r>
        <r>
          <rPr>
            <b/>
            <sz val="9"/>
            <color indexed="81"/>
            <rFont val="Tahoma"/>
            <family val="2"/>
          </rPr>
          <t xml:space="preserve">The text in this cell is blue if:
</t>
        </r>
        <r>
          <rPr>
            <b/>
            <sz val="9"/>
            <color indexed="39"/>
            <rFont val="Tahoma"/>
            <family val="2"/>
          </rPr>
          <t>-The frequency set by R</t>
        </r>
        <r>
          <rPr>
            <b/>
            <vertAlign val="subscript"/>
            <sz val="9"/>
            <color indexed="39"/>
            <rFont val="Tahoma"/>
            <family val="2"/>
          </rPr>
          <t>T</t>
        </r>
        <r>
          <rPr>
            <b/>
            <sz val="9"/>
            <color indexed="39"/>
            <rFont val="Tahoma"/>
            <family val="2"/>
          </rPr>
          <t xml:space="preserve"> is greater than that required to satisfy the PWM min on-time of the LM5165.</t>
        </r>
        <r>
          <rPr>
            <sz val="9"/>
            <color indexed="81"/>
            <rFont val="Tahoma"/>
            <family val="2"/>
          </rPr>
          <t xml:space="preserve">
</t>
        </r>
        <r>
          <rPr>
            <b/>
            <sz val="9"/>
            <color indexed="81"/>
            <rFont val="Tahoma"/>
            <family val="2"/>
          </rPr>
          <t xml:space="preserve">The text in this cell is red if:
</t>
        </r>
        <r>
          <rPr>
            <b/>
            <sz val="9"/>
            <color indexed="10"/>
            <rFont val="Tahoma"/>
            <family val="2"/>
          </rPr>
          <t>-The frequency is below 50 kHz
-The frequency is above 600 kHz</t>
        </r>
        <r>
          <rPr>
            <sz val="11"/>
            <color indexed="81"/>
            <rFont val="Tahoma"/>
            <family val="2"/>
          </rPr>
          <t xml:space="preserve">
</t>
        </r>
      </text>
    </comment>
    <comment ref="F16" authorId="0" shapeId="0" xr:uid="{00000000-0006-0000-0000-000009000000}">
      <text>
        <r>
          <rPr>
            <b/>
            <u/>
            <sz val="9"/>
            <color indexed="81"/>
            <rFont val="Tahoma"/>
            <family val="2"/>
          </rPr>
          <t>Peak Inductor Current Limit</t>
        </r>
        <r>
          <rPr>
            <b/>
            <sz val="9"/>
            <color indexed="81"/>
            <rFont val="Tahoma"/>
            <family val="2"/>
          </rPr>
          <t>:</t>
        </r>
        <r>
          <rPr>
            <sz val="9"/>
            <color indexed="81"/>
            <rFont val="Tahoma"/>
            <family val="2"/>
          </rPr>
          <t xml:space="preserve">
Enter the desired peak inductor current limit here.
(1) In </t>
        </r>
        <r>
          <rPr>
            <b/>
            <sz val="9"/>
            <color indexed="81"/>
            <rFont val="Tahoma"/>
            <family val="2"/>
          </rPr>
          <t>PFM mode</t>
        </r>
        <r>
          <rPr>
            <sz val="9"/>
            <color indexed="81"/>
            <rFont val="Tahoma"/>
            <family val="2"/>
          </rPr>
          <t>,</t>
        </r>
        <r>
          <rPr>
            <b/>
            <sz val="9"/>
            <color indexed="39"/>
            <rFont val="Tahoma"/>
            <family val="2"/>
          </rPr>
          <t xml:space="preserve"> peak inductor current limit setting must be greater than </t>
        </r>
        <r>
          <rPr>
            <b/>
            <u/>
            <sz val="9"/>
            <color indexed="39"/>
            <rFont val="Tahoma"/>
            <family val="2"/>
          </rPr>
          <t>twice</t>
        </r>
        <r>
          <rPr>
            <b/>
            <sz val="9"/>
            <color indexed="39"/>
            <rFont val="Tahoma"/>
            <family val="2"/>
          </rPr>
          <t xml:space="preserve"> the maximum output current.</t>
        </r>
        <r>
          <rPr>
            <sz val="9"/>
            <color indexed="81"/>
            <rFont val="Tahoma"/>
            <family val="2"/>
          </rPr>
          <t xml:space="preserve">
(2) In </t>
        </r>
        <r>
          <rPr>
            <b/>
            <sz val="9"/>
            <color indexed="81"/>
            <rFont val="Tahoma"/>
            <family val="2"/>
          </rPr>
          <t>COT mode</t>
        </r>
        <r>
          <rPr>
            <sz val="9"/>
            <color indexed="81"/>
            <rFont val="Tahoma"/>
            <family val="2"/>
          </rPr>
          <t xml:space="preserve">, the 240mA setting is normally selected.
</t>
        </r>
        <r>
          <rPr>
            <b/>
            <sz val="9"/>
            <color indexed="39"/>
            <rFont val="Tahoma"/>
            <family val="2"/>
          </rPr>
          <t>Connect the ILIM pin to GND if 240mA is required.</t>
        </r>
        <r>
          <rPr>
            <sz val="9"/>
            <color indexed="81"/>
            <rFont val="Tahoma"/>
            <family val="2"/>
          </rPr>
          <t xml:space="preserve">
</t>
        </r>
        <r>
          <rPr>
            <b/>
            <sz val="9"/>
            <color indexed="10"/>
            <rFont val="Tahoma"/>
            <family val="2"/>
          </rPr>
          <t>Consult the LM5165 datasheet and EVM user's guide for further details and guidance.</t>
        </r>
      </text>
    </comment>
    <comment ref="F18" authorId="0" shapeId="0" xr:uid="{00000000-0006-0000-0000-00000A000000}">
      <text>
        <r>
          <rPr>
            <b/>
            <u/>
            <sz val="9"/>
            <color indexed="81"/>
            <rFont val="Tahoma"/>
            <family val="2"/>
          </rPr>
          <t>Filter Inductance</t>
        </r>
        <r>
          <rPr>
            <b/>
            <sz val="9"/>
            <color indexed="81"/>
            <rFont val="Tahoma"/>
            <family val="2"/>
          </rPr>
          <t xml:space="preserve">:
</t>
        </r>
        <r>
          <rPr>
            <sz val="9"/>
            <color indexed="81"/>
            <rFont val="Tahoma"/>
            <family val="2"/>
          </rPr>
          <t xml:space="preserve">Enter the filter inductance here.
Target inductor (peak-to-peak) ripple currrent in COT mode is 50% of the DC full load </t>
        </r>
        <r>
          <rPr>
            <u/>
            <sz val="9"/>
            <color indexed="81"/>
            <rFont val="Tahoma"/>
            <family val="2"/>
          </rPr>
          <t>output</t>
        </r>
        <r>
          <rPr>
            <sz val="9"/>
            <color indexed="81"/>
            <rFont val="Tahoma"/>
            <family val="2"/>
          </rPr>
          <t xml:space="preserve"> current at nominal input voltage. It may be acceptable to use higher ripple current with the priviso that peak inductor current remains below peak setting.
Alternatively, in PFM mode, the inductance sets the applicable pulse switching frequency as it relates to rise and fall times of the inductor current from zero to peak and back to zero.
</t>
        </r>
        <r>
          <rPr>
            <b/>
            <sz val="9"/>
            <color indexed="81"/>
            <rFont val="Tahoma"/>
            <family val="2"/>
          </rPr>
          <t xml:space="preserve">This cell is flagged </t>
        </r>
        <r>
          <rPr>
            <b/>
            <sz val="9"/>
            <color indexed="10"/>
            <rFont val="Tahoma"/>
            <family val="2"/>
          </rPr>
          <t>RED</t>
        </r>
        <r>
          <rPr>
            <b/>
            <sz val="9"/>
            <color indexed="81"/>
            <rFont val="Tahoma"/>
            <family val="2"/>
          </rPr>
          <t xml:space="preserve"> if:</t>
        </r>
        <r>
          <rPr>
            <b/>
            <sz val="9"/>
            <color indexed="39"/>
            <rFont val="Tahoma"/>
            <family val="2"/>
          </rPr>
          <t xml:space="preserve">
</t>
        </r>
        <r>
          <rPr>
            <b/>
            <sz val="9"/>
            <color indexed="10"/>
            <rFont val="Tahoma"/>
            <family val="2"/>
          </rPr>
          <t>-The chosen inductance causes the peak inductor current at max input voltage to exceed the selected current limit setting.</t>
        </r>
      </text>
    </comment>
    <comment ref="F19" authorId="0" shapeId="0" xr:uid="{00000000-0006-0000-0000-00000B000000}">
      <text>
        <r>
          <rPr>
            <b/>
            <u/>
            <sz val="9"/>
            <color indexed="81"/>
            <rFont val="Tahoma"/>
            <family val="2"/>
          </rPr>
          <t>Inductor DCR</t>
        </r>
        <r>
          <rPr>
            <b/>
            <sz val="9"/>
            <color indexed="81"/>
            <rFont val="Tahoma"/>
            <family val="2"/>
          </rPr>
          <t xml:space="preserve">:
</t>
        </r>
        <r>
          <rPr>
            <sz val="9"/>
            <color indexed="81"/>
            <rFont val="Tahoma"/>
            <family val="2"/>
          </rPr>
          <t>Enter the inductor DC resistance (DCR) here. This is typically specified in the inductor datasheet at 25°C copper temperature.</t>
        </r>
      </text>
    </comment>
    <comment ref="F24" authorId="0" shapeId="0" xr:uid="{00000000-0006-0000-0000-00000C000000}">
      <text>
        <r>
          <rPr>
            <b/>
            <u/>
            <sz val="9"/>
            <color indexed="81"/>
            <rFont val="Tahoma"/>
            <family val="2"/>
          </rPr>
          <t>Minimum Cout</t>
        </r>
        <r>
          <rPr>
            <b/>
            <sz val="9"/>
            <color indexed="81"/>
            <rFont val="Tahoma"/>
            <family val="2"/>
          </rPr>
          <t xml:space="preserve">:
</t>
        </r>
        <r>
          <rPr>
            <sz val="9"/>
            <color indexed="81"/>
            <rFont val="Tahoma"/>
            <family val="2"/>
          </rPr>
          <t xml:space="preserve">This is the minimum output cap based on:
</t>
        </r>
        <r>
          <rPr>
            <b/>
            <sz val="9"/>
            <color indexed="81"/>
            <rFont val="Tahoma"/>
            <family val="2"/>
          </rPr>
          <t>PFM mode:</t>
        </r>
        <r>
          <rPr>
            <sz val="9"/>
            <color indexed="81"/>
            <rFont val="Tahoma"/>
            <family val="2"/>
          </rPr>
          <t xml:space="preserve"> 0.5% ripple per pulse in PFM
</t>
        </r>
        <r>
          <rPr>
            <b/>
            <sz val="9"/>
            <color indexed="81"/>
            <rFont val="Tahoma"/>
            <family val="2"/>
          </rPr>
          <t>COT mode:</t>
        </r>
        <r>
          <rPr>
            <sz val="9"/>
            <color indexed="81"/>
            <rFont val="Tahoma"/>
            <family val="2"/>
          </rPr>
          <t xml:space="preserve"> 2mV pk-pk capacitive ripple at FB or 5% full-load to no-load transient deviation limit.
</t>
        </r>
        <r>
          <rPr>
            <sz val="9"/>
            <color indexed="39"/>
            <rFont val="Tahoma"/>
            <family val="2"/>
          </rPr>
          <t xml:space="preserve">
</t>
        </r>
        <r>
          <rPr>
            <b/>
            <sz val="9"/>
            <color indexed="39"/>
            <rFont val="Tahoma"/>
            <family val="2"/>
          </rPr>
          <t>This condition is derived at VIN(nom).</t>
        </r>
        <r>
          <rPr>
            <b/>
            <sz val="9"/>
            <color indexed="81"/>
            <rFont val="Tahoma"/>
            <family val="2"/>
          </rPr>
          <t xml:space="preserve">
</t>
        </r>
      </text>
    </comment>
    <comment ref="F25" authorId="0" shapeId="0" xr:uid="{00000000-0006-0000-0000-00000D000000}">
      <text>
        <r>
          <rPr>
            <b/>
            <u/>
            <sz val="9"/>
            <color indexed="81"/>
            <rFont val="Tahoma"/>
            <family val="2"/>
          </rPr>
          <t>Output Capacitance</t>
        </r>
        <r>
          <rPr>
            <b/>
            <sz val="9"/>
            <color indexed="81"/>
            <rFont val="Tahoma"/>
            <family val="2"/>
          </rPr>
          <t>:</t>
        </r>
        <r>
          <rPr>
            <sz val="9"/>
            <color indexed="81"/>
            <rFont val="Tahoma"/>
            <family val="2"/>
          </rPr>
          <t xml:space="preserve">
Enter the output capacitance here based on the minimum calculated result. Make sure that the nominal capacitance is appropriately derated for applied voltage, particularly with </t>
        </r>
        <r>
          <rPr>
            <sz val="9"/>
            <color indexed="39"/>
            <rFont val="Tahoma"/>
            <family val="2"/>
          </rPr>
          <t>ceramics</t>
        </r>
        <r>
          <rPr>
            <sz val="9"/>
            <color indexed="81"/>
            <rFont val="Tahoma"/>
            <family val="2"/>
          </rPr>
          <t xml:space="preserve">.
</t>
        </r>
        <r>
          <rPr>
            <b/>
            <sz val="9"/>
            <color indexed="81"/>
            <rFont val="Tahoma"/>
            <family val="2"/>
          </rPr>
          <t>The text in this cell is flagged red if:</t>
        </r>
        <r>
          <rPr>
            <sz val="9"/>
            <color indexed="81"/>
            <rFont val="Tahoma"/>
            <family val="2"/>
          </rPr>
          <t xml:space="preserve">
</t>
        </r>
        <r>
          <rPr>
            <b/>
            <sz val="9"/>
            <color indexed="10"/>
            <rFont val="Tahoma"/>
            <family val="2"/>
          </rPr>
          <t>-The chosen output capacitor is smaller than the minimum ideal capacitance.</t>
        </r>
      </text>
    </comment>
    <comment ref="F27" authorId="0" shapeId="0" xr:uid="{00000000-0006-0000-0000-00000E000000}">
      <text>
        <r>
          <rPr>
            <b/>
            <u/>
            <sz val="9"/>
            <color indexed="81"/>
            <rFont val="Tahoma"/>
            <family val="2"/>
          </rPr>
          <t>Output Capacitor ESR</t>
        </r>
        <r>
          <rPr>
            <b/>
            <sz val="9"/>
            <color indexed="81"/>
            <rFont val="Tahoma"/>
            <family val="2"/>
          </rPr>
          <t xml:space="preserve">:
</t>
        </r>
        <r>
          <rPr>
            <sz val="9"/>
            <color indexed="81"/>
            <rFont val="Tahoma"/>
            <family val="2"/>
          </rPr>
          <t>Enter the output capacitor ESR (plus series resistance) here based on the recommneded value to meet the FB (or VOUT) pin COT ripple voltage requirement (i.e. 20mV at the FB comparator at nominal input voltage).</t>
        </r>
        <r>
          <rPr>
            <b/>
            <sz val="9"/>
            <color indexed="81"/>
            <rFont val="Tahoma"/>
            <family val="2"/>
          </rPr>
          <t xml:space="preserve">
The text in this cell will be </t>
        </r>
        <r>
          <rPr>
            <b/>
            <sz val="9"/>
            <color indexed="10"/>
            <rFont val="Tahoma"/>
            <family val="2"/>
          </rPr>
          <t>red</t>
        </r>
        <r>
          <rPr>
            <b/>
            <sz val="9"/>
            <color indexed="81"/>
            <rFont val="Tahoma"/>
            <family val="2"/>
          </rPr>
          <t xml:space="preserve"> if:
</t>
        </r>
        <r>
          <rPr>
            <b/>
            <sz val="9"/>
            <color indexed="10"/>
            <rFont val="Tahoma"/>
            <family val="2"/>
          </rPr>
          <t>-ESR is lower than recommeded ESR to meet ripple specification at VOUT or FB pin.</t>
        </r>
      </text>
    </comment>
    <comment ref="F29" authorId="0" shapeId="0" xr:uid="{00000000-0006-0000-0000-00000F000000}">
      <text>
        <r>
          <rPr>
            <b/>
            <u/>
            <sz val="9"/>
            <color indexed="81"/>
            <rFont val="Tahoma"/>
            <family val="2"/>
          </rPr>
          <t>Minimum Cin</t>
        </r>
        <r>
          <rPr>
            <b/>
            <sz val="9"/>
            <color indexed="81"/>
            <rFont val="Tahoma"/>
            <family val="2"/>
          </rPr>
          <t xml:space="preserve">:
</t>
        </r>
        <r>
          <rPr>
            <sz val="9"/>
            <color indexed="81"/>
            <rFont val="Tahoma"/>
            <family val="2"/>
          </rPr>
          <t>This is the minimum input cap based on 10% pk-pk voltage ripple at the input.</t>
        </r>
        <r>
          <rPr>
            <sz val="9"/>
            <color indexed="81"/>
            <rFont val="Tahoma"/>
            <family val="2"/>
          </rPr>
          <t xml:space="preserve">
</t>
        </r>
        <r>
          <rPr>
            <sz val="9"/>
            <color indexed="39"/>
            <rFont val="Tahoma"/>
            <family val="2"/>
          </rPr>
          <t xml:space="preserve">
</t>
        </r>
        <r>
          <rPr>
            <b/>
            <sz val="9"/>
            <color indexed="39"/>
            <rFont val="Tahoma"/>
            <family val="2"/>
          </rPr>
          <t>This condition is derived at VIN(nom).</t>
        </r>
        <r>
          <rPr>
            <b/>
            <sz val="9"/>
            <color indexed="81"/>
            <rFont val="Tahoma"/>
            <family val="2"/>
          </rPr>
          <t xml:space="preserve">
</t>
        </r>
      </text>
    </comment>
    <comment ref="F30" authorId="0" shapeId="0" xr:uid="{00000000-0006-0000-0000-000010000000}">
      <text>
        <r>
          <rPr>
            <b/>
            <u/>
            <sz val="9"/>
            <color indexed="81"/>
            <rFont val="Tahoma"/>
            <family val="2"/>
          </rPr>
          <t>Input Capacitance</t>
        </r>
        <r>
          <rPr>
            <b/>
            <sz val="9"/>
            <color indexed="81"/>
            <rFont val="Tahoma"/>
            <family val="2"/>
          </rPr>
          <t xml:space="preserve">:
</t>
        </r>
        <r>
          <rPr>
            <sz val="9"/>
            <color indexed="81"/>
            <rFont val="Tahoma"/>
            <family val="2"/>
          </rPr>
          <t xml:space="preserve">Enter the input capacitance here based on the minimum calculated result. Ensure that the nominal capacitance is appropriately derated for applied voltage.
</t>
        </r>
        <r>
          <rPr>
            <b/>
            <sz val="9"/>
            <color indexed="81"/>
            <rFont val="Tahoma"/>
            <family val="2"/>
          </rPr>
          <t xml:space="preserve">The text in this cell is flagged </t>
        </r>
        <r>
          <rPr>
            <b/>
            <sz val="9"/>
            <color indexed="10"/>
            <rFont val="Tahoma"/>
            <family val="2"/>
          </rPr>
          <t>red</t>
        </r>
        <r>
          <rPr>
            <b/>
            <sz val="9"/>
            <color indexed="81"/>
            <rFont val="Tahoma"/>
            <family val="2"/>
          </rPr>
          <t xml:space="preserve"> if:
</t>
        </r>
        <r>
          <rPr>
            <b/>
            <sz val="9"/>
            <color indexed="10"/>
            <rFont val="Tahoma"/>
            <family val="2"/>
          </rPr>
          <t>-The chosen input capacitor is smaller than the minimum ideal capacitance.</t>
        </r>
      </text>
    </comment>
    <comment ref="F31" authorId="0" shapeId="0" xr:uid="{00000000-0006-0000-0000-000011000000}">
      <text>
        <r>
          <rPr>
            <b/>
            <u/>
            <sz val="9"/>
            <color indexed="81"/>
            <rFont val="Tahoma"/>
            <family val="2"/>
          </rPr>
          <t>Input Capacitor ESR</t>
        </r>
        <r>
          <rPr>
            <b/>
            <sz val="9"/>
            <color indexed="81"/>
            <rFont val="Tahoma"/>
            <family val="2"/>
          </rPr>
          <t xml:space="preserve">:
</t>
        </r>
        <r>
          <rPr>
            <sz val="9"/>
            <color indexed="81"/>
            <rFont val="Tahoma"/>
            <family val="2"/>
          </rPr>
          <t>Enter the input capacitor ESR here based on the maximum allowed input capacitor ESR to meet the ripple voltage specification.</t>
        </r>
        <r>
          <rPr>
            <b/>
            <sz val="9"/>
            <color indexed="81"/>
            <rFont val="Tahoma"/>
            <family val="2"/>
          </rPr>
          <t xml:space="preserve">
The text in this cell will be </t>
        </r>
        <r>
          <rPr>
            <b/>
            <sz val="9"/>
            <color indexed="10"/>
            <rFont val="Tahoma"/>
            <family val="2"/>
          </rPr>
          <t>red</t>
        </r>
        <r>
          <rPr>
            <b/>
            <sz val="9"/>
            <color indexed="81"/>
            <rFont val="Tahoma"/>
            <family val="2"/>
          </rPr>
          <t xml:space="preserve"> if:
</t>
        </r>
        <r>
          <rPr>
            <b/>
            <sz val="9"/>
            <color indexed="10"/>
            <rFont val="Tahoma"/>
            <family val="2"/>
          </rPr>
          <t>-ESR is zero, or
-ESR exceeds maximum allowable ESR to meet the voltage ripple specification.</t>
        </r>
        <r>
          <rPr>
            <sz val="11"/>
            <color indexed="81"/>
            <rFont val="Tahoma"/>
            <family val="2"/>
          </rPr>
          <t xml:space="preserve">
</t>
        </r>
      </text>
    </comment>
    <comment ref="F37" authorId="0" shapeId="0" xr:uid="{00000000-0006-0000-0000-000012000000}">
      <text>
        <r>
          <rPr>
            <b/>
            <u/>
            <sz val="9"/>
            <color indexed="81"/>
            <rFont val="Tahoma"/>
            <family val="2"/>
          </rPr>
          <t>Soft-Start Time</t>
        </r>
        <r>
          <rPr>
            <b/>
            <sz val="9"/>
            <color indexed="81"/>
            <rFont val="Tahoma"/>
            <family val="2"/>
          </rPr>
          <t xml:space="preserve">:
</t>
        </r>
        <r>
          <rPr>
            <sz val="9"/>
            <color indexed="81"/>
            <rFont val="Tahoma"/>
            <family val="2"/>
          </rPr>
          <t xml:space="preserve">Enter the </t>
        </r>
        <r>
          <rPr>
            <b/>
            <sz val="9"/>
            <color indexed="39"/>
            <rFont val="Tahoma"/>
            <family val="2"/>
          </rPr>
          <t>desired soft-start time</t>
        </r>
        <r>
          <rPr>
            <sz val="9"/>
            <color indexed="81"/>
            <rFont val="Tahoma"/>
            <family val="2"/>
          </rPr>
          <t xml:space="preserve"> as required.
Leave the </t>
        </r>
        <r>
          <rPr>
            <b/>
            <sz val="9"/>
            <color indexed="39"/>
            <rFont val="Tahoma"/>
            <family val="2"/>
          </rPr>
          <t>SS pin open circuit</t>
        </r>
        <r>
          <rPr>
            <sz val="9"/>
            <color indexed="81"/>
            <rFont val="Tahoma"/>
            <family val="2"/>
          </rPr>
          <t xml:space="preserve"> to provide a soft-start time of </t>
        </r>
        <r>
          <rPr>
            <b/>
            <sz val="9"/>
            <color indexed="81"/>
            <rFont val="Tahoma"/>
            <family val="2"/>
          </rPr>
          <t>0.9ms</t>
        </r>
        <r>
          <rPr>
            <sz val="9"/>
            <color indexed="81"/>
            <rFont val="Tahoma"/>
            <family val="2"/>
          </rPr>
          <t xml:space="preserve">.
Connect a </t>
        </r>
        <r>
          <rPr>
            <b/>
            <sz val="9"/>
            <color indexed="39"/>
            <rFont val="Tahoma"/>
            <family val="2"/>
          </rPr>
          <t>100k</t>
        </r>
        <r>
          <rPr>
            <b/>
            <sz val="9"/>
            <color indexed="39"/>
            <rFont val="Symbol"/>
            <family val="1"/>
            <charset val="2"/>
          </rPr>
          <t>W</t>
        </r>
        <r>
          <rPr>
            <b/>
            <sz val="9"/>
            <color indexed="39"/>
            <rFont val="Tahoma"/>
            <family val="2"/>
          </rPr>
          <t xml:space="preserve"> resistor from SS to GND</t>
        </r>
        <r>
          <rPr>
            <sz val="9"/>
            <color indexed="81"/>
            <rFont val="Tahoma"/>
            <family val="2"/>
          </rPr>
          <t xml:space="preserve"> provides for the fastest possible soft-start time, typically determined by load current, output capcaitance and current limit setting.</t>
        </r>
        <r>
          <rPr>
            <b/>
            <sz val="9"/>
            <color indexed="81"/>
            <rFont val="Tahoma"/>
            <family val="2"/>
          </rPr>
          <t xml:space="preserve">
The text in the cell below becomes red if:
</t>
        </r>
        <r>
          <rPr>
            <b/>
            <sz val="9"/>
            <color indexed="10"/>
            <rFont val="Tahoma"/>
            <family val="2"/>
          </rPr>
          <t>-The specified programmable soft-start time is less than 0.1ms.</t>
        </r>
        <r>
          <rPr>
            <sz val="9"/>
            <color indexed="81"/>
            <rFont val="Tahoma"/>
            <family val="2"/>
          </rPr>
          <t xml:space="preserve">
</t>
        </r>
      </text>
    </comment>
    <comment ref="F40" authorId="0" shapeId="0" xr:uid="{00000000-0006-0000-0000-000013000000}">
      <text>
        <r>
          <rPr>
            <b/>
            <u/>
            <sz val="9"/>
            <color indexed="81"/>
            <rFont val="Tahoma"/>
            <family val="2"/>
          </rPr>
          <t>Nominal UVLO Turn-On/Off Input Voltage Levels</t>
        </r>
        <r>
          <rPr>
            <b/>
            <sz val="9"/>
            <color indexed="81"/>
            <rFont val="Tahoma"/>
            <family val="2"/>
          </rPr>
          <t>:</t>
        </r>
        <r>
          <rPr>
            <sz val="9"/>
            <color indexed="81"/>
            <rFont val="Tahoma"/>
            <family val="2"/>
          </rPr>
          <t xml:space="preserve">
Enter the nominal input voltage for UVLO turn on and turn off. A good starting point for the upper UVLO resistance is </t>
        </r>
        <r>
          <rPr>
            <b/>
            <sz val="9"/>
            <color indexed="81"/>
            <rFont val="Tahoma"/>
            <family val="2"/>
          </rPr>
          <t>1M</t>
        </r>
        <r>
          <rPr>
            <b/>
            <sz val="9"/>
            <color indexed="81"/>
            <rFont val="Symbol"/>
            <family val="1"/>
            <charset val="2"/>
          </rPr>
          <t>W</t>
        </r>
        <r>
          <rPr>
            <sz val="9"/>
            <color indexed="81"/>
            <rFont val="Tahoma"/>
            <family val="2"/>
          </rPr>
          <t>, from which the lower UVLO and hysteresis resistances are derived.
Note that the LM5165 input operating voltage range is</t>
        </r>
        <r>
          <rPr>
            <b/>
            <sz val="9"/>
            <color indexed="81"/>
            <rFont val="Tahoma"/>
            <family val="2"/>
          </rPr>
          <t xml:space="preserve"> 3V to 65V</t>
        </r>
        <r>
          <rPr>
            <sz val="9"/>
            <color indexed="81"/>
            <rFont val="Tahoma"/>
            <family val="2"/>
          </rPr>
          <t xml:space="preserve">.
</t>
        </r>
        <r>
          <rPr>
            <b/>
            <sz val="9"/>
            <color indexed="81"/>
            <rFont val="Tahoma"/>
            <family val="2"/>
          </rPr>
          <t>The text in the cell below becomes red if:</t>
        </r>
        <r>
          <rPr>
            <sz val="9"/>
            <color indexed="81"/>
            <rFont val="Tahoma"/>
            <family val="2"/>
          </rPr>
          <t xml:space="preserve">
-The input voltage UVLO turn on is above </t>
        </r>
        <r>
          <rPr>
            <b/>
            <sz val="9"/>
            <color indexed="10"/>
            <rFont val="Tahoma"/>
            <family val="2"/>
          </rPr>
          <t>65V</t>
        </r>
        <r>
          <rPr>
            <sz val="9"/>
            <color indexed="81"/>
            <rFont val="Tahoma"/>
            <family val="2"/>
          </rPr>
          <t xml:space="preserve">
-The input voltage UVLO turn on is below </t>
        </r>
        <r>
          <rPr>
            <b/>
            <sz val="9"/>
            <color indexed="10"/>
            <rFont val="Tahoma"/>
            <family val="2"/>
          </rPr>
          <t xml:space="preserve">3V
</t>
        </r>
        <r>
          <rPr>
            <b/>
            <sz val="9"/>
            <color indexed="39"/>
            <rFont val="Tahoma"/>
            <family val="2"/>
          </rPr>
          <t>If the internal UVLO is sufficient:
(1) connect EN to logic high or VIN
(2) connect HYS to GND or leave open circuit</t>
        </r>
      </text>
    </comment>
    <comment ref="F48" authorId="0" shapeId="0" xr:uid="{00000000-0006-0000-0000-000014000000}">
      <text>
        <r>
          <rPr>
            <b/>
            <u/>
            <sz val="9"/>
            <color indexed="81"/>
            <rFont val="Tahoma"/>
            <family val="2"/>
          </rPr>
          <t>Estimated Thermal Impedance</t>
        </r>
        <r>
          <rPr>
            <b/>
            <sz val="9"/>
            <color indexed="81"/>
            <rFont val="Tahoma"/>
            <family val="2"/>
          </rPr>
          <t xml:space="preserve">:
</t>
        </r>
        <r>
          <rPr>
            <sz val="9"/>
            <color indexed="81"/>
            <rFont val="Tahoma"/>
            <family val="2"/>
          </rPr>
          <t xml:space="preserve">Enter the LM5165's junction-to-ambient thermal impedance, which relates to PCB copper weight and area for heatsinking, local ariflow rate, and other factors.
</t>
        </r>
      </text>
    </comment>
    <comment ref="F49" authorId="0" shapeId="0" xr:uid="{00000000-0006-0000-0000-000015000000}">
      <text>
        <r>
          <rPr>
            <b/>
            <u/>
            <sz val="9"/>
            <color indexed="81"/>
            <rFont val="Tahoma"/>
            <family val="2"/>
          </rPr>
          <t>Ambient Operating Temperature</t>
        </r>
        <r>
          <rPr>
            <b/>
            <sz val="9"/>
            <color indexed="81"/>
            <rFont val="Tahoma"/>
            <family val="2"/>
          </rPr>
          <t xml:space="preserve">:
</t>
        </r>
        <r>
          <rPr>
            <sz val="9"/>
            <color indexed="81"/>
            <rFont val="Tahoma"/>
            <family val="2"/>
          </rPr>
          <t>Enter the LM5165's local ambient temperature (T</t>
        </r>
        <r>
          <rPr>
            <vertAlign val="subscript"/>
            <sz val="9"/>
            <color indexed="81"/>
            <rFont val="Tahoma"/>
            <family val="2"/>
          </rPr>
          <t>A</t>
        </r>
        <r>
          <rPr>
            <sz val="9"/>
            <color indexed="81"/>
            <rFont val="Tahoma"/>
            <family val="2"/>
          </rPr>
          <t xml:space="preserve">) here.
</t>
        </r>
        <r>
          <rPr>
            <b/>
            <sz val="9"/>
            <color indexed="81"/>
            <rFont val="Tahoma"/>
            <family val="2"/>
          </rPr>
          <t xml:space="preserve">The text in this cell is flagged </t>
        </r>
        <r>
          <rPr>
            <b/>
            <sz val="9"/>
            <color indexed="10"/>
            <rFont val="Tahoma"/>
            <family val="2"/>
          </rPr>
          <t>red</t>
        </r>
        <r>
          <rPr>
            <b/>
            <sz val="9"/>
            <color indexed="81"/>
            <rFont val="Tahoma"/>
            <family val="2"/>
          </rPr>
          <t xml:space="preserve"> if:
</t>
        </r>
        <r>
          <rPr>
            <b/>
            <sz val="9"/>
            <color indexed="10"/>
            <rFont val="Tahoma"/>
            <family val="2"/>
          </rPr>
          <t>-The chosen ambient temperature is below -40°C or above 150°C.</t>
        </r>
      </text>
    </comment>
    <comment ref="F51" authorId="0" shapeId="0" xr:uid="{00000000-0006-0000-0000-000016000000}">
      <text>
        <r>
          <rPr>
            <b/>
            <u/>
            <sz val="9"/>
            <color indexed="81"/>
            <rFont val="Tahoma"/>
            <family val="2"/>
          </rPr>
          <t>Operating Junction Temperature</t>
        </r>
        <r>
          <rPr>
            <b/>
            <sz val="9"/>
            <color indexed="81"/>
            <rFont val="Tahoma"/>
            <family val="2"/>
          </rPr>
          <t xml:space="preserve">:
</t>
        </r>
        <r>
          <rPr>
            <sz val="9"/>
            <color indexed="81"/>
            <rFont val="Tahoma"/>
            <family val="2"/>
          </rPr>
          <t>Here is an estimate of the LM5165's opertaing junction temperature (T</t>
        </r>
        <r>
          <rPr>
            <vertAlign val="subscript"/>
            <sz val="9"/>
            <color indexed="81"/>
            <rFont val="Tahoma"/>
            <family val="2"/>
          </rPr>
          <t>J</t>
        </r>
        <r>
          <rPr>
            <sz val="9"/>
            <color indexed="81"/>
            <rFont val="Tahoma"/>
            <family val="2"/>
          </rPr>
          <t xml:space="preserve">) at full load and nominal input voltage.
</t>
        </r>
        <r>
          <rPr>
            <b/>
            <sz val="9"/>
            <color indexed="81"/>
            <rFont val="Tahoma"/>
            <family val="2"/>
          </rPr>
          <t xml:space="preserve">The text in this cell is flagged </t>
        </r>
        <r>
          <rPr>
            <b/>
            <sz val="9"/>
            <color indexed="10"/>
            <rFont val="Tahoma"/>
            <family val="2"/>
          </rPr>
          <t>red</t>
        </r>
        <r>
          <rPr>
            <b/>
            <sz val="9"/>
            <color indexed="81"/>
            <rFont val="Tahoma"/>
            <family val="2"/>
          </rPr>
          <t xml:space="preserve"> if:
</t>
        </r>
        <r>
          <rPr>
            <b/>
            <sz val="9"/>
            <color indexed="10"/>
            <rFont val="Tahoma"/>
            <family val="2"/>
          </rPr>
          <t>-The calculated junction temperature is below -40°C or above 150°C.</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Timothy Hegarty</author>
  </authors>
  <commentList>
    <comment ref="A1" authorId="0" shapeId="0" xr:uid="{00000000-0006-0000-0600-000001000000}">
      <text>
        <r>
          <rPr>
            <sz val="11"/>
            <color indexed="81"/>
            <rFont val="Tahoma"/>
            <family val="2"/>
          </rPr>
          <t>This efficiency calculator is aimed towards low current, PFM-type architectures. Specifically, the "On Time" is determined by the inductor current ramping up to the current limit setpoint. Meanwhile, the "Off Time" is determined by zero crossing of the inductor current crosses. An outer hysterstic voltage loop based on FB sets VOUT. Maximum output current is inherently limited to I</t>
        </r>
        <r>
          <rPr>
            <vertAlign val="subscript"/>
            <sz val="11"/>
            <color indexed="81"/>
            <rFont val="Tahoma"/>
            <family val="2"/>
          </rPr>
          <t>LIMIT</t>
        </r>
        <r>
          <rPr>
            <sz val="11"/>
            <color indexed="81"/>
            <rFont val="Tahoma"/>
            <family val="2"/>
          </rPr>
          <t>/2.</t>
        </r>
      </text>
    </comment>
    <comment ref="G2" authorId="0" shapeId="0" xr:uid="{00000000-0006-0000-0600-000002000000}">
      <text>
        <r>
          <rPr>
            <b/>
            <u/>
            <sz val="11"/>
            <color indexed="10"/>
            <rFont val="Tahoma"/>
            <family val="2"/>
          </rPr>
          <t>Texas Instruments</t>
        </r>
        <r>
          <rPr>
            <sz val="11"/>
            <color indexed="10"/>
            <rFont val="Tahoma"/>
            <family val="2"/>
          </rPr>
          <t>:</t>
        </r>
        <r>
          <rPr>
            <sz val="9"/>
            <color indexed="81"/>
            <rFont val="Tahoma"/>
            <family val="2"/>
          </rPr>
          <t xml:space="preserve">
</t>
        </r>
        <r>
          <rPr>
            <b/>
            <sz val="9"/>
            <color indexed="81"/>
            <rFont val="Tahoma"/>
            <family val="2"/>
          </rPr>
          <t>Limited Use Policy</t>
        </r>
        <r>
          <rPr>
            <sz val="9"/>
            <color indexed="81"/>
            <rFont val="Tahoma"/>
            <family val="2"/>
          </rPr>
          <t xml:space="preserve">
You must treat this software and documentation like any other copyrighted material.
</t>
        </r>
        <r>
          <rPr>
            <b/>
            <sz val="9"/>
            <color indexed="81"/>
            <rFont val="Tahoma"/>
            <family val="2"/>
          </rPr>
          <t>You may not:</t>
        </r>
        <r>
          <rPr>
            <sz val="9"/>
            <color indexed="81"/>
            <rFont val="Tahoma"/>
            <family val="2"/>
          </rPr>
          <t xml:space="preserve">
- Copy documentation of the software
- Copy this software except to make archival or backup copies
- Reverse engineer, disassemble, decompile or make any attempt to discover the source code of the Software 
- Place the software onto a server so that it is accessible via a public network such as the internet 
- Sublicense, rent, lease or lend any portion of the software or documentation.
Texas Instruments is not responsible for the validity of any design created with this software and urges all designs to be fully tested and carefully verified. Refer to the LM5165 product datasheet and EVM user guides for more details.
</t>
        </r>
        <r>
          <rPr>
            <b/>
            <sz val="9"/>
            <color indexed="81"/>
            <rFont val="Tahoma"/>
            <family val="2"/>
          </rPr>
          <t>Rev. 2, Timothy Hegarty, Texas Instruments, Inc.</t>
        </r>
      </text>
    </comment>
    <comment ref="F22" authorId="0" shapeId="0" xr:uid="{00000000-0006-0000-0600-000003000000}">
      <text>
        <r>
          <rPr>
            <b/>
            <sz val="9"/>
            <color indexed="81"/>
            <rFont val="Tahoma"/>
            <family val="2"/>
          </rPr>
          <t>Timothy Hegarty:</t>
        </r>
        <r>
          <rPr>
            <sz val="9"/>
            <color indexed="81"/>
            <rFont val="Tahoma"/>
            <family val="2"/>
          </rPr>
          <t xml:space="preserve">
I_valley</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Timothy Hegarty</author>
  </authors>
  <commentList>
    <comment ref="A1" authorId="0" shapeId="0" xr:uid="{00000000-0006-0000-0700-000001000000}">
      <text>
        <r>
          <rPr>
            <sz val="11"/>
            <color indexed="81"/>
            <rFont val="Tahoma"/>
            <family val="2"/>
          </rPr>
          <t>This efficiency calculator is aimed towards low current, COT-type architectures. Specifically, the "On Time" is programmed by the timing resistor, Rt. Meanwhile, the "Off Time" is determined by zero crossing of the inductor current crosses (in DCM) or when FB touches VREF (in CCM). In the DCM configuration, it is assumed that the effective switching frequency is proportional to output current.</t>
        </r>
      </text>
    </comment>
    <comment ref="G2" authorId="0" shapeId="0" xr:uid="{00000000-0006-0000-0700-000002000000}">
      <text>
        <r>
          <rPr>
            <b/>
            <u/>
            <sz val="11"/>
            <color indexed="10"/>
            <rFont val="Tahoma"/>
            <family val="2"/>
          </rPr>
          <t>Texas Instruments</t>
        </r>
        <r>
          <rPr>
            <sz val="11"/>
            <color indexed="10"/>
            <rFont val="Tahoma"/>
            <family val="2"/>
          </rPr>
          <t>:</t>
        </r>
        <r>
          <rPr>
            <sz val="9"/>
            <color indexed="81"/>
            <rFont val="Tahoma"/>
            <family val="2"/>
          </rPr>
          <t xml:space="preserve">
</t>
        </r>
        <r>
          <rPr>
            <b/>
            <sz val="9"/>
            <color indexed="81"/>
            <rFont val="Tahoma"/>
            <family val="2"/>
          </rPr>
          <t>Limited Use Policy</t>
        </r>
        <r>
          <rPr>
            <sz val="9"/>
            <color indexed="81"/>
            <rFont val="Tahoma"/>
            <family val="2"/>
          </rPr>
          <t xml:space="preserve">
You must treat this software and documentation like any other copyrighted material.
</t>
        </r>
        <r>
          <rPr>
            <b/>
            <sz val="9"/>
            <color indexed="81"/>
            <rFont val="Tahoma"/>
            <family val="2"/>
          </rPr>
          <t>You may not:</t>
        </r>
        <r>
          <rPr>
            <sz val="9"/>
            <color indexed="81"/>
            <rFont val="Tahoma"/>
            <family val="2"/>
          </rPr>
          <t xml:space="preserve">
- Copy documentation of the software
- Copy this software except to make archival or backup copies
- Reverse engineer, disassemble, decompile or make any attempt to discover the source code of the Software 
- Place the software onto a server so that it is accessible via a public network such as the internet 
- Sublicense, rent, lease or lend any portion of the software or documentation.
Texas Instruments is not responsible for the validity of any design created with this software and urges all designs to be fully tested and carefully verified. Refer to the LM5165 product datasheet and EVM user guides for more details.
</t>
        </r>
        <r>
          <rPr>
            <b/>
            <sz val="9"/>
            <color indexed="81"/>
            <rFont val="Tahoma"/>
            <family val="2"/>
          </rPr>
          <t>Rev. 1, Timothy Hegarty, Texas Instruments, Inc.</t>
        </r>
      </text>
    </comment>
  </commentList>
</comments>
</file>

<file path=xl/sharedStrings.xml><?xml version="1.0" encoding="utf-8"?>
<sst xmlns="http://schemas.openxmlformats.org/spreadsheetml/2006/main" count="1082" uniqueCount="635">
  <si>
    <t>V</t>
  </si>
  <si>
    <t>Output Voltage</t>
  </si>
  <si>
    <t>A</t>
  </si>
  <si>
    <t>kHz</t>
  </si>
  <si>
    <t>Vin</t>
  </si>
  <si>
    <t>Vout</t>
  </si>
  <si>
    <t>Iout</t>
  </si>
  <si>
    <t>Fsw</t>
  </si>
  <si>
    <t>Value</t>
  </si>
  <si>
    <t>STD Units</t>
  </si>
  <si>
    <t>Hz</t>
  </si>
  <si>
    <t>Rdcr</t>
  </si>
  <si>
    <t>Notes</t>
  </si>
  <si>
    <t>Nominal input voltage</t>
  </si>
  <si>
    <t>Don1</t>
  </si>
  <si>
    <t>Doff1</t>
  </si>
  <si>
    <t>Don2</t>
  </si>
  <si>
    <t>Doff2</t>
  </si>
  <si>
    <t>H</t>
  </si>
  <si>
    <t>Coutmin</t>
  </si>
  <si>
    <t>F</t>
  </si>
  <si>
    <t>Cout</t>
  </si>
  <si>
    <t>Rfb1</t>
  </si>
  <si>
    <t>pF</t>
  </si>
  <si>
    <t>Pi</t>
  </si>
  <si>
    <t>Vp-p</t>
  </si>
  <si>
    <t>Rfb2</t>
  </si>
  <si>
    <t>Vref</t>
  </si>
  <si>
    <t>Reference Voltage</t>
  </si>
  <si>
    <t>Variable Name</t>
  </si>
  <si>
    <t>Resrmax</t>
  </si>
  <si>
    <t>mΩ</t>
  </si>
  <si>
    <t>kΩ</t>
  </si>
  <si>
    <t>TERMS OF USE</t>
  </si>
  <si>
    <t>Currents</t>
  </si>
  <si>
    <t>IQ</t>
  </si>
  <si>
    <t>Step</t>
  </si>
  <si>
    <t>Design</t>
  </si>
  <si>
    <t>L</t>
  </si>
  <si>
    <t>Cin</t>
  </si>
  <si>
    <t>Components</t>
  </si>
  <si>
    <t>Deadtime</t>
  </si>
  <si>
    <t>mA</t>
  </si>
  <si>
    <t>nC</t>
  </si>
  <si>
    <t>QgBot</t>
  </si>
  <si>
    <t>RdsonBot</t>
  </si>
  <si>
    <t>QgTop</t>
  </si>
  <si>
    <t>RdsonTop</t>
  </si>
  <si>
    <t>QrrBot</t>
  </si>
  <si>
    <t>TrrBot</t>
  </si>
  <si>
    <t>ns</t>
  </si>
  <si>
    <t>Units</t>
  </si>
  <si>
    <t>Outputs</t>
  </si>
  <si>
    <t>LTc</t>
  </si>
  <si>
    <t>Ta</t>
  </si>
  <si>
    <t>RCinEsr</t>
  </si>
  <si>
    <t>Tr</t>
  </si>
  <si>
    <t>Tf</t>
  </si>
  <si>
    <t>Ambient Temperature</t>
  </si>
  <si>
    <t>Total Deadtime</t>
  </si>
  <si>
    <t>Description</t>
  </si>
  <si>
    <t>Input Parameters</t>
  </si>
  <si>
    <t>Input Value</t>
  </si>
  <si>
    <t>Power Dis</t>
  </si>
  <si>
    <t>W</t>
  </si>
  <si>
    <t>Controller</t>
  </si>
  <si>
    <t>Temp rise</t>
  </si>
  <si>
    <t>Efficiency</t>
  </si>
  <si>
    <t>Duty Cycle</t>
  </si>
  <si>
    <t xml:space="preserve">IQ </t>
  </si>
  <si>
    <t>Quiescent Current Of Controller (Not Switching!)</t>
  </si>
  <si>
    <t>s</t>
  </si>
  <si>
    <t>Part Characteristics</t>
  </si>
  <si>
    <t>Rfb2_u</t>
  </si>
  <si>
    <t>CoutEsr</t>
  </si>
  <si>
    <t>Step 5: Input Capacitor</t>
  </si>
  <si>
    <t>nF</t>
  </si>
  <si>
    <t>VIN</t>
  </si>
  <si>
    <t>Icinrms</t>
  </si>
  <si>
    <t>= Input Box</t>
  </si>
  <si>
    <t>Input capacitance</t>
  </si>
  <si>
    <t>Step 1: Operational Specs</t>
  </si>
  <si>
    <t>Step 6: Soft Start</t>
  </si>
  <si>
    <t>ms</t>
  </si>
  <si>
    <t>Tss</t>
  </si>
  <si>
    <t>Iss</t>
  </si>
  <si>
    <t>Css</t>
  </si>
  <si>
    <t>Ripple I</t>
  </si>
  <si>
    <t>Part Number</t>
  </si>
  <si>
    <t>Capacitors</t>
  </si>
  <si>
    <t>(pF)</t>
  </si>
  <si>
    <t>Standard Result</t>
  </si>
  <si>
    <t>Inputs</t>
  </si>
  <si>
    <t>Css_u</t>
  </si>
  <si>
    <t>Resistors</t>
  </si>
  <si>
    <t>inputs</t>
  </si>
  <si>
    <t>Cb</t>
  </si>
  <si>
    <t>Rs</t>
  </si>
  <si>
    <t xml:space="preserve">                </t>
  </si>
  <si>
    <t>Other Input Variables</t>
  </si>
  <si>
    <r>
      <t>R</t>
    </r>
    <r>
      <rPr>
        <vertAlign val="subscript"/>
        <sz val="10"/>
        <rFont val="Arial"/>
        <family val="2"/>
      </rPr>
      <t>PG</t>
    </r>
  </si>
  <si>
    <t>Rfets</t>
  </si>
  <si>
    <t>cap loss eq res</t>
  </si>
  <si>
    <t>Fet loss eq res</t>
  </si>
  <si>
    <t>Diode loss eq res</t>
  </si>
  <si>
    <t>Sw cap</t>
  </si>
  <si>
    <t xml:space="preserve"> </t>
  </si>
  <si>
    <t>Rc1ea</t>
  </si>
  <si>
    <t>Blank out</t>
  </si>
  <si>
    <t>Input from user =</t>
  </si>
  <si>
    <t>Constant</t>
  </si>
  <si>
    <t>Step 8: Efficiency</t>
  </si>
  <si>
    <t>°C/W</t>
  </si>
  <si>
    <t>SCHEMATIC LABELS</t>
  </si>
  <si>
    <t>OUTPUT CURRENT</t>
  </si>
  <si>
    <t>Current (switching)</t>
  </si>
  <si>
    <t>Qrr Current</t>
  </si>
  <si>
    <t>Diode Current</t>
  </si>
  <si>
    <t>Std Units</t>
  </si>
  <si>
    <t>Total Application Switching IQ</t>
  </si>
  <si>
    <t xml:space="preserve">VIN </t>
  </si>
  <si>
    <t>EN</t>
  </si>
  <si>
    <t>PGOOD</t>
  </si>
  <si>
    <t>GND</t>
  </si>
  <si>
    <t>FB</t>
  </si>
  <si>
    <t>SW</t>
  </si>
  <si>
    <t>CIN</t>
  </si>
  <si>
    <t>DCR at hot</t>
  </si>
  <si>
    <t>Temp</t>
  </si>
  <si>
    <t>µH</t>
  </si>
  <si>
    <t>µF</t>
  </si>
  <si>
    <t>Cinmin</t>
  </si>
  <si>
    <t>Vinripple1</t>
  </si>
  <si>
    <t>CinEsrMax</t>
  </si>
  <si>
    <t>Output =</t>
  </si>
  <si>
    <t>Step 2: Filter Inductor</t>
  </si>
  <si>
    <t>Step 1: Operating Specifications</t>
  </si>
  <si>
    <t>°C</t>
  </si>
  <si>
    <r>
      <t>mV</t>
    </r>
    <r>
      <rPr>
        <vertAlign val="subscript"/>
        <sz val="10"/>
        <rFont val="Arial"/>
        <family val="2"/>
      </rPr>
      <t>pk-pk</t>
    </r>
  </si>
  <si>
    <t xml:space="preserve">Recommended Filter Inductance </t>
  </si>
  <si>
    <t xml:space="preserve">Inductor DCR </t>
  </si>
  <si>
    <t xml:space="preserve">Input Capacitor ESR </t>
  </si>
  <si>
    <t xml:space="preserve">Resulting Input Voltage Ripple </t>
  </si>
  <si>
    <t>About</t>
  </si>
  <si>
    <t>xx</t>
  </si>
  <si>
    <t>Max ESR before ripple exceeds Vripple1</t>
  </si>
  <si>
    <t>Chosen ESR</t>
  </si>
  <si>
    <t>Input capacitance series resistance (ESR)</t>
  </si>
  <si>
    <r>
      <t>VIN</t>
    </r>
    <r>
      <rPr>
        <vertAlign val="subscript"/>
        <sz val="10"/>
        <rFont val="Arial"/>
        <family val="2"/>
      </rPr>
      <t>UVLO_ON</t>
    </r>
  </si>
  <si>
    <t>Rising UVLO/EN Threshold</t>
  </si>
  <si>
    <t>Falling UVLO/EN Threshold</t>
  </si>
  <si>
    <t>kΩ</t>
  </si>
  <si>
    <r>
      <t>VIN</t>
    </r>
    <r>
      <rPr>
        <vertAlign val="subscript"/>
        <sz val="10"/>
        <rFont val="Arial"/>
        <family val="2"/>
      </rPr>
      <t>UVLO_ON_ACTUAL</t>
    </r>
  </si>
  <si>
    <r>
      <t>VIN</t>
    </r>
    <r>
      <rPr>
        <vertAlign val="subscript"/>
        <sz val="10"/>
        <rFont val="Arial"/>
        <family val="2"/>
      </rPr>
      <t>UVLO_OFF_ACTUAL</t>
    </r>
  </si>
  <si>
    <t>Size</t>
  </si>
  <si>
    <t>MFR</t>
  </si>
  <si>
    <t>Std</t>
  </si>
  <si>
    <t>0603</t>
  </si>
  <si>
    <r>
      <t>C</t>
    </r>
    <r>
      <rPr>
        <vertAlign val="subscript"/>
        <sz val="10"/>
        <rFont val="Arial"/>
        <family val="2"/>
      </rPr>
      <t>IN</t>
    </r>
  </si>
  <si>
    <r>
      <t>C</t>
    </r>
    <r>
      <rPr>
        <vertAlign val="subscript"/>
        <sz val="10"/>
        <rFont val="Arial"/>
        <family val="2"/>
      </rPr>
      <t>OUT</t>
    </r>
  </si>
  <si>
    <t>Ref Des</t>
  </si>
  <si>
    <t>Count</t>
  </si>
  <si>
    <t>Various</t>
  </si>
  <si>
    <t>-</t>
  </si>
  <si>
    <r>
      <t>R</t>
    </r>
    <r>
      <rPr>
        <vertAlign val="subscript"/>
        <sz val="10"/>
        <rFont val="Arial"/>
        <family val="2"/>
      </rPr>
      <t>UV1</t>
    </r>
  </si>
  <si>
    <r>
      <t>R</t>
    </r>
    <r>
      <rPr>
        <vertAlign val="subscript"/>
        <sz val="10"/>
        <rFont val="Arial"/>
        <family val="2"/>
      </rPr>
      <t>UV2</t>
    </r>
  </si>
  <si>
    <r>
      <t>R</t>
    </r>
    <r>
      <rPr>
        <vertAlign val="subscript"/>
        <sz val="10"/>
        <rFont val="Arial"/>
        <family val="2"/>
      </rPr>
      <t>PGOOD</t>
    </r>
  </si>
  <si>
    <r>
      <t>R</t>
    </r>
    <r>
      <rPr>
        <vertAlign val="subscript"/>
        <sz val="10"/>
        <rFont val="Arial"/>
        <family val="2"/>
      </rPr>
      <t>FB1</t>
    </r>
  </si>
  <si>
    <r>
      <t>R</t>
    </r>
    <r>
      <rPr>
        <vertAlign val="subscript"/>
        <sz val="10"/>
        <rFont val="Arial"/>
        <family val="2"/>
      </rPr>
      <t>FB2</t>
    </r>
  </si>
  <si>
    <r>
      <t>U</t>
    </r>
    <r>
      <rPr>
        <b/>
        <vertAlign val="subscript"/>
        <sz val="10"/>
        <rFont val="Arial"/>
        <family val="2"/>
      </rPr>
      <t>1</t>
    </r>
  </si>
  <si>
    <t>Rpgood</t>
  </si>
  <si>
    <t>Ruv1</t>
  </si>
  <si>
    <t>Ruv2</t>
  </si>
  <si>
    <t># of input caps</t>
  </si>
  <si>
    <t>Capacitance per component (Cin)</t>
  </si>
  <si>
    <t>Capacitance per component (Cout)</t>
  </si>
  <si>
    <t># of output caps</t>
  </si>
  <si>
    <t>Ω</t>
  </si>
  <si>
    <r>
      <rPr>
        <b/>
        <u/>
        <sz val="10"/>
        <rFont val="Arial"/>
        <family val="2"/>
      </rPr>
      <t>NOTES</t>
    </r>
    <r>
      <rPr>
        <b/>
        <sz val="10"/>
        <rFont val="Arial"/>
        <family val="2"/>
      </rPr>
      <t>:</t>
    </r>
  </si>
  <si>
    <t>Series resistance due to FETs</t>
  </si>
  <si>
    <t>%/°C</t>
  </si>
  <si>
    <t>Rt</t>
  </si>
  <si>
    <r>
      <t>Output Voltage, V</t>
    </r>
    <r>
      <rPr>
        <b/>
        <vertAlign val="subscript"/>
        <sz val="10"/>
        <color theme="1"/>
        <rFont val="Arial"/>
        <family val="2"/>
      </rPr>
      <t>OUT</t>
    </r>
    <r>
      <rPr>
        <b/>
        <sz val="10"/>
        <color theme="1"/>
        <rFont val="Arial"/>
        <family val="2"/>
      </rPr>
      <t xml:space="preserve"> </t>
    </r>
  </si>
  <si>
    <r>
      <t>Inductance, L</t>
    </r>
    <r>
      <rPr>
        <b/>
        <vertAlign val="subscript"/>
        <sz val="10"/>
        <color theme="1"/>
        <rFont val="Arial"/>
        <family val="2"/>
      </rPr>
      <t>F</t>
    </r>
    <r>
      <rPr>
        <b/>
        <sz val="10"/>
        <color theme="1"/>
        <rFont val="Arial"/>
        <family val="2"/>
      </rPr>
      <t xml:space="preserve"> </t>
    </r>
  </si>
  <si>
    <r>
      <t>Output Capacitance, C</t>
    </r>
    <r>
      <rPr>
        <b/>
        <vertAlign val="subscript"/>
        <sz val="10"/>
        <rFont val="Arial"/>
        <family val="2"/>
      </rPr>
      <t>OUT</t>
    </r>
    <r>
      <rPr>
        <b/>
        <sz val="10"/>
        <rFont val="Arial"/>
        <family val="2"/>
      </rPr>
      <t xml:space="preserve"> </t>
    </r>
  </si>
  <si>
    <r>
      <t>Input Capacitance, C</t>
    </r>
    <r>
      <rPr>
        <b/>
        <vertAlign val="subscript"/>
        <sz val="10"/>
        <color theme="1"/>
        <rFont val="Arial"/>
        <family val="2"/>
      </rPr>
      <t>IN</t>
    </r>
    <r>
      <rPr>
        <b/>
        <sz val="10"/>
        <color theme="1"/>
        <rFont val="Arial"/>
        <family val="2"/>
      </rPr>
      <t xml:space="preserve"> </t>
    </r>
  </si>
  <si>
    <r>
      <t>Soft-Start Capacitance, C</t>
    </r>
    <r>
      <rPr>
        <vertAlign val="subscript"/>
        <sz val="10"/>
        <rFont val="Arial"/>
        <family val="2"/>
      </rPr>
      <t>SS</t>
    </r>
    <r>
      <rPr>
        <sz val="10"/>
        <rFont val="Arial"/>
        <family val="2"/>
      </rPr>
      <t xml:space="preserve"> </t>
    </r>
  </si>
  <si>
    <t>VIN_nom</t>
  </si>
  <si>
    <t>VIN_max</t>
  </si>
  <si>
    <t>VIN_min</t>
  </si>
  <si>
    <t>Minimum input voltage</t>
  </si>
  <si>
    <t>Maximum input voltage</t>
  </si>
  <si>
    <t>Maximum Output Current</t>
  </si>
  <si>
    <t>Nominal Switching Frequency</t>
  </si>
  <si>
    <t>Voltage Hysteresis</t>
  </si>
  <si>
    <t>mV</t>
  </si>
  <si>
    <t>Ideal Duty Cycle at VIN(nom)</t>
  </si>
  <si>
    <t>Ideal 1- Duty Cycle at VIN(nom)</t>
  </si>
  <si>
    <t>Don_Vinmin</t>
  </si>
  <si>
    <t>Don_Vinmax</t>
  </si>
  <si>
    <t>Lf_Vinmin</t>
  </si>
  <si>
    <t>Lf_Vinmax</t>
  </si>
  <si>
    <t>Lf</t>
  </si>
  <si>
    <t>Pout</t>
  </si>
  <si>
    <t>Iin_Vinmin</t>
  </si>
  <si>
    <t>Iin_Vinnom</t>
  </si>
  <si>
    <t>Iin_Vinmax</t>
  </si>
  <si>
    <t>Pin</t>
  </si>
  <si>
    <t>Iripple_Vinmin</t>
  </si>
  <si>
    <t>Iripple_Vinnom</t>
  </si>
  <si>
    <t>Iripple_Vinmax</t>
  </si>
  <si>
    <t>Lf_Vinnom</t>
  </si>
  <si>
    <t>Lopt</t>
  </si>
  <si>
    <t>Don_Vinnom</t>
  </si>
  <si>
    <t>Don_Vinmin_2</t>
  </si>
  <si>
    <t>Don_Vinnom_2</t>
  </si>
  <si>
    <t>Don_Vinmax_2</t>
  </si>
  <si>
    <t>% Ripple Current</t>
  </si>
  <si>
    <t>Iin</t>
  </si>
  <si>
    <t>Max inductor ripple current</t>
  </si>
  <si>
    <t>Calculate input power assuming 90% efficiency</t>
  </si>
  <si>
    <t>Output power</t>
  </si>
  <si>
    <t>Input currents at min, nom, max Vin</t>
  </si>
  <si>
    <t>Frequency Set Resistor</t>
  </si>
  <si>
    <t>Cslope_ideal</t>
  </si>
  <si>
    <t>mΩ</t>
  </si>
  <si>
    <t>Rshunt</t>
  </si>
  <si>
    <t>Output Cap RMS current</t>
  </si>
  <si>
    <t>Icoutrms_VINmin</t>
  </si>
  <si>
    <t>Icoutrms_VINnom</t>
  </si>
  <si>
    <t>Icoutrms_VINmax</t>
  </si>
  <si>
    <t>Chosen Output Capacitance</t>
  </si>
  <si>
    <t>Rout</t>
  </si>
  <si>
    <t>Load resistance</t>
  </si>
  <si>
    <t>p</t>
  </si>
  <si>
    <t>EXCEL Variables Names/Calculations</t>
  </si>
  <si>
    <t>Duty cycles adjusted for DCR and shunt voltage drops</t>
  </si>
  <si>
    <t>IC Power Disipation</t>
  </si>
  <si>
    <t>Iteration</t>
  </si>
  <si>
    <t>Output Ripple Spec (pk-pk)</t>
  </si>
  <si>
    <t>Estimate of efficiency</t>
  </si>
  <si>
    <r>
      <t>need to include R</t>
    </r>
    <r>
      <rPr>
        <vertAlign val="subscript"/>
        <sz val="10"/>
        <color rgb="FFFF0000"/>
        <rFont val="Arial"/>
        <family val="2"/>
      </rPr>
      <t>DS(on)</t>
    </r>
    <r>
      <rPr>
        <sz val="10"/>
        <color rgb="FFFF0000"/>
        <rFont val="Arial"/>
        <family val="2"/>
      </rPr>
      <t xml:space="preserve"> later</t>
    </r>
  </si>
  <si>
    <t>inductor ripple current with chosen inductance (pk-pk)</t>
  </si>
  <si>
    <t>Iripple1</t>
  </si>
  <si>
    <t xml:space="preserve">Minimum Output Capacitance </t>
  </si>
  <si>
    <t>Soft-start time</t>
  </si>
  <si>
    <r>
      <t>L</t>
    </r>
    <r>
      <rPr>
        <vertAlign val="subscript"/>
        <sz val="10"/>
        <rFont val="Arial"/>
        <family val="2"/>
      </rPr>
      <t>F</t>
    </r>
  </si>
  <si>
    <r>
      <t>R</t>
    </r>
    <r>
      <rPr>
        <vertAlign val="subscript"/>
        <sz val="10"/>
        <rFont val="Arial"/>
        <family val="2"/>
      </rPr>
      <t>T</t>
    </r>
  </si>
  <si>
    <t>Vcc</t>
  </si>
  <si>
    <r>
      <rPr>
        <sz val="10"/>
        <rFont val="Calibri"/>
        <family val="2"/>
      </rPr>
      <t>θ</t>
    </r>
    <r>
      <rPr>
        <vertAlign val="subscript"/>
        <sz val="10"/>
        <rFont val="Arial"/>
        <family val="2"/>
      </rPr>
      <t>CA</t>
    </r>
  </si>
  <si>
    <t>Inductor Core to Ambient Thermal Resistance</t>
  </si>
  <si>
    <t>Input Capacitor ESR</t>
  </si>
  <si>
    <t>Inductor DCR Temp Co</t>
  </si>
  <si>
    <t>Chosen Inductance</t>
  </si>
  <si>
    <t>Chosen Inductor DCR</t>
  </si>
  <si>
    <t>RESULTS</t>
  </si>
  <si>
    <t>Reported Cinmin</t>
  </si>
  <si>
    <t>Reported Countmin</t>
  </si>
  <si>
    <t>Reported Cout ESR max</t>
  </si>
  <si>
    <t>Reported Cin ESR max</t>
  </si>
  <si>
    <r>
      <t>Input Voltage - Min, V</t>
    </r>
    <r>
      <rPr>
        <b/>
        <vertAlign val="subscript"/>
        <sz val="10"/>
        <color theme="1"/>
        <rFont val="Arial"/>
        <family val="2"/>
      </rPr>
      <t>IN(min)</t>
    </r>
    <r>
      <rPr>
        <b/>
        <sz val="10"/>
        <color theme="1"/>
        <rFont val="Arial"/>
        <family val="2"/>
      </rPr>
      <t xml:space="preserve"> </t>
    </r>
  </si>
  <si>
    <r>
      <t>Input Voltage - Nom, V</t>
    </r>
    <r>
      <rPr>
        <b/>
        <vertAlign val="subscript"/>
        <sz val="10"/>
        <color theme="1"/>
        <rFont val="Arial"/>
        <family val="2"/>
      </rPr>
      <t>IN(nom)</t>
    </r>
  </si>
  <si>
    <r>
      <t>Input Voltage - Max, V</t>
    </r>
    <r>
      <rPr>
        <b/>
        <vertAlign val="subscript"/>
        <sz val="10"/>
        <color theme="1"/>
        <rFont val="Arial"/>
        <family val="2"/>
      </rPr>
      <t>IN(max)</t>
    </r>
  </si>
  <si>
    <t>Full-load efficiency</t>
  </si>
  <si>
    <t>sec</t>
  </si>
  <si>
    <t>Toff_Vinmax</t>
  </si>
  <si>
    <t>Ton_Vinmin</t>
  </si>
  <si>
    <t>COT</t>
  </si>
  <si>
    <t>RT</t>
  </si>
  <si>
    <t>SS</t>
  </si>
  <si>
    <t>ILIM</t>
  </si>
  <si>
    <t>HYS</t>
  </si>
  <si>
    <t>VIN range</t>
  </si>
  <si>
    <t>Rdson1</t>
  </si>
  <si>
    <t>Rdson2</t>
  </si>
  <si>
    <t>PFM</t>
  </si>
  <si>
    <t>Mode of Operation</t>
  </si>
  <si>
    <t>Adjustable</t>
  </si>
  <si>
    <t>Current Limit</t>
  </si>
  <si>
    <t>60 mA</t>
  </si>
  <si>
    <t>120 mA</t>
  </si>
  <si>
    <t>180 mA</t>
  </si>
  <si>
    <t>240 mA</t>
  </si>
  <si>
    <t>LM5165 (COT) Efficiency Calculator</t>
  </si>
  <si>
    <t>Miscellaneous</t>
  </si>
  <si>
    <t>Inductor</t>
  </si>
  <si>
    <t xml:space="preserve">High-side MOSFET Losses </t>
  </si>
  <si>
    <t xml:space="preserve">Low-side MOSFET Losses </t>
  </si>
  <si>
    <t>Diode</t>
  </si>
  <si>
    <t>Iout (A)</t>
  </si>
  <si>
    <t>Ripple Current pk-pk (A)</t>
  </si>
  <si>
    <t>Off Time (sec)</t>
  </si>
  <si>
    <t>Switching Frequency (Hz)</t>
  </si>
  <si>
    <t>Active Mode Duration (sec)</t>
  </si>
  <si>
    <t>Sleep Mode Duration (sec)</t>
  </si>
  <si>
    <t>Irms (A)</t>
  </si>
  <si>
    <t>Inductor DCR Loss @ 25°C (W)</t>
  </si>
  <si>
    <t>Inductor Core Loss  (W)</t>
  </si>
  <si>
    <t>Total Inductor Loss (W)</t>
  </si>
  <si>
    <t>Cout ESR Loss (W)</t>
  </si>
  <si>
    <t>Total Cout Loss (W)</t>
  </si>
  <si>
    <t>Cin ESR Loss (W)</t>
  </si>
  <si>
    <t>Total Cin Loss (W)</t>
  </si>
  <si>
    <t>Rdson HS Loss @ 25°C (W)</t>
  </si>
  <si>
    <t xml:space="preserve">HS Gate Qg Loss (W)     </t>
  </si>
  <si>
    <t>HS Switching  Loss (W)</t>
  </si>
  <si>
    <t>Coss Loss (W)</t>
  </si>
  <si>
    <t>Total HS FET Loss (W)</t>
  </si>
  <si>
    <t>Rdson LS Loss @ 25°C (W)</t>
  </si>
  <si>
    <t>LS Gate Qg Loss (W)</t>
  </si>
  <si>
    <t>Reverse Recovery &amp; Leakage Losses</t>
  </si>
  <si>
    <t>DeadTime Loss @ 25°C (W)</t>
  </si>
  <si>
    <t>Total LS FET Loss (W)</t>
  </si>
  <si>
    <t>Quiescent Loss (W)</t>
  </si>
  <si>
    <t>LDO + Quiescent Loss (W)</t>
  </si>
  <si>
    <t>Total Gate Drive Loss (W)</t>
  </si>
  <si>
    <t>Total Power Loss in IC (W)</t>
  </si>
  <si>
    <t>Total Converter Power Loss (W)</t>
  </si>
  <si>
    <t>Pout (W)</t>
  </si>
  <si>
    <t>EFF (%)</t>
  </si>
  <si>
    <t>High-side MOSFET Rdson %</t>
  </si>
  <si>
    <t>Low-side MOSFET Rdson %</t>
  </si>
  <si>
    <t>Gate Drive (Qg) Loss from Vin %</t>
  </si>
  <si>
    <t>High-side MOSFET Switching Loss %</t>
  </si>
  <si>
    <t>Reverse Recovery &amp; Leakage Loss %</t>
  </si>
  <si>
    <t>Deadtime Loss %</t>
  </si>
  <si>
    <t>Inductor Cu Loss %</t>
  </si>
  <si>
    <t>Inductor Core Loss %</t>
  </si>
  <si>
    <t>Cin Cout ESR %</t>
  </si>
  <si>
    <t>Quiescent Current Loss %</t>
  </si>
  <si>
    <t>Total Loss %</t>
  </si>
  <si>
    <t>Overall Eff</t>
  </si>
  <si>
    <t>Current (mA)</t>
  </si>
  <si>
    <t>Keep for "previous" data series</t>
  </si>
  <si>
    <t>Frequency (kHz)</t>
  </si>
  <si>
    <t>Coss</t>
  </si>
  <si>
    <t>Iout(max)</t>
  </si>
  <si>
    <r>
      <rPr>
        <sz val="10"/>
        <rFont val="Arial"/>
        <family val="2"/>
      </rPr>
      <t>k</t>
    </r>
    <r>
      <rPr>
        <sz val="10"/>
        <rFont val="Symbol"/>
        <family val="1"/>
        <charset val="2"/>
      </rPr>
      <t>W</t>
    </r>
  </si>
  <si>
    <t>Tamb</t>
  </si>
  <si>
    <t>Ambient temperature</t>
  </si>
  <si>
    <t>VDD</t>
  </si>
  <si>
    <t>Gate drive rail</t>
  </si>
  <si>
    <t>On-Time</t>
  </si>
  <si>
    <t>µs</t>
  </si>
  <si>
    <t>On Time - fixed</t>
  </si>
  <si>
    <t>Off Time</t>
  </si>
  <si>
    <t>Off Time - depends on Vout, L, Iout, DCR, etc.</t>
  </si>
  <si>
    <r>
      <rPr>
        <sz val="10"/>
        <rFont val="Symbol"/>
        <family val="1"/>
        <charset val="2"/>
      </rPr>
      <t>D</t>
    </r>
    <r>
      <rPr>
        <sz val="10"/>
        <rFont val="Arial"/>
        <family val="2"/>
      </rPr>
      <t>I</t>
    </r>
    <r>
      <rPr>
        <vertAlign val="subscript"/>
        <sz val="10"/>
        <rFont val="Arial"/>
        <family val="2"/>
      </rPr>
      <t>L</t>
    </r>
  </si>
  <si>
    <t>Inductor pk-pk ripple current in CCM</t>
  </si>
  <si>
    <t>CCM Freq</t>
  </si>
  <si>
    <t>Frequency in CCM</t>
  </si>
  <si>
    <t>Icrit_Skip</t>
  </si>
  <si>
    <t>CCM-DCM (critical conduction) boundary</t>
  </si>
  <si>
    <t>Switch rise time</t>
  </si>
  <si>
    <t>Switch fall time</t>
  </si>
  <si>
    <t>Filter inductance</t>
  </si>
  <si>
    <r>
      <rPr>
        <sz val="10"/>
        <rFont val="Arial"/>
        <family val="2"/>
      </rPr>
      <t>m</t>
    </r>
    <r>
      <rPr>
        <sz val="10"/>
        <rFont val="Symbol"/>
        <family val="1"/>
        <charset val="2"/>
      </rPr>
      <t>W</t>
    </r>
  </si>
  <si>
    <t>Inductor DCR at 25°C</t>
  </si>
  <si>
    <t>Kcore</t>
  </si>
  <si>
    <t>Core loss constant - consult inductor vendor</t>
  </si>
  <si>
    <t>RCinESR</t>
  </si>
  <si>
    <t>Input capacitor ESR</t>
  </si>
  <si>
    <t>Output capacitance</t>
  </si>
  <si>
    <t>RCoutESR</t>
  </si>
  <si>
    <t>Output capacitor ESR</t>
  </si>
  <si>
    <t>Deadtime1</t>
  </si>
  <si>
    <t>PMOS off to NMOS on deadtime</t>
  </si>
  <si>
    <t>Deadtime2</t>
  </si>
  <si>
    <t>NMOS off to PMOS on deadtime</t>
  </si>
  <si>
    <t>Sleep delay</t>
  </si>
  <si>
    <t>Delay time to enter sleep mode</t>
  </si>
  <si>
    <t>IQ(active)</t>
  </si>
  <si>
    <t>µA</t>
  </si>
  <si>
    <t xml:space="preserve">LM5165 quiescent current - active state </t>
  </si>
  <si>
    <t>IQ(sleep)</t>
  </si>
  <si>
    <t>LM5165 quiescent current - sleep state</t>
  </si>
  <si>
    <t>High-side P-ch MOSFET</t>
  </si>
  <si>
    <t>Drain-source resistance of high-side MOSFET @ VDD, 25°C</t>
  </si>
  <si>
    <t>FOM</t>
  </si>
  <si>
    <r>
      <t>m</t>
    </r>
    <r>
      <rPr>
        <sz val="10"/>
        <rFont val="Times New Roman"/>
        <family val="1"/>
      </rPr>
      <t>Ω*</t>
    </r>
    <r>
      <rPr>
        <sz val="10"/>
        <rFont val="Arial"/>
        <family val="2"/>
      </rPr>
      <t>nC</t>
    </r>
  </si>
  <si>
    <t>Gate charge of high-side MOSFET @ VDD</t>
  </si>
  <si>
    <t>Low-side N-ch MOSFET</t>
  </si>
  <si>
    <t>Drain-source resistance of low-side MOSFET @ VDD, 25°C</t>
  </si>
  <si>
    <t>Gate charge of low-side MOSFET at VDD</t>
  </si>
  <si>
    <t>VSD</t>
  </si>
  <si>
    <t>Body diode forward voltage</t>
  </si>
  <si>
    <t>BDserR</t>
  </si>
  <si>
    <t>Series resistance of body diode</t>
  </si>
  <si>
    <t>Reverse recovery charge of body diode at 100mA</t>
  </si>
  <si>
    <t>Reverse recovery time of body diode (not used)</t>
  </si>
  <si>
    <t>Idss</t>
  </si>
  <si>
    <t>μA</t>
  </si>
  <si>
    <t>Leakage current of low-side device</t>
  </si>
  <si>
    <t>Eff (%)</t>
  </si>
  <si>
    <t>Iout (mA)</t>
  </si>
  <si>
    <t>min_I</t>
  </si>
  <si>
    <t>max_I</t>
  </si>
  <si>
    <t>100mA</t>
  </si>
  <si>
    <t>rr</t>
  </si>
  <si>
    <t>1mA</t>
  </si>
  <si>
    <t>Overall Eff %</t>
  </si>
  <si>
    <t>Total Inductor Loss (mW)</t>
  </si>
  <si>
    <t>Total Power Loss in IC (mW)</t>
  </si>
  <si>
    <t>LDO + Quiescent Loss (mW)</t>
  </si>
  <si>
    <r>
      <t>Peak Inductor Current Setting, I</t>
    </r>
    <r>
      <rPr>
        <b/>
        <vertAlign val="subscript"/>
        <sz val="10"/>
        <rFont val="Arial"/>
        <family val="2"/>
      </rPr>
      <t>L(pk)</t>
    </r>
  </si>
  <si>
    <t>LM5165 (PFM) Efficiency Calculator</t>
  </si>
  <si>
    <t>Inductor Loss</t>
  </si>
  <si>
    <t>Input Current (A)</t>
  </si>
  <si>
    <t>Burst Mode Low Freq Component (Hz)</t>
  </si>
  <si>
    <t>Output Charge Time (sec)</t>
  </si>
  <si>
    <t>Output Discharge Time (sec)</t>
  </si>
  <si>
    <t>Burst Frequency Duty Cycle</t>
  </si>
  <si>
    <t>Inductor Total Loss (W)</t>
  </si>
  <si>
    <t>Leakage Loss (W)</t>
  </si>
  <si>
    <t>Leakage Loss %</t>
  </si>
  <si>
    <t>Low-side MOSFET Deadtime Loss %</t>
  </si>
  <si>
    <t>Burst Mode Frequency (kHz)</t>
  </si>
  <si>
    <t>Iout(rated)</t>
  </si>
  <si>
    <t>FB Hysteresis</t>
  </si>
  <si>
    <t>FB hysteresis</t>
  </si>
  <si>
    <r>
      <t>I</t>
    </r>
    <r>
      <rPr>
        <b/>
        <vertAlign val="subscript"/>
        <sz val="10"/>
        <rFont val="Arial"/>
        <family val="2"/>
      </rPr>
      <t>LIM</t>
    </r>
  </si>
  <si>
    <t>Vdd</t>
  </si>
  <si>
    <t>On Time - depends on Vin, Vout, L, Ilim, DCR, etc.</t>
  </si>
  <si>
    <t>Off Time - depends on Vout, L, Ilim, DCR, etc.</t>
  </si>
  <si>
    <t>Ton/(Ton+Toff)</t>
  </si>
  <si>
    <t>Inductor pk-pk ripple current</t>
  </si>
  <si>
    <r>
      <t>I</t>
    </r>
    <r>
      <rPr>
        <vertAlign val="subscript"/>
        <sz val="10"/>
        <rFont val="Arial"/>
        <family val="2"/>
      </rPr>
      <t>L_PEAK</t>
    </r>
  </si>
  <si>
    <t>Nominal Sw Freq</t>
  </si>
  <si>
    <t>Switching frequency</t>
  </si>
  <si>
    <t>Iout_max</t>
  </si>
  <si>
    <t>VOUT Hysteresis</t>
  </si>
  <si>
    <t>Output hysteresis</t>
  </si>
  <si>
    <t>Switch fall time (for MOSFET turn-off loss calculations)</t>
  </si>
  <si>
    <t>LPS5030-105</t>
  </si>
  <si>
    <t>PMOS off to NMOS on deadtime - not relevant in PFM</t>
  </si>
  <si>
    <t>Sleep Delay</t>
  </si>
  <si>
    <t>IQ (active)</t>
  </si>
  <si>
    <t>IQ (sleep)</t>
  </si>
  <si>
    <t>Drain-source Resistance of High-side MOSFET @ Vdd, 25°C</t>
  </si>
  <si>
    <t>Gate Charge of High-side MOSFET @ Vdd</t>
  </si>
  <si>
    <t>Drain-source resistance of Low-side MOSFET @ Vdd, 25°C</t>
  </si>
  <si>
    <t>Gate charge of low-side MOSFET @ Vdd</t>
  </si>
  <si>
    <t>MODE</t>
  </si>
  <si>
    <t>Overall Eff (%)</t>
  </si>
  <si>
    <t>L_PFM</t>
  </si>
  <si>
    <t>Calculated Inductance for 30% ripple at VIN(min)</t>
  </si>
  <si>
    <t>Calculated Inductance for 40% ripple at VIN(nom)</t>
  </si>
  <si>
    <t>Calculated Inductance for 70% ripple at VIN(max)</t>
  </si>
  <si>
    <t>Calculated Inductance for given pulse frequency at VIN(nom)</t>
  </si>
  <si>
    <t>Ripple current</t>
  </si>
  <si>
    <t>None</t>
  </si>
  <si>
    <t>Rilim</t>
  </si>
  <si>
    <t>MODE_ILIM</t>
  </si>
  <si>
    <t>MODE_SS</t>
  </si>
  <si>
    <t>Current limit setting</t>
  </si>
  <si>
    <t>RT pin resistance to get Fsw</t>
  </si>
  <si>
    <t>COT / PFM Overall Eff</t>
  </si>
  <si>
    <t>COT / PFM Total Inductor Loss (mW)</t>
  </si>
  <si>
    <t>COT / PFM LDO + Quiescent Loss (mW)</t>
  </si>
  <si>
    <t>Resr</t>
  </si>
  <si>
    <t>Consolidated Results</t>
  </si>
  <si>
    <t>Maximum Load Current</t>
  </si>
  <si>
    <r>
      <t>Full Load Current, I</t>
    </r>
    <r>
      <rPr>
        <b/>
        <vertAlign val="subscript"/>
        <sz val="10"/>
        <color theme="1"/>
        <rFont val="Arial"/>
        <family val="2"/>
      </rPr>
      <t>OUT</t>
    </r>
  </si>
  <si>
    <t>Soft-Start Configuration</t>
  </si>
  <si>
    <t>Internal PD at Full Load</t>
  </si>
  <si>
    <t>mW</t>
  </si>
  <si>
    <r>
      <t>Lower UVLO Resistor, R</t>
    </r>
    <r>
      <rPr>
        <vertAlign val="subscript"/>
        <sz val="10"/>
        <rFont val="Arial"/>
        <family val="2"/>
      </rPr>
      <t>UV2</t>
    </r>
  </si>
  <si>
    <r>
      <t>R</t>
    </r>
    <r>
      <rPr>
        <vertAlign val="subscript"/>
        <sz val="10"/>
        <rFont val="Arial"/>
        <family val="2"/>
      </rPr>
      <t>HYS</t>
    </r>
    <r>
      <rPr>
        <sz val="11"/>
        <color theme="1"/>
        <rFont val="Arial"/>
        <family val="2"/>
      </rPr>
      <t/>
    </r>
  </si>
  <si>
    <r>
      <t>LM5165 Power Dissipation at Full Load, P</t>
    </r>
    <r>
      <rPr>
        <vertAlign val="subscript"/>
        <sz val="10"/>
        <rFont val="Arial"/>
        <family val="2"/>
      </rPr>
      <t>D</t>
    </r>
  </si>
  <si>
    <r>
      <t>LM5165 Junction Temp at Full Load, T</t>
    </r>
    <r>
      <rPr>
        <vertAlign val="subscript"/>
        <sz val="10"/>
        <rFont val="Arial"/>
        <family val="2"/>
      </rPr>
      <t>J</t>
    </r>
  </si>
  <si>
    <r>
      <t>Ambient Temp, T</t>
    </r>
    <r>
      <rPr>
        <b/>
        <vertAlign val="subscript"/>
        <sz val="10"/>
        <rFont val="Arial"/>
        <family val="2"/>
      </rPr>
      <t>A</t>
    </r>
  </si>
  <si>
    <r>
      <t>VIN</t>
    </r>
    <r>
      <rPr>
        <vertAlign val="subscript"/>
        <sz val="10"/>
        <rFont val="Arial"/>
        <family val="2"/>
      </rPr>
      <t>UVLO_OFF</t>
    </r>
  </si>
  <si>
    <t>Rhys</t>
  </si>
  <si>
    <t>Step 7: Other Components - UVLO, HYS, PGOOD</t>
  </si>
  <si>
    <r>
      <t>Upper UVLO Resistor, R</t>
    </r>
    <r>
      <rPr>
        <b/>
        <vertAlign val="subscript"/>
        <sz val="10"/>
        <rFont val="Arial"/>
        <family val="2"/>
      </rPr>
      <t>UV1</t>
    </r>
  </si>
  <si>
    <t>MODE_VOUT</t>
  </si>
  <si>
    <t>Fixed</t>
  </si>
  <si>
    <t>VOUT Fixed/Adjustable</t>
  </si>
  <si>
    <t>Soft Start</t>
  </si>
  <si>
    <t>Step 3: Filter Inductor</t>
  </si>
  <si>
    <t>Step 3: Input &amp; Output Capacitors</t>
  </si>
  <si>
    <t>PLOT_TYPE</t>
  </si>
  <si>
    <t>Fixed VOUT?</t>
  </si>
  <si>
    <t>FB resistor ref des shown or not?</t>
  </si>
  <si>
    <t>SHORT_ILIM</t>
  </si>
  <si>
    <t>ILIM pin shorted if 240mA selected</t>
  </si>
  <si>
    <t>ILIM resistor needed (60/120/180mA)</t>
  </si>
  <si>
    <t>Step 5: Efficiency &amp; Thermals</t>
  </si>
  <si>
    <t>Show ESR resistor ref des?</t>
  </si>
  <si>
    <t>Show Rt resistor ref des?</t>
  </si>
  <si>
    <r>
      <t>UVLO Hysteresis Resistor, R</t>
    </r>
    <r>
      <rPr>
        <vertAlign val="subscript"/>
        <sz val="10"/>
        <rFont val="Arial"/>
        <family val="2"/>
      </rPr>
      <t>HYS</t>
    </r>
  </si>
  <si>
    <r>
      <t xml:space="preserve">Estimated Thermal Impedance, </t>
    </r>
    <r>
      <rPr>
        <b/>
        <sz val="11"/>
        <rFont val="Symbol"/>
        <family val="1"/>
        <charset val="2"/>
      </rPr>
      <t>J</t>
    </r>
    <r>
      <rPr>
        <b/>
        <vertAlign val="subscript"/>
        <sz val="10"/>
        <rFont val="Arial"/>
        <family val="2"/>
      </rPr>
      <t>JA</t>
    </r>
  </si>
  <si>
    <t>% Ripple Current at Nom VIN</t>
  </si>
  <si>
    <t>Input UVLO Configuration</t>
  </si>
  <si>
    <t>Internal</t>
  </si>
  <si>
    <t>MODE_UVLO</t>
  </si>
  <si>
    <r>
      <t>Switching Frequency at V</t>
    </r>
    <r>
      <rPr>
        <b/>
        <vertAlign val="subscript"/>
        <sz val="10"/>
        <color theme="1"/>
        <rFont val="Arial"/>
        <family val="2"/>
      </rPr>
      <t>IN(nom)</t>
    </r>
  </si>
  <si>
    <t>Adjustable UVLO?</t>
  </si>
  <si>
    <t>Show Rilim resistor ref des?</t>
  </si>
  <si>
    <t>Step 3: Output Capacitor</t>
  </si>
  <si>
    <t>Soft-start current</t>
  </si>
  <si>
    <t>Step 8: FB Divider</t>
  </si>
  <si>
    <t>10% load efficiency</t>
  </si>
  <si>
    <t>Required soft-start cap</t>
  </si>
  <si>
    <t>User selected SS cap</t>
  </si>
  <si>
    <t>100kΩ</t>
  </si>
  <si>
    <t>L_Vinmin_COT</t>
  </si>
  <si>
    <t>L_Vinnom_COT</t>
  </si>
  <si>
    <t>L_Vinmax_COT</t>
  </si>
  <si>
    <t>**Edit to add Rdson**</t>
  </si>
  <si>
    <t>1% load efficiency</t>
  </si>
  <si>
    <t>linear scale only</t>
  </si>
  <si>
    <t>log scale only</t>
  </si>
  <si>
    <t>ILpk_Vinmin</t>
  </si>
  <si>
    <t>ILpk_Vinnom</t>
  </si>
  <si>
    <t>ILpk_Vinmax</t>
  </si>
  <si>
    <t>Ω</t>
  </si>
  <si>
    <t>Output Cap RC Time Constant</t>
  </si>
  <si>
    <t>Ton @ Vin(min)</t>
  </si>
  <si>
    <t xml:space="preserve">Minimum Input Capacitance </t>
  </si>
  <si>
    <t>ESR so that RC &gt; Ton/2</t>
  </si>
  <si>
    <t>Min recommended Cout based on 5% load-off transient spec</t>
  </si>
  <si>
    <t>Max of (a) and (b)</t>
  </si>
  <si>
    <t>(a)</t>
  </si>
  <si>
    <t>(b)</t>
  </si>
  <si>
    <t>Vripple2</t>
  </si>
  <si>
    <t>Need ESR of…</t>
  </si>
  <si>
    <t>ESR for sufficient (20mV) COT ripple at FB pin</t>
  </si>
  <si>
    <t>OutputDischargeTime_Ioutmax</t>
  </si>
  <si>
    <t>InputPower_Ioutmax</t>
  </si>
  <si>
    <t>InputCurrent_Ioutmax</t>
  </si>
  <si>
    <t>COT input voltage ripple - Vinripple2</t>
  </si>
  <si>
    <t>PFM input voltage ripple</t>
  </si>
  <si>
    <t>Terms Of Use</t>
  </si>
  <si>
    <r>
      <t>Low I</t>
    </r>
    <r>
      <rPr>
        <b/>
        <vertAlign val="subscript"/>
        <sz val="16"/>
        <rFont val="Arial"/>
        <family val="2"/>
      </rPr>
      <t>Q</t>
    </r>
    <r>
      <rPr>
        <b/>
        <sz val="16"/>
        <rFont val="Arial"/>
        <family val="2"/>
      </rPr>
      <t>, High Efficiency, Synchronous Buck Converter BOM</t>
    </r>
  </si>
  <si>
    <t>Step 4: Feedback, Soft-start, UVLO</t>
  </si>
  <si>
    <r>
      <t xml:space="preserve">                         LM5165 Low I</t>
    </r>
    <r>
      <rPr>
        <vertAlign val="subscript"/>
        <sz val="30"/>
        <color theme="0"/>
        <rFont val="Arial"/>
        <family val="2"/>
      </rPr>
      <t>Q</t>
    </r>
    <r>
      <rPr>
        <sz val="30"/>
        <color theme="0"/>
        <rFont val="Arial"/>
        <family val="2"/>
      </rPr>
      <t xml:space="preserve"> DC/DC Converter Design Tool  </t>
    </r>
  </si>
  <si>
    <r>
      <rPr>
        <b/>
        <sz val="10"/>
        <rFont val="Arial"/>
        <family val="2"/>
      </rPr>
      <t>Iout</t>
    </r>
    <r>
      <rPr>
        <sz val="10"/>
        <rFont val="Arial"/>
        <family val="2"/>
      </rPr>
      <t xml:space="preserve"> Linear Axis</t>
    </r>
  </si>
  <si>
    <r>
      <rPr>
        <b/>
        <sz val="10"/>
        <rFont val="Arial"/>
        <family val="2"/>
      </rPr>
      <t>Iout</t>
    </r>
    <r>
      <rPr>
        <sz val="10"/>
        <rFont val="Arial"/>
        <family val="2"/>
      </rPr>
      <t xml:space="preserve"> Log Axis</t>
    </r>
  </si>
  <si>
    <t>Step 2: Circuit Configuration for COT / PFM, Fixed / Adj Vout, ILIM, UVLO, SS</t>
  </si>
  <si>
    <t xml:space="preserve">COT/PFM </t>
  </si>
  <si>
    <t>UVLO</t>
  </si>
  <si>
    <t>PMOS</t>
  </si>
  <si>
    <t>NMOS</t>
  </si>
  <si>
    <t>n</t>
  </si>
  <si>
    <t>LM5165</t>
  </si>
  <si>
    <t>VSON-10</t>
  </si>
  <si>
    <r>
      <t>R</t>
    </r>
    <r>
      <rPr>
        <vertAlign val="subscript"/>
        <sz val="10"/>
        <rFont val="Arial"/>
        <family val="2"/>
      </rPr>
      <t>ILIM</t>
    </r>
  </si>
  <si>
    <r>
      <t>R</t>
    </r>
    <r>
      <rPr>
        <vertAlign val="subscript"/>
        <sz val="10"/>
        <rFont val="Arial"/>
        <family val="2"/>
      </rPr>
      <t>HYS</t>
    </r>
  </si>
  <si>
    <r>
      <t>R</t>
    </r>
    <r>
      <rPr>
        <vertAlign val="subscript"/>
        <sz val="10"/>
        <rFont val="Arial"/>
        <family val="2"/>
      </rPr>
      <t>ESR</t>
    </r>
  </si>
  <si>
    <r>
      <t>Pk-to-Pk Ripple Current at V</t>
    </r>
    <r>
      <rPr>
        <vertAlign val="subscript"/>
        <sz val="10"/>
        <rFont val="Arial"/>
        <family val="2"/>
      </rPr>
      <t>IN(nom)</t>
    </r>
    <r>
      <rPr>
        <sz val="10"/>
        <rFont val="Arial"/>
        <family val="2"/>
      </rPr>
      <t xml:space="preserve">, </t>
    </r>
    <r>
      <rPr>
        <sz val="10"/>
        <rFont val="Symbol"/>
        <family val="1"/>
        <charset val="2"/>
      </rPr>
      <t>D</t>
    </r>
    <r>
      <rPr>
        <sz val="10"/>
        <rFont val="Arial"/>
        <family val="2"/>
      </rPr>
      <t>IL</t>
    </r>
  </si>
  <si>
    <t>Actual PFM Pulse Freq (Fsw) at Vin(nom)</t>
  </si>
  <si>
    <t>SW Fall Time (ns)</t>
  </si>
  <si>
    <t>Peak Current (A)</t>
  </si>
  <si>
    <t>Valley Current (A)</t>
  </si>
  <si>
    <t>SW Rise Time (ns)</t>
  </si>
  <si>
    <t>Csw</t>
  </si>
  <si>
    <t>Capacitance (Coss)</t>
  </si>
  <si>
    <t>Operating Quiescent Current (A)</t>
  </si>
  <si>
    <t>Effective SW node capacitance (CossHS + CossLS)</t>
  </si>
  <si>
    <t>6.3V</t>
  </si>
  <si>
    <t>10V</t>
  </si>
  <si>
    <t>16V</t>
  </si>
  <si>
    <t>25V</t>
  </si>
  <si>
    <t>Cout Voltage Rating</t>
  </si>
  <si>
    <t>Vout&lt;=5V</t>
  </si>
  <si>
    <t>Vout&lt;=20V</t>
  </si>
  <si>
    <t>Vout&lt;=8V</t>
  </si>
  <si>
    <t>Vout&lt;=12V</t>
  </si>
  <si>
    <t>50V</t>
  </si>
  <si>
    <t>Vout&gt;20V</t>
  </si>
  <si>
    <t>MΩ</t>
  </si>
  <si>
    <t>Min recommended Cout based on ripple spec above</t>
  </si>
  <si>
    <t>BOM display</t>
  </si>
  <si>
    <t>Izx</t>
  </si>
  <si>
    <t>&lt;- PFM peak inductor current - PFM valley inductor current -&gt;</t>
  </si>
  <si>
    <t>Zero cross current (DC test)</t>
  </si>
  <si>
    <r>
      <t>Max output current {= ~I</t>
    </r>
    <r>
      <rPr>
        <vertAlign val="subscript"/>
        <sz val="10"/>
        <rFont val="Arial"/>
        <family val="2"/>
      </rPr>
      <t>L_PEAK</t>
    </r>
    <r>
      <rPr>
        <sz val="10"/>
        <rFont val="Arial"/>
        <family val="2"/>
      </rPr>
      <t>/2}</t>
    </r>
  </si>
  <si>
    <t>max of 2 results and 2.2uF</t>
  </si>
  <si>
    <t>LM5165EVM-HD PCB Design, 0.6" x 0.5" (15.2mm x 12.7mm)</t>
  </si>
  <si>
    <t>LM5165EVM-HD 3D image - minimum solution size denoted by yellow border</t>
  </si>
  <si>
    <t>Iout_maxload</t>
  </si>
  <si>
    <t>25ns for LM5165</t>
  </si>
  <si>
    <t>Ifb</t>
  </si>
  <si>
    <t>COT / PFM Total Power Loss in IC (mW)</t>
  </si>
  <si>
    <t>0.9ms Fixed</t>
  </si>
  <si>
    <t>0402</t>
  </si>
  <si>
    <t>0805</t>
  </si>
  <si>
    <t>1206</t>
  </si>
  <si>
    <t>1210</t>
  </si>
  <si>
    <t>Component Size</t>
  </si>
  <si>
    <t>3mm x 3mm</t>
  </si>
  <si>
    <t>Footprint (mm)</t>
  </si>
  <si>
    <t>1.0 x 0.5</t>
  </si>
  <si>
    <t>4mm x 4mm</t>
  </si>
  <si>
    <t>5mm x 5mm</t>
  </si>
  <si>
    <t>6mm x 6mm</t>
  </si>
  <si>
    <t>7mm x 7mm</t>
  </si>
  <si>
    <t>Inductor Size</t>
  </si>
  <si>
    <t>3.2 x 1.6</t>
  </si>
  <si>
    <t>1.6 x 0.8</t>
  </si>
  <si>
    <t>2.0 x 1.25</t>
  </si>
  <si>
    <t>3.2 x 2.5</t>
  </si>
  <si>
    <t>3.0 x 3.0</t>
  </si>
  <si>
    <t>4.0 x 4.0</t>
  </si>
  <si>
    <t>5.0 x 5.0</t>
  </si>
  <si>
    <t>7.0 x 7.0</t>
  </si>
  <si>
    <t>6.0 x 6.0</t>
  </si>
  <si>
    <r>
      <t>Area (mm</t>
    </r>
    <r>
      <rPr>
        <b/>
        <vertAlign val="superscript"/>
        <sz val="10"/>
        <color theme="0"/>
        <rFont val="Arial"/>
        <family val="2"/>
      </rPr>
      <t>2</t>
    </r>
    <r>
      <rPr>
        <b/>
        <sz val="10"/>
        <color theme="0"/>
        <rFont val="Arial"/>
        <family val="2"/>
      </rPr>
      <t>)</t>
    </r>
  </si>
  <si>
    <t>TI</t>
  </si>
  <si>
    <r>
      <t>in</t>
    </r>
    <r>
      <rPr>
        <b/>
        <vertAlign val="superscript"/>
        <sz val="12"/>
        <color rgb="FFFF0000"/>
        <rFont val="Arial"/>
        <family val="2"/>
      </rPr>
      <t>2</t>
    </r>
  </si>
  <si>
    <t>Total Solution Size (buffered by 25%)</t>
  </si>
  <si>
    <t>** Appropriately derate effective input and output capacitances for applied voltage and temperature, particularly with ceramics **</t>
  </si>
  <si>
    <t>* Choose an inductor with saturation current rating higher than the peak inductor current setting for all operating temperatures *</t>
  </si>
  <si>
    <r>
      <t>mm</t>
    </r>
    <r>
      <rPr>
        <b/>
        <vertAlign val="superscript"/>
        <sz val="12"/>
        <color rgb="FFFF0000"/>
        <rFont val="Arial"/>
        <family val="2"/>
      </rPr>
      <t>2</t>
    </r>
    <r>
      <rPr>
        <b/>
        <sz val="12"/>
        <color rgb="FFFF0000"/>
        <rFont val="Arial"/>
        <family val="2"/>
      </rPr>
      <t xml:space="preserve">  =</t>
    </r>
  </si>
  <si>
    <t>Upper Feedback Resistance - chosen by user</t>
  </si>
  <si>
    <t>Lower Feedback Resistance</t>
  </si>
  <si>
    <t>Std Value Lower Feedback Resistance</t>
  </si>
  <si>
    <r>
      <t>IC, LM5165, Low I</t>
    </r>
    <r>
      <rPr>
        <b/>
        <vertAlign val="subscript"/>
        <sz val="10"/>
        <rFont val="Arial"/>
        <family val="2"/>
      </rPr>
      <t>Q</t>
    </r>
    <r>
      <rPr>
        <b/>
        <sz val="10"/>
        <rFont val="Arial"/>
        <family val="2"/>
      </rPr>
      <t xml:space="preserve"> Buck Converter, 3V</t>
    </r>
    <r>
      <rPr>
        <b/>
        <sz val="10"/>
        <rFont val="Calibri"/>
        <family val="2"/>
      </rPr>
      <t>–</t>
    </r>
    <r>
      <rPr>
        <b/>
        <sz val="10"/>
        <rFont val="Arial"/>
        <family val="2"/>
      </rPr>
      <t>65V Input</t>
    </r>
  </si>
  <si>
    <t>Actual Output Ripple - COT</t>
  </si>
  <si>
    <t>Actual Output Ripple - PFM</t>
  </si>
  <si>
    <t>includes 4us wakep delay</t>
  </si>
  <si>
    <t>http://www.ti.com/product/lm5165</t>
  </si>
  <si>
    <t>COT RT Resistor</t>
  </si>
  <si>
    <t>Vout capacitive ripple spec at Vin(nom) = Vripple1 = 2mV at FB</t>
  </si>
  <si>
    <t>Use 100/Vout as the scale factor</t>
  </si>
  <si>
    <r>
      <t xml:space="preserve"> LM5165 Low I</t>
    </r>
    <r>
      <rPr>
        <vertAlign val="subscript"/>
        <sz val="36"/>
        <color rgb="FFFF0000"/>
        <rFont val="Arial"/>
        <family val="2"/>
      </rPr>
      <t>Q</t>
    </r>
    <r>
      <rPr>
        <sz val="36"/>
        <color rgb="FFFF0000"/>
        <rFont val="Arial"/>
        <family val="2"/>
      </rPr>
      <t xml:space="preserve"> DC/DC Converter Design Tool</t>
    </r>
  </si>
  <si>
    <t>Input voltage ripple spec (pk-pk) at Vin(nom) = 20%</t>
  </si>
  <si>
    <t>Min recommneded Cout based on 0.5% ripple per switching pulse, max 100uF</t>
  </si>
  <si>
    <t>RFB1</t>
  </si>
  <si>
    <t>RFB2</t>
  </si>
  <si>
    <t>Parallel (RFB1, RFB2)</t>
  </si>
  <si>
    <t>Cr</t>
  </si>
  <si>
    <t>Rr</t>
  </si>
  <si>
    <t xml:space="preserve"> = 2/Pi*ESR*Fsw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</si>
</sst>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3">
    <numFmt numFmtId="43" formatCode="_(* #,##0.00_);_(* \(#,##0.00\);_(* &quot;-&quot;??_);_(@_)"/>
    <numFmt numFmtId="164" formatCode="0.00000"/>
    <numFmt numFmtId="165" formatCode="0.0000"/>
    <numFmt numFmtId="166" formatCode="0.000"/>
    <numFmt numFmtId="167" formatCode="0.0"/>
    <numFmt numFmtId="168" formatCode="0.000E+00"/>
    <numFmt numFmtId="169" formatCode="#0.0#"/>
    <numFmt numFmtId="170" formatCode="General&quot;k&quot;"/>
    <numFmt numFmtId="171" formatCode="General&quot;µF&quot;"/>
    <numFmt numFmtId="172" formatCode="General&quot;µH&quot;"/>
    <numFmt numFmtId="173" formatCode="&quot;Inductor, &quot;General&quot;-µH, 10%&quot;"/>
    <numFmt numFmtId="174" formatCode="&quot;Resistor, Chip, &quot;General&quot;-kΩ, 1/16W, 1%&quot;"/>
    <numFmt numFmtId="175" formatCode="0.E+00"/>
    <numFmt numFmtId="176" formatCode="0.0%"/>
    <numFmt numFmtId="177" formatCode="0.0E+00"/>
    <numFmt numFmtId="178" formatCode="&quot;Capacitor, Ceramic, &quot;General&quot;-µF, 100V, X7R, 20%&quot;"/>
    <numFmt numFmtId="179" formatCode="0.000%"/>
    <numFmt numFmtId="180" formatCode="0.0000E+00"/>
    <numFmt numFmtId="181" formatCode="&quot;Capacitor, Ceramic, &quot;General&quot;-µF, 16V, X7R, 20%&quot;"/>
    <numFmt numFmtId="182" formatCode="&quot;Resistor, Chip, &quot;General&quot; kΩ, 1/16W, 1%&quot;"/>
    <numFmt numFmtId="183" formatCode="0.000000"/>
    <numFmt numFmtId="184" formatCode="General&quot;M&quot;"/>
    <numFmt numFmtId="185" formatCode="&quot;Resistor, Chip, &quot;General&quot;kΩ, 1/16W, 1%&quot;"/>
  </numFmts>
  <fonts count="94" x14ac:knownFonts="1">
    <font>
      <sz val="10"/>
      <name val="Arial"/>
    </font>
    <font>
      <sz val="11"/>
      <color theme="1"/>
      <name val="Arial"/>
      <family val="2"/>
    </font>
    <font>
      <sz val="11"/>
      <color theme="1"/>
      <name val="Calibri"/>
      <family val="2"/>
      <scheme val="minor"/>
    </font>
    <font>
      <sz val="10"/>
      <name val="Arial"/>
      <family val="2"/>
    </font>
    <font>
      <b/>
      <sz val="10"/>
      <name val="Arial"/>
      <family val="2"/>
    </font>
    <font>
      <b/>
      <sz val="22"/>
      <color indexed="44"/>
      <name val="Arial"/>
      <family val="2"/>
    </font>
    <font>
      <sz val="8"/>
      <name val="Arial"/>
      <family val="2"/>
    </font>
    <font>
      <i/>
      <sz val="10"/>
      <name val="Arial"/>
      <family val="2"/>
    </font>
    <font>
      <b/>
      <i/>
      <sz val="10"/>
      <name val="Arial"/>
      <family val="2"/>
    </font>
    <font>
      <sz val="10"/>
      <name val="Arial"/>
      <family val="2"/>
    </font>
    <font>
      <vertAlign val="subscript"/>
      <sz val="10"/>
      <name val="Arial"/>
      <family val="2"/>
    </font>
    <font>
      <u/>
      <sz val="10"/>
      <color indexed="12"/>
      <name val="Arial"/>
      <family val="2"/>
    </font>
    <font>
      <b/>
      <sz val="16"/>
      <name val="Arial"/>
      <family val="2"/>
    </font>
    <font>
      <sz val="10"/>
      <color indexed="44"/>
      <name val="Arial"/>
      <family val="2"/>
    </font>
    <font>
      <b/>
      <sz val="28"/>
      <color indexed="44"/>
      <name val="Arial"/>
      <family val="2"/>
    </font>
    <font>
      <b/>
      <sz val="10"/>
      <color indexed="44"/>
      <name val="Arial"/>
      <family val="2"/>
    </font>
    <font>
      <sz val="10"/>
      <color indexed="8"/>
      <name val="Arial"/>
      <family val="2"/>
    </font>
    <font>
      <b/>
      <sz val="24"/>
      <color indexed="44"/>
      <name val="Arial"/>
      <family val="2"/>
    </font>
    <font>
      <sz val="10"/>
      <name val="Calibri"/>
      <family val="2"/>
    </font>
    <font>
      <b/>
      <sz val="10"/>
      <name val="Calibri"/>
      <family val="2"/>
    </font>
    <font>
      <sz val="10"/>
      <color indexed="55"/>
      <name val="Calibri"/>
      <family val="2"/>
    </font>
    <font>
      <b/>
      <sz val="10"/>
      <color indexed="9"/>
      <name val="Calibri"/>
      <family val="2"/>
    </font>
    <font>
      <b/>
      <sz val="12"/>
      <color indexed="48"/>
      <name val="Arial"/>
      <family val="2"/>
    </font>
    <font>
      <b/>
      <sz val="12"/>
      <color indexed="12"/>
      <name val="Arial"/>
      <family val="2"/>
    </font>
    <font>
      <sz val="10"/>
      <color indexed="23"/>
      <name val="Calibri"/>
      <family val="2"/>
    </font>
    <font>
      <b/>
      <sz val="12"/>
      <color indexed="9"/>
      <name val="Calibri"/>
      <family val="2"/>
    </font>
    <font>
      <b/>
      <sz val="22"/>
      <color indexed="9"/>
      <name val="Calibri"/>
      <family val="2"/>
    </font>
    <font>
      <b/>
      <sz val="10"/>
      <color indexed="13"/>
      <name val="Calibri"/>
      <family val="2"/>
    </font>
    <font>
      <sz val="10"/>
      <color indexed="56"/>
      <name val="Calibri"/>
      <family val="2"/>
    </font>
    <font>
      <sz val="10"/>
      <color indexed="8"/>
      <name val="Arial"/>
      <family val="2"/>
    </font>
    <font>
      <b/>
      <sz val="14"/>
      <color indexed="9"/>
      <name val="Calibri"/>
      <family val="2"/>
    </font>
    <font>
      <sz val="11"/>
      <color indexed="81"/>
      <name val="Tahoma"/>
      <family val="2"/>
    </font>
    <font>
      <b/>
      <i/>
      <sz val="14"/>
      <color indexed="12"/>
      <name val="Calibri"/>
      <family val="2"/>
    </font>
    <font>
      <b/>
      <sz val="9"/>
      <color indexed="81"/>
      <name val="Tahoma"/>
      <family val="2"/>
    </font>
    <font>
      <sz val="9"/>
      <color indexed="81"/>
      <name val="Tahoma"/>
      <family val="2"/>
    </font>
    <font>
      <b/>
      <u/>
      <sz val="9"/>
      <color indexed="81"/>
      <name val="Tahoma"/>
      <family val="2"/>
    </font>
    <font>
      <sz val="11"/>
      <color indexed="10"/>
      <name val="Tahoma"/>
      <family val="2"/>
    </font>
    <font>
      <b/>
      <sz val="11"/>
      <color indexed="10"/>
      <name val="Tahoma"/>
      <family val="2"/>
    </font>
    <font>
      <b/>
      <sz val="9"/>
      <color indexed="10"/>
      <name val="Tahoma"/>
      <family val="2"/>
    </font>
    <font>
      <sz val="9"/>
      <color indexed="39"/>
      <name val="Tahoma"/>
      <family val="2"/>
    </font>
    <font>
      <b/>
      <sz val="9"/>
      <color indexed="39"/>
      <name val="Tahoma"/>
      <family val="2"/>
    </font>
    <font>
      <b/>
      <vertAlign val="subscript"/>
      <sz val="9"/>
      <color indexed="81"/>
      <name val="Tahoma"/>
      <family val="2"/>
    </font>
    <font>
      <b/>
      <vertAlign val="subscript"/>
      <sz val="9"/>
      <color indexed="39"/>
      <name val="Tahoma"/>
      <family val="2"/>
    </font>
    <font>
      <sz val="36"/>
      <color rgb="FFFF0000"/>
      <name val="Arial"/>
      <family val="2"/>
    </font>
    <font>
      <b/>
      <u/>
      <sz val="11"/>
      <color indexed="10"/>
      <name val="Tahoma"/>
      <family val="2"/>
    </font>
    <font>
      <sz val="16"/>
      <color theme="0"/>
      <name val="Arial"/>
      <family val="2"/>
    </font>
    <font>
      <b/>
      <vertAlign val="subscript"/>
      <sz val="10"/>
      <name val="Arial"/>
      <family val="2"/>
    </font>
    <font>
      <sz val="10"/>
      <color indexed="23"/>
      <name val="Arial"/>
      <family val="2"/>
    </font>
    <font>
      <sz val="10"/>
      <color indexed="55"/>
      <name val="Arial"/>
      <family val="2"/>
    </font>
    <font>
      <b/>
      <i/>
      <sz val="10"/>
      <color indexed="55"/>
      <name val="Arial"/>
      <family val="2"/>
    </font>
    <font>
      <b/>
      <i/>
      <sz val="14"/>
      <color indexed="12"/>
      <name val="Arial"/>
      <family val="2"/>
    </font>
    <font>
      <b/>
      <sz val="10"/>
      <color rgb="FFFF0000"/>
      <name val="Arial"/>
      <family val="2"/>
    </font>
    <font>
      <sz val="10"/>
      <color theme="1"/>
      <name val="Arial"/>
      <family val="2"/>
    </font>
    <font>
      <b/>
      <sz val="10"/>
      <color theme="1"/>
      <name val="Arial"/>
      <family val="2"/>
    </font>
    <font>
      <b/>
      <vertAlign val="subscript"/>
      <sz val="10"/>
      <color theme="1"/>
      <name val="Arial"/>
      <family val="2"/>
    </font>
    <font>
      <b/>
      <sz val="12"/>
      <color rgb="FF003366"/>
      <name val="Calibri"/>
      <family val="2"/>
    </font>
    <font>
      <sz val="10"/>
      <name val="Symbol"/>
      <family val="1"/>
      <charset val="2"/>
    </font>
    <font>
      <b/>
      <sz val="10"/>
      <color indexed="9"/>
      <name val="Arial"/>
      <family val="2"/>
    </font>
    <font>
      <b/>
      <sz val="12"/>
      <color rgb="FF0000FF"/>
      <name val="Arial"/>
      <family val="2"/>
    </font>
    <font>
      <b/>
      <u/>
      <sz val="10"/>
      <name val="Arial"/>
      <family val="2"/>
    </font>
    <font>
      <u/>
      <sz val="9"/>
      <color indexed="12"/>
      <name val="Tahoma"/>
      <family val="2"/>
    </font>
    <font>
      <u/>
      <sz val="9"/>
      <color indexed="81"/>
      <name val="Tahoma"/>
      <family val="2"/>
    </font>
    <font>
      <sz val="10"/>
      <color rgb="FFFF0000"/>
      <name val="Arial"/>
      <family val="2"/>
    </font>
    <font>
      <vertAlign val="subscript"/>
      <sz val="10"/>
      <color rgb="FFFF0000"/>
      <name val="Arial"/>
      <family val="2"/>
    </font>
    <font>
      <sz val="10"/>
      <color theme="0"/>
      <name val="Arial"/>
      <family val="2"/>
    </font>
    <font>
      <b/>
      <sz val="10"/>
      <color rgb="FF00B050"/>
      <name val="Arial"/>
      <family val="2"/>
    </font>
    <font>
      <sz val="30"/>
      <color theme="0"/>
      <name val="Arial"/>
      <family val="2"/>
    </font>
    <font>
      <vertAlign val="subscript"/>
      <sz val="30"/>
      <color theme="0"/>
      <name val="Arial"/>
      <family val="2"/>
    </font>
    <font>
      <sz val="10"/>
      <name val="Cambria"/>
      <family val="1"/>
      <scheme val="major"/>
    </font>
    <font>
      <b/>
      <sz val="14"/>
      <color rgb="FFFF0000"/>
      <name val="Arial"/>
      <family val="2"/>
    </font>
    <font>
      <b/>
      <sz val="10"/>
      <color indexed="8"/>
      <name val="Arial"/>
      <family val="2"/>
    </font>
    <font>
      <sz val="10"/>
      <name val="Times New Roman"/>
      <family val="1"/>
    </font>
    <font>
      <vertAlign val="subscript"/>
      <sz val="11"/>
      <color indexed="81"/>
      <name val="Tahoma"/>
      <family val="2"/>
    </font>
    <font>
      <sz val="18"/>
      <name val="Arial"/>
      <family val="2"/>
    </font>
    <font>
      <b/>
      <sz val="11"/>
      <name val="Symbol"/>
      <family val="1"/>
      <charset val="2"/>
    </font>
    <font>
      <b/>
      <sz val="9"/>
      <color indexed="39"/>
      <name val="Symbol"/>
      <family val="1"/>
      <charset val="2"/>
    </font>
    <font>
      <b/>
      <sz val="9"/>
      <color indexed="81"/>
      <name val="Symbol"/>
      <family val="1"/>
      <charset val="2"/>
    </font>
    <font>
      <b/>
      <sz val="9"/>
      <color indexed="57"/>
      <name val="Tahoma"/>
      <family val="2"/>
    </font>
    <font>
      <b/>
      <sz val="10"/>
      <color rgb="FF0000FF"/>
      <name val="Arial"/>
      <family val="2"/>
    </font>
    <font>
      <u/>
      <sz val="10"/>
      <color theme="0" tint="-0.499984740745262"/>
      <name val="Arial"/>
      <family val="2"/>
    </font>
    <font>
      <vertAlign val="subscript"/>
      <sz val="9"/>
      <color indexed="81"/>
      <name val="Tahoma"/>
      <family val="2"/>
    </font>
    <font>
      <b/>
      <u/>
      <sz val="9"/>
      <color indexed="39"/>
      <name val="Tahoma"/>
      <family val="2"/>
    </font>
    <font>
      <b/>
      <vertAlign val="subscript"/>
      <sz val="9"/>
      <color indexed="10"/>
      <name val="Tahoma"/>
      <family val="2"/>
    </font>
    <font>
      <b/>
      <vertAlign val="subscript"/>
      <sz val="16"/>
      <name val="Arial"/>
      <family val="2"/>
    </font>
    <font>
      <b/>
      <sz val="10"/>
      <color rgb="FF33CC33"/>
      <name val="Arial"/>
      <family val="2"/>
    </font>
    <font>
      <sz val="10"/>
      <name val="Arial"/>
      <family val="2"/>
    </font>
    <font>
      <sz val="9"/>
      <color indexed="8"/>
      <name val="Tahoma"/>
      <family val="2"/>
    </font>
    <font>
      <b/>
      <sz val="10"/>
      <color theme="0"/>
      <name val="Arial"/>
      <family val="2"/>
    </font>
    <font>
      <b/>
      <vertAlign val="superscript"/>
      <sz val="10"/>
      <color theme="0"/>
      <name val="Arial"/>
      <family val="2"/>
    </font>
    <font>
      <b/>
      <sz val="11"/>
      <color rgb="FFFF0000"/>
      <name val="Arial"/>
      <family val="2"/>
    </font>
    <font>
      <b/>
      <sz val="12"/>
      <color rgb="FFFF0000"/>
      <name val="Arial"/>
      <family val="2"/>
    </font>
    <font>
      <b/>
      <vertAlign val="superscript"/>
      <sz val="12"/>
      <color rgb="FFFF0000"/>
      <name val="Arial"/>
      <family val="2"/>
    </font>
    <font>
      <vertAlign val="subscript"/>
      <sz val="36"/>
      <color rgb="FFFF0000"/>
      <name val="Arial"/>
      <family val="2"/>
    </font>
    <font>
      <b/>
      <sz val="10"/>
      <name val="Symbol"/>
      <family val="1"/>
      <charset val="2"/>
    </font>
  </fonts>
  <fills count="27">
    <fill>
      <patternFill patternType="none"/>
    </fill>
    <fill>
      <patternFill patternType="gray125"/>
    </fill>
    <fill>
      <patternFill patternType="solid">
        <fgColor indexed="44"/>
        <bgColor indexed="64"/>
      </patternFill>
    </fill>
    <fill>
      <patternFill patternType="solid">
        <fgColor indexed="8"/>
        <bgColor indexed="64"/>
      </patternFill>
    </fill>
    <fill>
      <patternFill patternType="solid">
        <fgColor indexed="22"/>
        <bgColor indexed="64"/>
      </patternFill>
    </fill>
    <fill>
      <patternFill patternType="solid">
        <fgColor indexed="55"/>
        <bgColor indexed="64"/>
      </patternFill>
    </fill>
    <fill>
      <patternFill patternType="solid">
        <fgColor indexed="45"/>
        <bgColor indexed="64"/>
      </patternFill>
    </fill>
    <fill>
      <patternFill patternType="solid">
        <fgColor indexed="46"/>
        <bgColor indexed="64"/>
      </patternFill>
    </fill>
    <fill>
      <patternFill patternType="solid">
        <fgColor indexed="9"/>
        <bgColor indexed="64"/>
      </patternFill>
    </fill>
    <fill>
      <patternFill patternType="solid">
        <fgColor indexed="13"/>
        <bgColor indexed="64"/>
      </patternFill>
    </fill>
    <fill>
      <patternFill patternType="solid">
        <fgColor indexed="52"/>
        <bgColor indexed="64"/>
      </patternFill>
    </fill>
    <fill>
      <patternFill patternType="solid">
        <fgColor indexed="50"/>
        <bgColor indexed="64"/>
      </patternFill>
    </fill>
    <fill>
      <patternFill patternType="solid">
        <fgColor theme="0"/>
        <bgColor indexed="64"/>
      </patternFill>
    </fill>
    <fill>
      <patternFill patternType="solid">
        <fgColor rgb="FFFF0000"/>
        <bgColor indexed="64"/>
      </patternFill>
    </fill>
    <fill>
      <patternFill patternType="solid">
        <fgColor theme="1"/>
        <bgColor indexed="64"/>
      </patternFill>
    </fill>
    <fill>
      <patternFill patternType="solid">
        <fgColor rgb="FFFFFF00"/>
        <bgColor indexed="64"/>
      </patternFill>
    </fill>
    <fill>
      <patternFill patternType="solid">
        <fgColor indexed="43"/>
        <bgColor indexed="64"/>
      </patternFill>
    </fill>
    <fill>
      <patternFill patternType="solid">
        <fgColor rgb="FFFFFF99"/>
        <bgColor indexed="64"/>
      </patternFill>
    </fill>
    <fill>
      <patternFill patternType="solid">
        <fgColor rgb="FFFF9900"/>
        <bgColor indexed="64"/>
      </patternFill>
    </fill>
    <fill>
      <patternFill patternType="solid">
        <fgColor rgb="FF99CC00"/>
        <bgColor indexed="64"/>
      </patternFill>
    </fill>
    <fill>
      <patternFill patternType="solid">
        <fgColor rgb="FFC0C0C0"/>
        <bgColor indexed="64"/>
      </patternFill>
    </fill>
    <fill>
      <patternFill patternType="solid">
        <fgColor rgb="FFFFC000"/>
        <bgColor indexed="64"/>
      </patternFill>
    </fill>
    <fill>
      <patternFill patternType="solid">
        <fgColor theme="7" tint="0.39997558519241921"/>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theme="8" tint="0.39997558519241921"/>
        <bgColor indexed="64"/>
      </patternFill>
    </fill>
    <fill>
      <patternFill patternType="solid">
        <fgColor theme="9" tint="0.59999389629810485"/>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55"/>
      </top>
      <bottom/>
      <diagonal/>
    </border>
    <border>
      <left/>
      <right/>
      <top/>
      <bottom style="medium">
        <color indexed="55"/>
      </bottom>
      <diagonal/>
    </border>
    <border>
      <left/>
      <right style="medium">
        <color indexed="55"/>
      </right>
      <top style="medium">
        <color indexed="55"/>
      </top>
      <bottom/>
      <diagonal/>
    </border>
    <border>
      <left/>
      <right style="medium">
        <color indexed="55"/>
      </right>
      <top/>
      <bottom/>
      <diagonal/>
    </border>
    <border>
      <left/>
      <right style="medium">
        <color indexed="55"/>
      </right>
      <top/>
      <bottom style="medium">
        <color indexed="55"/>
      </bottom>
      <diagonal/>
    </border>
    <border>
      <left style="medium">
        <color indexed="55"/>
      </left>
      <right/>
      <top style="medium">
        <color indexed="55"/>
      </top>
      <bottom/>
      <diagonal/>
    </border>
    <border>
      <left style="medium">
        <color indexed="55"/>
      </left>
      <right/>
      <top/>
      <bottom/>
      <diagonal/>
    </border>
    <border>
      <left style="medium">
        <color indexed="55"/>
      </left>
      <right/>
      <top/>
      <bottom style="medium">
        <color indexed="55"/>
      </bottom>
      <diagonal/>
    </border>
    <border>
      <left/>
      <right/>
      <top style="medium">
        <color auto="1"/>
      </top>
      <bottom/>
      <diagonal/>
    </border>
    <border>
      <left/>
      <right style="medium">
        <color auto="1"/>
      </right>
      <top style="medium">
        <color auto="1"/>
      </top>
      <bottom/>
      <diagonal/>
    </border>
    <border>
      <left style="medium">
        <color auto="1"/>
      </left>
      <right/>
      <top style="medium">
        <color auto="1"/>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top style="medium">
        <color indexed="64"/>
      </top>
      <bottom style="medium">
        <color indexed="64"/>
      </bottom>
      <diagonal/>
    </border>
    <border>
      <left/>
      <right/>
      <top style="medium">
        <color auto="1"/>
      </top>
      <bottom style="medium">
        <color auto="1"/>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55"/>
      </top>
      <bottom/>
      <diagonal/>
    </border>
    <border>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top style="medium">
        <color indexed="64"/>
      </top>
      <bottom/>
      <diagonal/>
    </border>
    <border>
      <left/>
      <right/>
      <top style="medium">
        <color indexed="64"/>
      </top>
      <bottom/>
      <diagonal/>
    </border>
    <border>
      <left style="medium">
        <color indexed="64"/>
      </left>
      <right style="medium">
        <color indexed="64"/>
      </right>
      <top style="medium">
        <color indexed="64"/>
      </top>
      <bottom style="thin">
        <color indexed="64"/>
      </bottom>
      <diagonal/>
    </border>
    <border>
      <left/>
      <right style="medium">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top/>
      <bottom style="medium">
        <color indexed="64"/>
      </bottom>
      <diagonal/>
    </border>
    <border>
      <left style="thin">
        <color indexed="64"/>
      </left>
      <right style="thin">
        <color indexed="64"/>
      </right>
      <top style="medium">
        <color indexed="64"/>
      </top>
      <bottom/>
      <diagonal/>
    </border>
    <border>
      <left/>
      <right style="thin">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medium">
        <color indexed="64"/>
      </bottom>
      <diagonal/>
    </border>
    <border>
      <left style="double">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double">
        <color indexed="64"/>
      </left>
      <right style="thin">
        <color indexed="64"/>
      </right>
      <top style="thin">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s>
  <cellStyleXfs count="8">
    <xf numFmtId="0" fontId="0" fillId="0" borderId="0"/>
    <xf numFmtId="0" fontId="4" fillId="0" borderId="0" applyNumberFormat="0" applyFill="0" applyBorder="0" applyAlignment="0" applyProtection="0"/>
    <xf numFmtId="43" fontId="3" fillId="0" borderId="0" applyFont="0" applyFill="0" applyBorder="0" applyAlignment="0" applyProtection="0"/>
    <xf numFmtId="0" fontId="11" fillId="0" borderId="0" applyNumberFormat="0" applyFill="0" applyBorder="0" applyAlignment="0" applyProtection="0">
      <alignment vertical="top"/>
      <protection locked="0"/>
    </xf>
    <xf numFmtId="0" fontId="3" fillId="0" borderId="0"/>
    <xf numFmtId="0" fontId="2" fillId="0" borderId="0"/>
    <xf numFmtId="43" fontId="2" fillId="0" borderId="0" applyFont="0" applyFill="0" applyBorder="0" applyAlignment="0" applyProtection="0"/>
    <xf numFmtId="9" fontId="85" fillId="0" borderId="0" applyFont="0" applyFill="0" applyBorder="0" applyAlignment="0" applyProtection="0"/>
  </cellStyleXfs>
  <cellXfs count="602">
    <xf numFmtId="0" fontId="0" fillId="0" borderId="0" xfId="0"/>
    <xf numFmtId="0" fontId="25" fillId="24" borderId="0" xfId="0" applyFont="1" applyFill="1" applyAlignment="1">
      <alignment horizontal="center" vertical="center"/>
    </xf>
    <xf numFmtId="0" fontId="8" fillId="0" borderId="0" xfId="0" applyFont="1"/>
    <xf numFmtId="0" fontId="4" fillId="0" borderId="0" xfId="0" applyFont="1"/>
    <xf numFmtId="0" fontId="9" fillId="0" borderId="0" xfId="0" applyFont="1"/>
    <xf numFmtId="2" fontId="0" fillId="0" borderId="0" xfId="0" applyNumberFormat="1"/>
    <xf numFmtId="0" fontId="4" fillId="2" borderId="0" xfId="0" applyFont="1" applyFill="1"/>
    <xf numFmtId="0" fontId="0" fillId="4" borderId="2" xfId="0" applyFill="1" applyBorder="1"/>
    <xf numFmtId="0" fontId="0" fillId="4" borderId="0" xfId="0" applyFill="1"/>
    <xf numFmtId="0" fontId="16" fillId="0" borderId="0" xfId="0" applyFont="1"/>
    <xf numFmtId="0" fontId="0" fillId="9" borderId="0" xfId="0" applyFill="1"/>
    <xf numFmtId="0" fontId="0" fillId="0" borderId="0" xfId="0" applyAlignment="1">
      <alignment horizontal="right"/>
    </xf>
    <xf numFmtId="0" fontId="18" fillId="0" borderId="0" xfId="0" applyFont="1"/>
    <xf numFmtId="11" fontId="8" fillId="0" borderId="0" xfId="0" applyNumberFormat="1" applyFont="1"/>
    <xf numFmtId="0" fontId="4" fillId="0" borderId="0" xfId="0" applyFont="1" applyAlignment="1">
      <alignment horizontal="center"/>
    </xf>
    <xf numFmtId="0" fontId="4" fillId="4" borderId="0" xfId="0" applyFont="1" applyFill="1" applyAlignment="1">
      <alignment horizontal="center"/>
    </xf>
    <xf numFmtId="0" fontId="4" fillId="10" borderId="0" xfId="0" applyFont="1" applyFill="1" applyAlignment="1">
      <alignment horizontal="center"/>
    </xf>
    <xf numFmtId="0" fontId="4" fillId="11" borderId="0" xfId="0" applyFont="1" applyFill="1" applyAlignment="1">
      <alignment horizontal="center"/>
    </xf>
    <xf numFmtId="169" fontId="18" fillId="3" borderId="0" xfId="0" applyNumberFormat="1" applyFont="1" applyFill="1" applyAlignment="1">
      <alignment horizontal="center"/>
    </xf>
    <xf numFmtId="0" fontId="0" fillId="0" borderId="22" xfId="0" applyBorder="1"/>
    <xf numFmtId="0" fontId="0" fillId="0" borderId="23" xfId="0" applyBorder="1"/>
    <xf numFmtId="0" fontId="9" fillId="0" borderId="22" xfId="0" applyFont="1" applyBorder="1"/>
    <xf numFmtId="0" fontId="0" fillId="11" borderId="0" xfId="0" applyFill="1"/>
    <xf numFmtId="0" fontId="0" fillId="0" borderId="24" xfId="0" applyBorder="1"/>
    <xf numFmtId="0" fontId="0" fillId="0" borderId="25" xfId="0" applyBorder="1"/>
    <xf numFmtId="0" fontId="0" fillId="0" borderId="26" xfId="0" applyBorder="1"/>
    <xf numFmtId="0" fontId="0" fillId="0" borderId="2" xfId="0" applyBorder="1"/>
    <xf numFmtId="0" fontId="0" fillId="0" borderId="3" xfId="0" applyBorder="1"/>
    <xf numFmtId="0" fontId="8" fillId="0" borderId="22" xfId="0" applyFont="1" applyBorder="1"/>
    <xf numFmtId="0" fontId="4" fillId="0" borderId="22" xfId="0" applyFont="1" applyBorder="1"/>
    <xf numFmtId="11" fontId="0" fillId="11" borderId="0" xfId="0" applyNumberFormat="1" applyFill="1"/>
    <xf numFmtId="0" fontId="0" fillId="10" borderId="0" xfId="0" applyFill="1"/>
    <xf numFmtId="11" fontId="0" fillId="10" borderId="0" xfId="0" applyNumberFormat="1" applyFill="1"/>
    <xf numFmtId="0" fontId="0" fillId="0" borderId="25" xfId="0" applyBorder="1" applyAlignment="1">
      <alignment horizontal="right"/>
    </xf>
    <xf numFmtId="11" fontId="8" fillId="0" borderId="25" xfId="0" applyNumberFormat="1" applyFont="1" applyBorder="1"/>
    <xf numFmtId="11" fontId="0" fillId="4" borderId="0" xfId="0" applyNumberFormat="1" applyFill="1"/>
    <xf numFmtId="0" fontId="18" fillId="3" borderId="0" xfId="0" applyFont="1" applyFill="1"/>
    <xf numFmtId="0" fontId="19" fillId="8" borderId="0" xfId="0" applyFont="1" applyFill="1"/>
    <xf numFmtId="0" fontId="18" fillId="8" borderId="0" xfId="0" applyFont="1" applyFill="1" applyAlignment="1">
      <alignment horizontal="right"/>
    </xf>
    <xf numFmtId="0" fontId="19" fillId="8" borderId="0" xfId="0" applyFont="1" applyFill="1" applyAlignment="1">
      <alignment horizontal="right"/>
    </xf>
    <xf numFmtId="0" fontId="18" fillId="8" borderId="0" xfId="0" applyFont="1" applyFill="1"/>
    <xf numFmtId="0" fontId="22" fillId="0" borderId="0" xfId="0" applyFont="1"/>
    <xf numFmtId="0" fontId="0" fillId="0" borderId="1" xfId="0" applyBorder="1"/>
    <xf numFmtId="0" fontId="0" fillId="0" borderId="2" xfId="0" applyBorder="1" applyAlignment="1">
      <alignment horizontal="right"/>
    </xf>
    <xf numFmtId="0" fontId="23" fillId="0" borderId="0" xfId="0" applyFont="1"/>
    <xf numFmtId="0" fontId="29" fillId="0" borderId="0" xfId="0" applyFont="1"/>
    <xf numFmtId="0" fontId="29" fillId="4" borderId="0" xfId="0" applyFont="1" applyFill="1"/>
    <xf numFmtId="0" fontId="22" fillId="0" borderId="32" xfId="0" applyFont="1" applyBorder="1"/>
    <xf numFmtId="0" fontId="0" fillId="0" borderId="27" xfId="0" applyBorder="1"/>
    <xf numFmtId="0" fontId="0" fillId="0" borderId="29" xfId="0" applyBorder="1"/>
    <xf numFmtId="0" fontId="9" fillId="0" borderId="33" xfId="0" applyFont="1" applyBorder="1"/>
    <xf numFmtId="0" fontId="0" fillId="0" borderId="30" xfId="0" applyBorder="1"/>
    <xf numFmtId="0" fontId="29" fillId="0" borderId="33" xfId="0" applyFont="1" applyBorder="1"/>
    <xf numFmtId="0" fontId="29" fillId="0" borderId="34" xfId="0" applyFont="1" applyBorder="1"/>
    <xf numFmtId="0" fontId="29" fillId="0" borderId="28" xfId="0" applyFont="1" applyBorder="1"/>
    <xf numFmtId="0" fontId="0" fillId="0" borderId="28" xfId="0" applyBorder="1"/>
    <xf numFmtId="0" fontId="0" fillId="0" borderId="31" xfId="0" applyBorder="1"/>
    <xf numFmtId="0" fontId="9" fillId="0" borderId="25" xfId="0" applyFont="1" applyBorder="1"/>
    <xf numFmtId="0" fontId="18" fillId="8" borderId="23" xfId="0" applyFont="1" applyFill="1" applyBorder="1"/>
    <xf numFmtId="0" fontId="20" fillId="8" borderId="0" xfId="0" applyFont="1" applyFill="1"/>
    <xf numFmtId="2" fontId="18" fillId="8" borderId="0" xfId="0" applyNumberFormat="1" applyFont="1" applyFill="1"/>
    <xf numFmtId="165" fontId="18" fillId="8" borderId="0" xfId="0" applyNumberFormat="1" applyFont="1" applyFill="1"/>
    <xf numFmtId="0" fontId="18" fillId="12" borderId="0" xfId="0" applyFont="1" applyFill="1"/>
    <xf numFmtId="0" fontId="3" fillId="0" borderId="0" xfId="0" applyFont="1"/>
    <xf numFmtId="0" fontId="0" fillId="0" borderId="0" xfId="0" applyAlignment="1">
      <alignment horizontal="left"/>
    </xf>
    <xf numFmtId="0" fontId="3" fillId="0" borderId="2" xfId="0" applyFont="1" applyBorder="1"/>
    <xf numFmtId="0" fontId="3" fillId="0" borderId="25" xfId="0" applyFont="1" applyBorder="1"/>
    <xf numFmtId="0" fontId="32" fillId="8" borderId="0" xfId="0" applyFont="1" applyFill="1"/>
    <xf numFmtId="0" fontId="21" fillId="15" borderId="0" xfId="0" applyFont="1" applyFill="1" applyAlignment="1">
      <alignment vertical="center"/>
    </xf>
    <xf numFmtId="0" fontId="0" fillId="14" borderId="0" xfId="0" applyFill="1"/>
    <xf numFmtId="0" fontId="45" fillId="14" borderId="0" xfId="0" applyFont="1" applyFill="1"/>
    <xf numFmtId="0" fontId="24" fillId="8" borderId="0" xfId="0" applyFont="1" applyFill="1" applyAlignment="1">
      <alignment horizontal="right"/>
    </xf>
    <xf numFmtId="0" fontId="4" fillId="8" borderId="0" xfId="0" applyFont="1" applyFill="1" applyAlignment="1">
      <alignment horizontal="right"/>
    </xf>
    <xf numFmtId="0" fontId="3" fillId="8" borderId="0" xfId="0" applyFont="1" applyFill="1" applyAlignment="1">
      <alignment horizontal="right"/>
    </xf>
    <xf numFmtId="0" fontId="3" fillId="8" borderId="22" xfId="0" applyFont="1" applyFill="1" applyBorder="1"/>
    <xf numFmtId="0" fontId="3" fillId="8" borderId="0" xfId="0" applyFont="1" applyFill="1"/>
    <xf numFmtId="0" fontId="4" fillId="15" borderId="0" xfId="0" applyFont="1" applyFill="1" applyProtection="1">
      <protection locked="0"/>
    </xf>
    <xf numFmtId="0" fontId="48" fillId="8" borderId="0" xfId="0" applyFont="1" applyFill="1"/>
    <xf numFmtId="0" fontId="49" fillId="8" borderId="0" xfId="0" applyFont="1" applyFill="1"/>
    <xf numFmtId="0" fontId="7" fillId="8" borderId="0" xfId="0" applyFont="1" applyFill="1" applyAlignment="1">
      <alignment horizontal="right"/>
    </xf>
    <xf numFmtId="0" fontId="47" fillId="8" borderId="0" xfId="0" applyFont="1" applyFill="1"/>
    <xf numFmtId="0" fontId="50" fillId="8" borderId="0" xfId="0" applyFont="1" applyFill="1"/>
    <xf numFmtId="0" fontId="4" fillId="8" borderId="0" xfId="0" applyFont="1" applyFill="1"/>
    <xf numFmtId="167" fontId="4" fillId="8" borderId="0" xfId="0" applyNumberFormat="1" applyFont="1" applyFill="1"/>
    <xf numFmtId="0" fontId="3" fillId="12" borderId="0" xfId="0" applyFont="1" applyFill="1"/>
    <xf numFmtId="0" fontId="4" fillId="8" borderId="22" xfId="0" applyFont="1" applyFill="1" applyBorder="1"/>
    <xf numFmtId="0" fontId="50" fillId="12" borderId="0" xfId="0" applyFont="1" applyFill="1"/>
    <xf numFmtId="1" fontId="47" fillId="8" borderId="0" xfId="0" applyNumberFormat="1" applyFont="1" applyFill="1" applyAlignment="1">
      <alignment horizontal="right"/>
    </xf>
    <xf numFmtId="0" fontId="53" fillId="8" borderId="0" xfId="0" applyFont="1" applyFill="1" applyAlignment="1">
      <alignment horizontal="right"/>
    </xf>
    <xf numFmtId="0" fontId="3" fillId="8" borderId="24" xfId="0" applyFont="1" applyFill="1" applyBorder="1"/>
    <xf numFmtId="0" fontId="3" fillId="8" borderId="25" xfId="0" applyFont="1" applyFill="1" applyBorder="1"/>
    <xf numFmtId="0" fontId="3" fillId="8" borderId="23" xfId="0" applyFont="1" applyFill="1" applyBorder="1"/>
    <xf numFmtId="0" fontId="3" fillId="8" borderId="39" xfId="0" applyFont="1" applyFill="1" applyBorder="1"/>
    <xf numFmtId="0" fontId="3" fillId="8" borderId="40" xfId="0" applyFont="1" applyFill="1" applyBorder="1"/>
    <xf numFmtId="0" fontId="23" fillId="8" borderId="22" xfId="0" applyFont="1" applyFill="1" applyBorder="1" applyAlignment="1">
      <alignment vertical="center"/>
    </xf>
    <xf numFmtId="0" fontId="18" fillId="3" borderId="22" xfId="0" applyFont="1" applyFill="1" applyBorder="1"/>
    <xf numFmtId="0" fontId="4" fillId="8" borderId="39" xfId="0" applyFont="1" applyFill="1" applyBorder="1"/>
    <xf numFmtId="0" fontId="3" fillId="12" borderId="25" xfId="0" applyFont="1" applyFill="1" applyBorder="1"/>
    <xf numFmtId="0" fontId="18" fillId="8" borderId="25" xfId="0" applyFont="1" applyFill="1" applyBorder="1"/>
    <xf numFmtId="0" fontId="18" fillId="8" borderId="26" xfId="0" applyFont="1" applyFill="1" applyBorder="1"/>
    <xf numFmtId="0" fontId="3" fillId="0" borderId="1" xfId="0" applyFont="1" applyBorder="1"/>
    <xf numFmtId="0" fontId="3" fillId="0" borderId="22" xfId="0" applyFont="1" applyBorder="1"/>
    <xf numFmtId="2" fontId="0" fillId="0" borderId="0" xfId="0" applyNumberFormat="1" applyAlignment="1">
      <alignment horizontal="right"/>
    </xf>
    <xf numFmtId="0" fontId="56" fillId="0" borderId="0" xfId="0" applyFont="1"/>
    <xf numFmtId="0" fontId="3" fillId="8" borderId="0" xfId="4" applyFill="1"/>
    <xf numFmtId="0" fontId="12" fillId="8" borderId="0" xfId="4" applyFont="1" applyFill="1" applyAlignment="1">
      <alignment vertical="center"/>
    </xf>
    <xf numFmtId="0" fontId="3" fillId="16" borderId="17" xfId="4" applyFill="1" applyBorder="1" applyAlignment="1">
      <alignment horizontal="center" vertical="center"/>
    </xf>
    <xf numFmtId="0" fontId="3" fillId="8" borderId="0" xfId="4" applyFill="1" applyAlignment="1">
      <alignment vertical="center"/>
    </xf>
    <xf numFmtId="0" fontId="3" fillId="17" borderId="17" xfId="4" applyFill="1" applyBorder="1" applyAlignment="1">
      <alignment horizontal="center" vertical="center"/>
    </xf>
    <xf numFmtId="0" fontId="3" fillId="17" borderId="11" xfId="4" applyFill="1" applyBorder="1" applyAlignment="1">
      <alignment vertical="center" wrapText="1"/>
    </xf>
    <xf numFmtId="170" fontId="3" fillId="17" borderId="11" xfId="4" applyNumberFormat="1" applyFill="1" applyBorder="1" applyAlignment="1">
      <alignment horizontal="center" vertical="center"/>
    </xf>
    <xf numFmtId="0" fontId="3" fillId="17" borderId="11" xfId="4" quotePrefix="1" applyFill="1" applyBorder="1" applyAlignment="1">
      <alignment horizontal="left" vertical="center"/>
    </xf>
    <xf numFmtId="0" fontId="3" fillId="17" borderId="11" xfId="4" applyFill="1" applyBorder="1" applyAlignment="1">
      <alignment horizontal="left" vertical="center"/>
    </xf>
    <xf numFmtId="0" fontId="3" fillId="12" borderId="17" xfId="4" applyFill="1" applyBorder="1" applyAlignment="1">
      <alignment horizontal="center" vertical="center"/>
    </xf>
    <xf numFmtId="0" fontId="3" fillId="12" borderId="11" xfId="4" applyFill="1" applyBorder="1" applyAlignment="1">
      <alignment vertical="center" wrapText="1"/>
    </xf>
    <xf numFmtId="170" fontId="3" fillId="12" borderId="11" xfId="4" applyNumberFormat="1" applyFill="1" applyBorder="1" applyAlignment="1">
      <alignment horizontal="center" vertical="center"/>
    </xf>
    <xf numFmtId="0" fontId="3" fillId="12" borderId="11" xfId="4" quotePrefix="1" applyFill="1" applyBorder="1" applyAlignment="1">
      <alignment horizontal="left" vertical="center"/>
    </xf>
    <xf numFmtId="0" fontId="3" fillId="12" borderId="11" xfId="4" applyFill="1" applyBorder="1" applyAlignment="1">
      <alignment horizontal="left" vertical="center"/>
    </xf>
    <xf numFmtId="0" fontId="3" fillId="16" borderId="11" xfId="4" applyFill="1" applyBorder="1" applyAlignment="1">
      <alignment vertical="center" wrapText="1"/>
    </xf>
    <xf numFmtId="0" fontId="3" fillId="16" borderId="11" xfId="4" quotePrefix="1" applyFill="1" applyBorder="1" applyAlignment="1">
      <alignment horizontal="left" vertical="center"/>
    </xf>
    <xf numFmtId="0" fontId="3" fillId="16" borderId="11" xfId="4" applyFill="1" applyBorder="1" applyAlignment="1">
      <alignment horizontal="left" vertical="center"/>
    </xf>
    <xf numFmtId="171" fontId="3" fillId="16" borderId="11" xfId="4" applyNumberFormat="1" applyFill="1" applyBorder="1" applyAlignment="1">
      <alignment horizontal="center" vertical="center"/>
    </xf>
    <xf numFmtId="172" fontId="3" fillId="16" borderId="11" xfId="4" applyNumberFormat="1" applyFill="1" applyBorder="1" applyAlignment="1">
      <alignment horizontal="center" vertical="center"/>
    </xf>
    <xf numFmtId="0" fontId="3" fillId="12" borderId="0" xfId="4" applyFill="1"/>
    <xf numFmtId="1" fontId="0" fillId="4" borderId="0" xfId="0" applyNumberFormat="1" applyFill="1"/>
    <xf numFmtId="0" fontId="3" fillId="8" borderId="0" xfId="0" applyFont="1" applyFill="1" applyAlignment="1">
      <alignment vertical="center"/>
    </xf>
    <xf numFmtId="0" fontId="3" fillId="8" borderId="22" xfId="0" applyFont="1" applyFill="1" applyBorder="1" applyAlignment="1">
      <alignment vertical="center"/>
    </xf>
    <xf numFmtId="0" fontId="3" fillId="8" borderId="0" xfId="0" applyFont="1" applyFill="1" applyAlignment="1">
      <alignment horizontal="right" vertical="center"/>
    </xf>
    <xf numFmtId="0" fontId="3" fillId="8" borderId="23" xfId="0" applyFont="1" applyFill="1" applyBorder="1" applyAlignment="1">
      <alignment vertical="center"/>
    </xf>
    <xf numFmtId="0" fontId="3" fillId="8" borderId="24" xfId="0" applyFont="1" applyFill="1" applyBorder="1" applyAlignment="1">
      <alignment vertical="center"/>
    </xf>
    <xf numFmtId="0" fontId="3" fillId="8" borderId="25" xfId="0" applyFont="1" applyFill="1" applyBorder="1" applyAlignment="1">
      <alignment vertical="center"/>
    </xf>
    <xf numFmtId="0" fontId="3" fillId="8" borderId="25" xfId="0" applyFont="1" applyFill="1" applyBorder="1" applyAlignment="1">
      <alignment horizontal="right" vertical="center"/>
    </xf>
    <xf numFmtId="0" fontId="3" fillId="8" borderId="26" xfId="0" applyFont="1" applyFill="1" applyBorder="1" applyAlignment="1">
      <alignment vertical="center"/>
    </xf>
    <xf numFmtId="0" fontId="3" fillId="8" borderId="37" xfId="0" applyFont="1" applyFill="1" applyBorder="1" applyAlignment="1">
      <alignment vertical="center"/>
    </xf>
    <xf numFmtId="0" fontId="3" fillId="8" borderId="2" xfId="0" applyFont="1" applyFill="1" applyBorder="1" applyAlignment="1">
      <alignment vertical="center"/>
    </xf>
    <xf numFmtId="0" fontId="3" fillId="8" borderId="2" xfId="0" applyFont="1" applyFill="1" applyBorder="1" applyAlignment="1">
      <alignment horizontal="right" vertical="center"/>
    </xf>
    <xf numFmtId="0" fontId="53" fillId="8" borderId="2" xfId="0" applyFont="1" applyFill="1" applyBorder="1" applyAlignment="1">
      <alignment horizontal="right" vertical="center"/>
    </xf>
    <xf numFmtId="0" fontId="4" fillId="15" borderId="2" xfId="0" applyFont="1" applyFill="1" applyBorder="1" applyAlignment="1" applyProtection="1">
      <alignment vertical="center"/>
      <protection locked="0"/>
    </xf>
    <xf numFmtId="0" fontId="53" fillId="8" borderId="0" xfId="0" applyFont="1" applyFill="1" applyAlignment="1">
      <alignment horizontal="right" vertical="center"/>
    </xf>
    <xf numFmtId="0" fontId="4" fillId="15" borderId="0" xfId="0" applyFont="1" applyFill="1" applyAlignment="1" applyProtection="1">
      <alignment vertical="center"/>
      <protection locked="0"/>
    </xf>
    <xf numFmtId="0" fontId="4" fillId="8" borderId="23" xfId="0" applyFont="1" applyFill="1" applyBorder="1" applyAlignment="1">
      <alignment vertical="center"/>
    </xf>
    <xf numFmtId="1" fontId="3" fillId="8" borderId="0" xfId="0" applyNumberFormat="1" applyFont="1" applyFill="1" applyAlignment="1">
      <alignment horizontal="right" vertical="center"/>
    </xf>
    <xf numFmtId="0" fontId="53" fillId="12" borderId="0" xfId="0" applyFont="1" applyFill="1" applyAlignment="1">
      <alignment horizontal="right" vertical="center"/>
    </xf>
    <xf numFmtId="0" fontId="4" fillId="8" borderId="0" xfId="0" applyFont="1" applyFill="1" applyAlignment="1">
      <alignment vertical="center"/>
    </xf>
    <xf numFmtId="0" fontId="4" fillId="8" borderId="0" xfId="0" applyFont="1" applyFill="1" applyAlignment="1">
      <alignment horizontal="right" vertical="center"/>
    </xf>
    <xf numFmtId="0" fontId="4" fillId="15" borderId="0" xfId="0" applyFont="1" applyFill="1" applyAlignment="1" applyProtection="1">
      <alignment horizontal="right" vertical="center"/>
      <protection locked="0"/>
    </xf>
    <xf numFmtId="0" fontId="3" fillId="8" borderId="38" xfId="0" applyFont="1" applyFill="1" applyBorder="1" applyAlignment="1">
      <alignment vertical="center"/>
    </xf>
    <xf numFmtId="0" fontId="3" fillId="8" borderId="39" xfId="0" applyFont="1" applyFill="1" applyBorder="1" applyAlignment="1">
      <alignment vertical="center"/>
    </xf>
    <xf numFmtId="2" fontId="8" fillId="10" borderId="2" xfId="0" applyNumberFormat="1" applyFont="1" applyFill="1" applyBorder="1"/>
    <xf numFmtId="2" fontId="8" fillId="10" borderId="0" xfId="0" applyNumberFormat="1" applyFont="1" applyFill="1"/>
    <xf numFmtId="11" fontId="8" fillId="10" borderId="0" xfId="0" applyNumberFormat="1" applyFont="1" applyFill="1"/>
    <xf numFmtId="168" fontId="8" fillId="10" borderId="0" xfId="0" applyNumberFormat="1" applyFont="1" applyFill="1"/>
    <xf numFmtId="0" fontId="0" fillId="0" borderId="35" xfId="0" applyBorder="1"/>
    <xf numFmtId="0" fontId="0" fillId="18" borderId="0" xfId="0" applyFill="1"/>
    <xf numFmtId="0" fontId="3" fillId="0" borderId="0" xfId="0" applyFont="1" applyAlignment="1">
      <alignment horizontal="right"/>
    </xf>
    <xf numFmtId="0" fontId="4" fillId="0" borderId="35" xfId="0" applyFont="1" applyBorder="1" applyAlignment="1">
      <alignment horizontal="right"/>
    </xf>
    <xf numFmtId="0" fontId="4" fillId="0" borderId="25" xfId="0" applyFont="1" applyBorder="1" applyAlignment="1">
      <alignment horizontal="right"/>
    </xf>
    <xf numFmtId="0" fontId="4" fillId="0" borderId="0" xfId="0" applyFont="1" applyAlignment="1">
      <alignment horizontal="right"/>
    </xf>
    <xf numFmtId="0" fontId="4" fillId="0" borderId="35" xfId="0" applyFont="1" applyBorder="1"/>
    <xf numFmtId="0" fontId="4" fillId="0" borderId="25" xfId="0" applyFont="1" applyBorder="1"/>
    <xf numFmtId="0" fontId="4" fillId="0" borderId="0" xfId="0" applyFont="1" applyAlignment="1">
      <alignment horizontal="left"/>
    </xf>
    <xf numFmtId="166" fontId="8" fillId="10" borderId="0" xfId="0" applyNumberFormat="1" applyFont="1" applyFill="1"/>
    <xf numFmtId="166" fontId="9" fillId="10" borderId="0" xfId="0" applyNumberFormat="1" applyFont="1" applyFill="1"/>
    <xf numFmtId="166" fontId="4" fillId="18" borderId="2" xfId="0" applyNumberFormat="1" applyFont="1" applyFill="1" applyBorder="1"/>
    <xf numFmtId="2" fontId="0" fillId="18" borderId="0" xfId="0" applyNumberFormat="1" applyFill="1"/>
    <xf numFmtId="1" fontId="0" fillId="10" borderId="0" xfId="0" applyNumberFormat="1" applyFill="1"/>
    <xf numFmtId="0" fontId="3" fillId="0" borderId="35" xfId="0" applyFont="1" applyBorder="1"/>
    <xf numFmtId="0" fontId="3" fillId="0" borderId="24" xfId="0" applyFont="1" applyBorder="1"/>
    <xf numFmtId="0" fontId="8" fillId="0" borderId="25" xfId="0" applyFont="1" applyBorder="1"/>
    <xf numFmtId="167" fontId="0" fillId="0" borderId="0" xfId="0" applyNumberFormat="1"/>
    <xf numFmtId="0" fontId="4" fillId="0" borderId="46" xfId="0" applyFont="1" applyBorder="1"/>
    <xf numFmtId="0" fontId="0" fillId="20" borderId="0" xfId="0" applyFill="1"/>
    <xf numFmtId="0" fontId="16" fillId="0" borderId="28" xfId="0" applyFont="1" applyBorder="1"/>
    <xf numFmtId="0" fontId="3" fillId="0" borderId="0" xfId="4"/>
    <xf numFmtId="0" fontId="3" fillId="0" borderId="11" xfId="4" applyBorder="1"/>
    <xf numFmtId="2" fontId="3" fillId="0" borderId="0" xfId="4" applyNumberFormat="1"/>
    <xf numFmtId="166" fontId="0" fillId="0" borderId="0" xfId="0" applyNumberFormat="1"/>
    <xf numFmtId="1" fontId="8" fillId="10" borderId="0" xfId="0" applyNumberFormat="1" applyFont="1" applyFill="1"/>
    <xf numFmtId="0" fontId="3" fillId="0" borderId="50" xfId="0" applyFont="1" applyBorder="1"/>
    <xf numFmtId="166" fontId="3" fillId="0" borderId="51" xfId="0" applyNumberFormat="1" applyFont="1" applyBorder="1"/>
    <xf numFmtId="11" fontId="8" fillId="0" borderId="51" xfId="0" applyNumberFormat="1" applyFont="1" applyBorder="1"/>
    <xf numFmtId="0" fontId="56" fillId="0" borderId="51" xfId="0" applyFont="1" applyBorder="1"/>
    <xf numFmtId="0" fontId="52" fillId="0" borderId="0" xfId="0" applyFont="1"/>
    <xf numFmtId="0" fontId="4" fillId="0" borderId="24" xfId="0" applyFont="1" applyBorder="1"/>
    <xf numFmtId="164" fontId="4" fillId="0" borderId="0" xfId="0" applyNumberFormat="1" applyFont="1"/>
    <xf numFmtId="11" fontId="4" fillId="0" borderId="0" xfId="0" applyNumberFormat="1" applyFont="1"/>
    <xf numFmtId="0" fontId="0" fillId="0" borderId="39" xfId="0" applyBorder="1"/>
    <xf numFmtId="0" fontId="53" fillId="0" borderId="0" xfId="0" applyFont="1"/>
    <xf numFmtId="0" fontId="51" fillId="0" borderId="0" xfId="0" applyFont="1"/>
    <xf numFmtId="0" fontId="62" fillId="0" borderId="0" xfId="0" applyFont="1"/>
    <xf numFmtId="165" fontId="8" fillId="10" borderId="0" xfId="0" applyNumberFormat="1" applyFont="1" applyFill="1"/>
    <xf numFmtId="0" fontId="0" fillId="20" borderId="0" xfId="0" applyFill="1" applyAlignment="1">
      <alignment horizontal="right"/>
    </xf>
    <xf numFmtId="166" fontId="29" fillId="18" borderId="0" xfId="0" applyNumberFormat="1" applyFont="1" applyFill="1"/>
    <xf numFmtId="165" fontId="29" fillId="18" borderId="28" xfId="0" applyNumberFormat="1" applyFont="1" applyFill="1" applyBorder="1"/>
    <xf numFmtId="0" fontId="0" fillId="19" borderId="0" xfId="0" applyFill="1" applyAlignment="1">
      <alignment horizontal="right"/>
    </xf>
    <xf numFmtId="2" fontId="0" fillId="18" borderId="0" xfId="0" applyNumberFormat="1" applyFill="1" applyAlignment="1">
      <alignment horizontal="right"/>
    </xf>
    <xf numFmtId="166" fontId="3" fillId="0" borderId="11" xfId="4" applyNumberFormat="1" applyBorder="1"/>
    <xf numFmtId="0" fontId="0" fillId="19" borderId="0" xfId="0" applyFill="1"/>
    <xf numFmtId="176" fontId="9" fillId="10" borderId="0" xfId="0" applyNumberFormat="1" applyFont="1" applyFill="1"/>
    <xf numFmtId="2" fontId="3" fillId="0" borderId="0" xfId="0" applyNumberFormat="1" applyFont="1"/>
    <xf numFmtId="0" fontId="3" fillId="20" borderId="0" xfId="0" applyFont="1" applyFill="1"/>
    <xf numFmtId="165" fontId="3" fillId="18" borderId="25" xfId="0" applyNumberFormat="1" applyFont="1" applyFill="1" applyBorder="1"/>
    <xf numFmtId="0" fontId="3" fillId="0" borderId="8" xfId="4" applyBorder="1"/>
    <xf numFmtId="177" fontId="4" fillId="10" borderId="0" xfId="0" applyNumberFormat="1" applyFont="1" applyFill="1"/>
    <xf numFmtId="177" fontId="3" fillId="4" borderId="0" xfId="0" applyNumberFormat="1" applyFont="1" applyFill="1"/>
    <xf numFmtId="177" fontId="29" fillId="4" borderId="0" xfId="0" applyNumberFormat="1" applyFont="1" applyFill="1"/>
    <xf numFmtId="177" fontId="0" fillId="10" borderId="0" xfId="0" applyNumberFormat="1" applyFill="1"/>
    <xf numFmtId="177" fontId="0" fillId="4" borderId="25" xfId="0" applyNumberFormat="1" applyFill="1" applyBorder="1"/>
    <xf numFmtId="1" fontId="3" fillId="0" borderId="0" xfId="4" applyNumberFormat="1"/>
    <xf numFmtId="0" fontId="16" fillId="0" borderId="33" xfId="0" applyFont="1" applyBorder="1"/>
    <xf numFmtId="2" fontId="16" fillId="4" borderId="0" xfId="0" applyNumberFormat="1" applyFont="1" applyFill="1" applyAlignment="1">
      <alignment horizontal="right"/>
    </xf>
    <xf numFmtId="2" fontId="29" fillId="18" borderId="0" xfId="0" applyNumberFormat="1" applyFont="1" applyFill="1" applyAlignment="1">
      <alignment horizontal="right"/>
    </xf>
    <xf numFmtId="165" fontId="4" fillId="10" borderId="0" xfId="0" applyNumberFormat="1" applyFont="1" applyFill="1"/>
    <xf numFmtId="166" fontId="9" fillId="0" borderId="0" xfId="0" applyNumberFormat="1" applyFont="1"/>
    <xf numFmtId="0" fontId="57" fillId="3" borderId="43" xfId="4" applyFont="1" applyFill="1" applyBorder="1" applyAlignment="1">
      <alignment horizontal="center" vertical="center"/>
    </xf>
    <xf numFmtId="0" fontId="57" fillId="3" borderId="44" xfId="4" applyFont="1" applyFill="1" applyBorder="1" applyAlignment="1">
      <alignment horizontal="center" vertical="center"/>
    </xf>
    <xf numFmtId="11" fontId="52" fillId="0" borderId="0" xfId="0" applyNumberFormat="1" applyFont="1"/>
    <xf numFmtId="0" fontId="64" fillId="0" borderId="0" xfId="0" applyFont="1"/>
    <xf numFmtId="0" fontId="3" fillId="8" borderId="35" xfId="0" applyFont="1" applyFill="1" applyBorder="1" applyAlignment="1">
      <alignment horizontal="right" vertical="center"/>
    </xf>
    <xf numFmtId="0" fontId="53" fillId="15" borderId="35" xfId="0" applyFont="1" applyFill="1" applyBorder="1" applyAlignment="1" applyProtection="1">
      <alignment vertical="center"/>
      <protection locked="0"/>
    </xf>
    <xf numFmtId="0" fontId="4" fillId="8" borderId="36" xfId="0" applyFont="1" applyFill="1" applyBorder="1" applyAlignment="1">
      <alignment vertical="center"/>
    </xf>
    <xf numFmtId="166" fontId="0" fillId="4" borderId="0" xfId="0" applyNumberFormat="1" applyFill="1"/>
    <xf numFmtId="0" fontId="3" fillId="12" borderId="22" xfId="0" applyFont="1" applyFill="1" applyBorder="1" applyAlignment="1">
      <alignment vertical="center"/>
    </xf>
    <xf numFmtId="0" fontId="3" fillId="8" borderId="39" xfId="0" applyFont="1" applyFill="1" applyBorder="1" applyAlignment="1">
      <alignment horizontal="right"/>
    </xf>
    <xf numFmtId="1" fontId="3" fillId="8" borderId="39" xfId="0" applyNumberFormat="1" applyFont="1" applyFill="1" applyBorder="1"/>
    <xf numFmtId="166" fontId="18" fillId="12" borderId="0" xfId="0" applyNumberFormat="1" applyFont="1" applyFill="1"/>
    <xf numFmtId="0" fontId="3" fillId="12" borderId="0" xfId="0" applyFont="1" applyFill="1" applyAlignment="1">
      <alignment horizontal="right" vertical="center"/>
    </xf>
    <xf numFmtId="1" fontId="4" fillId="12" borderId="0" xfId="0" applyNumberFormat="1" applyFont="1" applyFill="1" applyAlignment="1" applyProtection="1">
      <alignment vertical="center"/>
      <protection locked="0"/>
    </xf>
    <xf numFmtId="165" fontId="18" fillId="12" borderId="0" xfId="0" applyNumberFormat="1" applyFont="1" applyFill="1"/>
    <xf numFmtId="0" fontId="3" fillId="12" borderId="0" xfId="0" applyFont="1" applyFill="1" applyAlignment="1">
      <alignment vertical="center"/>
    </xf>
    <xf numFmtId="0" fontId="4" fillId="12" borderId="0" xfId="0" applyFont="1" applyFill="1" applyAlignment="1">
      <alignment vertical="center"/>
    </xf>
    <xf numFmtId="0" fontId="68" fillId="8" borderId="0" xfId="0" applyFont="1" applyFill="1" applyAlignment="1">
      <alignment horizontal="right" vertical="center"/>
    </xf>
    <xf numFmtId="165" fontId="3" fillId="0" borderId="0" xfId="4" applyNumberFormat="1"/>
    <xf numFmtId="166" fontId="3" fillId="0" borderId="0" xfId="4" applyNumberFormat="1"/>
    <xf numFmtId="164" fontId="3" fillId="0" borderId="0" xfId="4" applyNumberFormat="1"/>
    <xf numFmtId="10" fontId="3" fillId="0" borderId="0" xfId="4" applyNumberFormat="1"/>
    <xf numFmtId="0" fontId="4" fillId="4" borderId="50" xfId="4" applyFont="1" applyFill="1" applyBorder="1"/>
    <xf numFmtId="0" fontId="8" fillId="4" borderId="35" xfId="4" applyFont="1" applyFill="1" applyBorder="1"/>
    <xf numFmtId="165" fontId="3" fillId="4" borderId="53" xfId="4" applyNumberFormat="1" applyFill="1" applyBorder="1"/>
    <xf numFmtId="0" fontId="4" fillId="4" borderId="51" xfId="4" applyFont="1" applyFill="1" applyBorder="1"/>
    <xf numFmtId="165" fontId="3" fillId="4" borderId="51" xfId="4" applyNumberFormat="1" applyFill="1" applyBorder="1"/>
    <xf numFmtId="1" fontId="3" fillId="4" borderId="51" xfId="4" applyNumberFormat="1" applyFill="1" applyBorder="1"/>
    <xf numFmtId="165" fontId="4" fillId="4" borderId="50" xfId="4" applyNumberFormat="1" applyFont="1" applyFill="1" applyBorder="1"/>
    <xf numFmtId="165" fontId="8" fillId="4" borderId="51" xfId="4" applyNumberFormat="1" applyFont="1" applyFill="1" applyBorder="1"/>
    <xf numFmtId="0" fontId="8" fillId="4" borderId="51" xfId="4" applyFont="1" applyFill="1" applyBorder="1"/>
    <xf numFmtId="165" fontId="16" fillId="4" borderId="53" xfId="4" applyNumberFormat="1" applyFont="1" applyFill="1" applyBorder="1"/>
    <xf numFmtId="166" fontId="4" fillId="4" borderId="51" xfId="4" applyNumberFormat="1" applyFont="1" applyFill="1" applyBorder="1" applyAlignment="1">
      <alignment horizontal="left"/>
    </xf>
    <xf numFmtId="165" fontId="8" fillId="4" borderId="51" xfId="4" applyNumberFormat="1" applyFont="1" applyFill="1" applyBorder="1" applyAlignment="1">
      <alignment horizontal="center"/>
    </xf>
    <xf numFmtId="164" fontId="3" fillId="4" borderId="51" xfId="4" applyNumberFormat="1" applyFill="1" applyBorder="1"/>
    <xf numFmtId="164" fontId="3" fillId="4" borderId="53" xfId="4" applyNumberFormat="1" applyFill="1" applyBorder="1"/>
    <xf numFmtId="165" fontId="4" fillId="4" borderId="41" xfId="4" applyNumberFormat="1" applyFont="1" applyFill="1" applyBorder="1"/>
    <xf numFmtId="165" fontId="3" fillId="4" borderId="42" xfId="4" applyNumberFormat="1" applyFill="1" applyBorder="1"/>
    <xf numFmtId="165" fontId="4" fillId="4" borderId="54" xfId="4" applyNumberFormat="1" applyFont="1" applyFill="1" applyBorder="1"/>
    <xf numFmtId="165" fontId="3" fillId="4" borderId="55" xfId="4" applyNumberFormat="1" applyFill="1" applyBorder="1"/>
    <xf numFmtId="165" fontId="3" fillId="4" borderId="56" xfId="4" applyNumberFormat="1" applyFill="1" applyBorder="1"/>
    <xf numFmtId="165" fontId="4" fillId="4" borderId="41" xfId="4" applyNumberFormat="1" applyFont="1" applyFill="1" applyBorder="1" applyAlignment="1">
      <alignment horizontal="left"/>
    </xf>
    <xf numFmtId="165" fontId="4" fillId="4" borderId="42" xfId="4" applyNumberFormat="1" applyFont="1" applyFill="1" applyBorder="1" applyAlignment="1">
      <alignment horizontal="left"/>
    </xf>
    <xf numFmtId="165" fontId="3" fillId="4" borderId="57" xfId="4" applyNumberFormat="1" applyFill="1" applyBorder="1"/>
    <xf numFmtId="0" fontId="8" fillId="4" borderId="53" xfId="4" applyFont="1" applyFill="1" applyBorder="1"/>
    <xf numFmtId="0" fontId="17" fillId="3" borderId="4" xfId="4" applyFont="1" applyFill="1" applyBorder="1" applyAlignment="1">
      <alignment vertical="center"/>
    </xf>
    <xf numFmtId="0" fontId="17" fillId="3" borderId="4" xfId="4" applyFont="1" applyFill="1" applyBorder="1"/>
    <xf numFmtId="0" fontId="13" fillId="3" borderId="0" xfId="4" applyFont="1" applyFill="1"/>
    <xf numFmtId="0" fontId="3" fillId="3" borderId="0" xfId="4" applyFill="1"/>
    <xf numFmtId="0" fontId="4" fillId="2" borderId="5" xfId="4" applyFont="1" applyFill="1" applyBorder="1" applyAlignment="1">
      <alignment horizontal="center" vertical="center" wrapText="1"/>
    </xf>
    <xf numFmtId="0" fontId="4" fillId="2" borderId="6" xfId="4" applyFont="1" applyFill="1" applyBorder="1" applyAlignment="1">
      <alignment horizontal="center" vertical="center" wrapText="1"/>
    </xf>
    <xf numFmtId="165" fontId="4" fillId="2" borderId="7" xfId="4" applyNumberFormat="1" applyFont="1" applyFill="1" applyBorder="1" applyAlignment="1">
      <alignment horizontal="center" vertical="center" wrapText="1"/>
    </xf>
    <xf numFmtId="165" fontId="4" fillId="2" borderId="6" xfId="4" applyNumberFormat="1" applyFont="1" applyFill="1" applyBorder="1" applyAlignment="1">
      <alignment horizontal="center" vertical="center" wrapText="1"/>
    </xf>
    <xf numFmtId="1" fontId="4" fillId="2" borderId="58" xfId="4" applyNumberFormat="1" applyFont="1" applyFill="1" applyBorder="1" applyAlignment="1">
      <alignment horizontal="center" vertical="center" wrapText="1"/>
    </xf>
    <xf numFmtId="1" fontId="4" fillId="2" borderId="6" xfId="4" applyNumberFormat="1" applyFont="1" applyFill="1" applyBorder="1" applyAlignment="1">
      <alignment horizontal="center" vertical="center" wrapText="1"/>
    </xf>
    <xf numFmtId="165" fontId="4" fillId="2" borderId="5" xfId="4" applyNumberFormat="1" applyFont="1" applyFill="1" applyBorder="1" applyAlignment="1">
      <alignment horizontal="center" vertical="center" wrapText="1"/>
    </xf>
    <xf numFmtId="166" fontId="4" fillId="2" borderId="20" xfId="4" applyNumberFormat="1" applyFont="1" applyFill="1" applyBorder="1" applyAlignment="1">
      <alignment horizontal="center" vertical="center" wrapText="1"/>
    </xf>
    <xf numFmtId="164" fontId="4" fillId="2" borderId="6" xfId="4" applyNumberFormat="1" applyFont="1" applyFill="1" applyBorder="1" applyAlignment="1">
      <alignment horizontal="center" vertical="center" wrapText="1"/>
    </xf>
    <xf numFmtId="164" fontId="4" fillId="2" borderId="7" xfId="4" applyNumberFormat="1" applyFont="1" applyFill="1" applyBorder="1" applyAlignment="1">
      <alignment horizontal="center" vertical="center" wrapText="1"/>
    </xf>
    <xf numFmtId="165" fontId="4" fillId="2" borderId="19" xfId="4" applyNumberFormat="1" applyFont="1" applyFill="1" applyBorder="1" applyAlignment="1">
      <alignment horizontal="center" vertical="center" wrapText="1"/>
    </xf>
    <xf numFmtId="165" fontId="4" fillId="2" borderId="21" xfId="4" applyNumberFormat="1" applyFont="1" applyFill="1" applyBorder="1" applyAlignment="1">
      <alignment horizontal="center" vertical="center" wrapText="1"/>
    </xf>
    <xf numFmtId="165" fontId="4" fillId="2" borderId="59" xfId="4" applyNumberFormat="1" applyFont="1" applyFill="1" applyBorder="1" applyAlignment="1">
      <alignment horizontal="center" vertical="center" wrapText="1"/>
    </xf>
    <xf numFmtId="165" fontId="4" fillId="2" borderId="60" xfId="4" applyNumberFormat="1" applyFont="1" applyFill="1" applyBorder="1" applyAlignment="1">
      <alignment horizontal="center" vertical="center" wrapText="1"/>
    </xf>
    <xf numFmtId="165" fontId="4" fillId="2" borderId="61" xfId="4" applyNumberFormat="1" applyFont="1" applyFill="1" applyBorder="1" applyAlignment="1">
      <alignment horizontal="center" vertical="center" wrapText="1"/>
    </xf>
    <xf numFmtId="2" fontId="4" fillId="7" borderId="14" xfId="4" applyNumberFormat="1" applyFont="1" applyFill="1" applyBorder="1" applyAlignment="1">
      <alignment horizontal="center" vertical="center" wrapText="1"/>
    </xf>
    <xf numFmtId="0" fontId="4" fillId="2" borderId="55" xfId="4" applyFont="1" applyFill="1" applyBorder="1" applyAlignment="1">
      <alignment horizontal="center" vertical="center" wrapText="1"/>
    </xf>
    <xf numFmtId="0" fontId="4" fillId="2" borderId="42" xfId="4" applyFont="1" applyFill="1" applyBorder="1" applyAlignment="1">
      <alignment horizontal="center" vertical="center" wrapText="1"/>
    </xf>
    <xf numFmtId="0" fontId="4" fillId="2" borderId="18" xfId="4" applyFont="1" applyFill="1" applyBorder="1" applyAlignment="1">
      <alignment horizontal="center" vertical="center" wrapText="1"/>
    </xf>
    <xf numFmtId="1" fontId="4" fillId="2" borderId="0" xfId="4" quotePrefix="1" applyNumberFormat="1" applyFont="1" applyFill="1" applyAlignment="1">
      <alignment horizontal="center" vertical="center" wrapText="1"/>
    </xf>
    <xf numFmtId="0" fontId="3" fillId="0" borderId="0" xfId="4" quotePrefix="1"/>
    <xf numFmtId="0" fontId="4" fillId="2" borderId="0" xfId="4" applyFont="1" applyFill="1" applyAlignment="1">
      <alignment horizontal="center" vertical="center" wrapText="1"/>
    </xf>
    <xf numFmtId="0" fontId="4" fillId="5" borderId="8" xfId="4" applyFont="1" applyFill="1" applyBorder="1"/>
    <xf numFmtId="0" fontId="4" fillId="5" borderId="9" xfId="4" applyFont="1" applyFill="1" applyBorder="1"/>
    <xf numFmtId="0" fontId="4" fillId="5" borderId="10" xfId="4" applyFont="1" applyFill="1" applyBorder="1"/>
    <xf numFmtId="0" fontId="4" fillId="5" borderId="11" xfId="4" applyFont="1" applyFill="1" applyBorder="1"/>
    <xf numFmtId="0" fontId="4" fillId="0" borderId="0" xfId="4" applyFont="1"/>
    <xf numFmtId="168" fontId="3" fillId="0" borderId="0" xfId="4" applyNumberFormat="1"/>
    <xf numFmtId="11" fontId="3" fillId="0" borderId="0" xfId="4" applyNumberFormat="1"/>
    <xf numFmtId="2" fontId="3" fillId="0" borderId="11" xfId="4" applyNumberFormat="1" applyBorder="1"/>
    <xf numFmtId="1" fontId="3" fillId="0" borderId="0" xfId="4" applyNumberFormat="1" applyProtection="1">
      <protection locked="0"/>
    </xf>
    <xf numFmtId="10" fontId="3" fillId="0" borderId="0" xfId="4" applyNumberFormat="1" applyProtection="1">
      <protection locked="0"/>
    </xf>
    <xf numFmtId="0" fontId="4" fillId="6" borderId="12" xfId="4" applyFont="1" applyFill="1" applyBorder="1"/>
    <xf numFmtId="0" fontId="3" fillId="2" borderId="11" xfId="4" applyFill="1" applyBorder="1" applyProtection="1">
      <protection locked="0"/>
    </xf>
    <xf numFmtId="0" fontId="4" fillId="6" borderId="11" xfId="4" applyFont="1" applyFill="1" applyBorder="1"/>
    <xf numFmtId="0" fontId="56" fillId="0" borderId="11" xfId="4" applyFont="1" applyBorder="1"/>
    <xf numFmtId="0" fontId="3" fillId="4" borderId="11" xfId="4" applyFill="1" applyBorder="1"/>
    <xf numFmtId="0" fontId="3" fillId="4" borderId="11" xfId="4" applyFill="1" applyBorder="1" applyProtection="1">
      <protection locked="0"/>
    </xf>
    <xf numFmtId="0" fontId="15" fillId="3" borderId="0" xfId="4" applyFont="1" applyFill="1"/>
    <xf numFmtId="0" fontId="4" fillId="5" borderId="15" xfId="4" applyFont="1" applyFill="1" applyBorder="1"/>
    <xf numFmtId="166" fontId="16" fillId="22" borderId="11" xfId="4" applyNumberFormat="1" applyFont="1" applyFill="1" applyBorder="1"/>
    <xf numFmtId="0" fontId="3" fillId="0" borderId="15" xfId="4" applyBorder="1"/>
    <xf numFmtId="11" fontId="3" fillId="0" borderId="8" xfId="4" applyNumberFormat="1" applyBorder="1"/>
    <xf numFmtId="11" fontId="3" fillId="0" borderId="11" xfId="4" applyNumberFormat="1" applyBorder="1"/>
    <xf numFmtId="1" fontId="16" fillId="22" borderId="11" xfId="4" applyNumberFormat="1" applyFont="1" applyFill="1" applyBorder="1"/>
    <xf numFmtId="1" fontId="70" fillId="22" borderId="11" xfId="4" applyNumberFormat="1" applyFont="1" applyFill="1" applyBorder="1"/>
    <xf numFmtId="1" fontId="3" fillId="0" borderId="8" xfId="4" applyNumberFormat="1" applyBorder="1"/>
    <xf numFmtId="167" fontId="16" fillId="22" borderId="11" xfId="4" applyNumberFormat="1" applyFont="1" applyFill="1" applyBorder="1"/>
    <xf numFmtId="165" fontId="3" fillId="0" borderId="8" xfId="4" applyNumberFormat="1" applyBorder="1"/>
    <xf numFmtId="0" fontId="3" fillId="23" borderId="11" xfId="4" applyFill="1" applyBorder="1"/>
    <xf numFmtId="1" fontId="16" fillId="22" borderId="11" xfId="4" applyNumberFormat="1" applyFont="1" applyFill="1" applyBorder="1" applyProtection="1">
      <protection locked="0"/>
    </xf>
    <xf numFmtId="175" fontId="3" fillId="0" borderId="11" xfId="4" applyNumberFormat="1" applyBorder="1"/>
    <xf numFmtId="0" fontId="4" fillId="6" borderId="8" xfId="4" applyFont="1" applyFill="1" applyBorder="1"/>
    <xf numFmtId="0" fontId="4" fillId="0" borderId="0" xfId="4" applyFont="1" applyAlignment="1">
      <alignment horizontal="right"/>
    </xf>
    <xf numFmtId="0" fontId="3" fillId="6" borderId="8" xfId="4" applyFill="1" applyBorder="1"/>
    <xf numFmtId="0" fontId="3" fillId="0" borderId="48" xfId="4" applyBorder="1"/>
    <xf numFmtId="0" fontId="56" fillId="0" borderId="15" xfId="4" applyFont="1" applyBorder="1"/>
    <xf numFmtId="177" fontId="3" fillId="0" borderId="48" xfId="4" applyNumberFormat="1" applyBorder="1"/>
    <xf numFmtId="0" fontId="4" fillId="0" borderId="11" xfId="4" applyFont="1" applyBorder="1"/>
    <xf numFmtId="0" fontId="4" fillId="6" borderId="49" xfId="4" applyFont="1" applyFill="1" applyBorder="1"/>
    <xf numFmtId="0" fontId="3" fillId="0" borderId="16" xfId="4" applyBorder="1"/>
    <xf numFmtId="11" fontId="3" fillId="0" borderId="49" xfId="4" applyNumberFormat="1" applyBorder="1"/>
    <xf numFmtId="0" fontId="3" fillId="0" borderId="12" xfId="4" applyBorder="1"/>
    <xf numFmtId="0" fontId="4" fillId="5" borderId="0" xfId="4" applyFont="1" applyFill="1"/>
    <xf numFmtId="0" fontId="4" fillId="5" borderId="14" xfId="4" applyFont="1" applyFill="1" applyBorder="1"/>
    <xf numFmtId="0" fontId="3" fillId="0" borderId="11" xfId="4" applyBorder="1" applyProtection="1">
      <protection locked="0"/>
    </xf>
    <xf numFmtId="0" fontId="3" fillId="6" borderId="9" xfId="4" applyFill="1" applyBorder="1"/>
    <xf numFmtId="0" fontId="3" fillId="0" borderId="48" xfId="4" applyBorder="1" applyProtection="1">
      <protection locked="0"/>
    </xf>
    <xf numFmtId="0" fontId="3" fillId="6" borderId="0" xfId="4" applyFill="1"/>
    <xf numFmtId="0" fontId="4" fillId="5" borderId="4" xfId="4" applyFont="1" applyFill="1" applyBorder="1"/>
    <xf numFmtId="0" fontId="4" fillId="5" borderId="12" xfId="4" applyFont="1" applyFill="1" applyBorder="1"/>
    <xf numFmtId="0" fontId="3" fillId="6" borderId="11" xfId="4" applyFill="1" applyBorder="1"/>
    <xf numFmtId="0" fontId="3" fillId="0" borderId="52" xfId="4" applyBorder="1" applyProtection="1">
      <protection locked="0"/>
    </xf>
    <xf numFmtId="0" fontId="3" fillId="21" borderId="52" xfId="4" applyFill="1" applyBorder="1" applyProtection="1">
      <protection locked="0"/>
    </xf>
    <xf numFmtId="177" fontId="3" fillId="0" borderId="11" xfId="4" applyNumberFormat="1" applyBorder="1"/>
    <xf numFmtId="0" fontId="4" fillId="5" borderId="0" xfId="4" applyFont="1" applyFill="1" applyProtection="1">
      <protection locked="0"/>
    </xf>
    <xf numFmtId="0" fontId="4" fillId="5" borderId="13" xfId="4" applyFont="1" applyFill="1" applyBorder="1"/>
    <xf numFmtId="167" fontId="62" fillId="0" borderId="0" xfId="4" applyNumberFormat="1" applyFont="1"/>
    <xf numFmtId="0" fontId="62" fillId="0" borderId="0" xfId="4" applyFont="1"/>
    <xf numFmtId="0" fontId="51" fillId="0" borderId="0" xfId="4" applyFont="1"/>
    <xf numFmtId="2" fontId="4" fillId="0" borderId="0" xfId="4" applyNumberFormat="1" applyFont="1"/>
    <xf numFmtId="10" fontId="4" fillId="0" borderId="0" xfId="4" applyNumberFormat="1" applyFont="1"/>
    <xf numFmtId="165" fontId="51" fillId="0" borderId="0" xfId="4" applyNumberFormat="1" applyFont="1"/>
    <xf numFmtId="1" fontId="4" fillId="0" borderId="0" xfId="4" applyNumberFormat="1" applyFont="1"/>
    <xf numFmtId="165" fontId="4" fillId="0" borderId="0" xfId="4" applyNumberFormat="1" applyFont="1"/>
    <xf numFmtId="2" fontId="8" fillId="4" borderId="51" xfId="4" applyNumberFormat="1" applyFont="1" applyFill="1" applyBorder="1"/>
    <xf numFmtId="2" fontId="4" fillId="2" borderId="55" xfId="4" applyNumberFormat="1" applyFont="1" applyFill="1" applyBorder="1" applyAlignment="1">
      <alignment horizontal="center" vertical="center" wrapText="1"/>
    </xf>
    <xf numFmtId="2" fontId="8" fillId="4" borderId="53" xfId="4" applyNumberFormat="1" applyFont="1" applyFill="1" applyBorder="1"/>
    <xf numFmtId="2" fontId="4" fillId="2" borderId="18" xfId="4" applyNumberFormat="1" applyFont="1" applyFill="1" applyBorder="1" applyAlignment="1">
      <alignment horizontal="center" vertical="center" wrapText="1"/>
    </xf>
    <xf numFmtId="166" fontId="8" fillId="4" borderId="51" xfId="4" applyNumberFormat="1" applyFont="1" applyFill="1" applyBorder="1"/>
    <xf numFmtId="166" fontId="4" fillId="2" borderId="55" xfId="4" applyNumberFormat="1" applyFont="1" applyFill="1" applyBorder="1" applyAlignment="1">
      <alignment horizontal="center" vertical="center" wrapText="1"/>
    </xf>
    <xf numFmtId="166" fontId="4" fillId="2" borderId="42" xfId="4" applyNumberFormat="1" applyFont="1" applyFill="1" applyBorder="1" applyAlignment="1">
      <alignment horizontal="center" vertical="center" wrapText="1"/>
    </xf>
    <xf numFmtId="165" fontId="4" fillId="2" borderId="55" xfId="4" applyNumberFormat="1" applyFont="1" applyFill="1" applyBorder="1" applyAlignment="1">
      <alignment horizontal="center" vertical="center" wrapText="1"/>
    </xf>
    <xf numFmtId="10" fontId="8" fillId="4" borderId="51" xfId="4" applyNumberFormat="1" applyFont="1" applyFill="1" applyBorder="1"/>
    <xf numFmtId="10" fontId="4" fillId="2" borderId="55" xfId="4" applyNumberFormat="1" applyFont="1" applyFill="1" applyBorder="1" applyAlignment="1">
      <alignment horizontal="center" vertical="center" wrapText="1"/>
    </xf>
    <xf numFmtId="179" fontId="3" fillId="0" borderId="0" xfId="4" applyNumberFormat="1"/>
    <xf numFmtId="179" fontId="8" fillId="4" borderId="51" xfId="4" applyNumberFormat="1" applyFont="1" applyFill="1" applyBorder="1"/>
    <xf numFmtId="179" fontId="4" fillId="2" borderId="6" xfId="4" applyNumberFormat="1" applyFont="1" applyFill="1" applyBorder="1" applyAlignment="1">
      <alignment horizontal="center" vertical="center" wrapText="1"/>
    </xf>
    <xf numFmtId="179" fontId="4" fillId="2" borderId="19" xfId="4" applyNumberFormat="1" applyFont="1" applyFill="1" applyBorder="1" applyAlignment="1">
      <alignment horizontal="center" vertical="center" wrapText="1"/>
    </xf>
    <xf numFmtId="179" fontId="4" fillId="2" borderId="41" xfId="4" applyNumberFormat="1" applyFont="1" applyFill="1" applyBorder="1" applyAlignment="1">
      <alignment horizontal="center" vertical="center" wrapText="1"/>
    </xf>
    <xf numFmtId="179" fontId="4" fillId="2" borderId="55" xfId="4" applyNumberFormat="1" applyFont="1" applyFill="1" applyBorder="1" applyAlignment="1">
      <alignment horizontal="center" vertical="center" wrapText="1"/>
    </xf>
    <xf numFmtId="179" fontId="4" fillId="2" borderId="42" xfId="4" applyNumberFormat="1" applyFont="1" applyFill="1" applyBorder="1" applyAlignment="1">
      <alignment horizontal="center" vertical="center" wrapText="1"/>
    </xf>
    <xf numFmtId="179" fontId="4" fillId="0" borderId="0" xfId="4" applyNumberFormat="1" applyFont="1"/>
    <xf numFmtId="2" fontId="4" fillId="2" borderId="61" xfId="4" applyNumberFormat="1" applyFont="1" applyFill="1" applyBorder="1" applyAlignment="1">
      <alignment horizontal="center" vertical="center" wrapText="1"/>
    </xf>
    <xf numFmtId="2" fontId="4" fillId="2" borderId="21" xfId="4" applyNumberFormat="1" applyFont="1" applyFill="1" applyBorder="1" applyAlignment="1">
      <alignment horizontal="center" vertical="center" wrapText="1"/>
    </xf>
    <xf numFmtId="0" fontId="3" fillId="8" borderId="39" xfId="0" applyFont="1" applyFill="1" applyBorder="1" applyAlignment="1">
      <alignment horizontal="right" vertical="top"/>
    </xf>
    <xf numFmtId="0" fontId="4" fillId="8" borderId="0" xfId="0" applyFont="1" applyFill="1" applyAlignment="1">
      <alignment vertical="top"/>
    </xf>
    <xf numFmtId="167" fontId="3" fillId="2" borderId="11" xfId="4" applyNumberFormat="1" applyFill="1" applyBorder="1" applyProtection="1">
      <protection locked="0"/>
    </xf>
    <xf numFmtId="180" fontId="3" fillId="0" borderId="0" xfId="4" applyNumberFormat="1"/>
    <xf numFmtId="165" fontId="4" fillId="4" borderId="51" xfId="4" applyNumberFormat="1" applyFont="1" applyFill="1" applyBorder="1"/>
    <xf numFmtId="165" fontId="3" fillId="4" borderId="45" xfId="4" applyNumberFormat="1" applyFill="1" applyBorder="1"/>
    <xf numFmtId="165" fontId="4" fillId="2" borderId="54" xfId="4" applyNumberFormat="1" applyFont="1" applyFill="1" applyBorder="1" applyAlignment="1">
      <alignment horizontal="center" vertical="center" wrapText="1"/>
    </xf>
    <xf numFmtId="2" fontId="4" fillId="7" borderId="62" xfId="4" applyNumberFormat="1" applyFont="1" applyFill="1" applyBorder="1" applyAlignment="1">
      <alignment horizontal="center" vertical="center" wrapText="1"/>
    </xf>
    <xf numFmtId="167" fontId="3" fillId="0" borderId="0" xfId="4" applyNumberFormat="1" applyProtection="1">
      <protection locked="0"/>
    </xf>
    <xf numFmtId="2" fontId="16" fillId="22" borderId="11" xfId="4" applyNumberFormat="1" applyFont="1" applyFill="1" applyBorder="1"/>
    <xf numFmtId="177" fontId="3" fillId="0" borderId="52" xfId="4" applyNumberFormat="1" applyBorder="1" applyProtection="1">
      <protection locked="0"/>
    </xf>
    <xf numFmtId="177" fontId="3" fillId="0" borderId="15" xfId="4" applyNumberFormat="1" applyBorder="1"/>
    <xf numFmtId="0" fontId="3" fillId="0" borderId="52" xfId="4" applyBorder="1"/>
    <xf numFmtId="0" fontId="3" fillId="21" borderId="52" xfId="4" applyFill="1" applyBorder="1"/>
    <xf numFmtId="175" fontId="51" fillId="0" borderId="0" xfId="4" applyNumberFormat="1" applyFont="1"/>
    <xf numFmtId="11" fontId="0" fillId="0" borderId="0" xfId="0" applyNumberFormat="1"/>
    <xf numFmtId="9" fontId="8" fillId="10" borderId="0" xfId="0" applyNumberFormat="1" applyFont="1" applyFill="1"/>
    <xf numFmtId="1" fontId="3" fillId="0" borderId="48" xfId="4" applyNumberFormat="1" applyBorder="1"/>
    <xf numFmtId="1" fontId="3" fillId="0" borderId="52" xfId="4" applyNumberFormat="1" applyBorder="1" applyProtection="1">
      <protection locked="0"/>
    </xf>
    <xf numFmtId="2" fontId="3" fillId="0" borderId="0" xfId="4" applyNumberFormat="1" applyProtection="1">
      <protection locked="0"/>
    </xf>
    <xf numFmtId="1" fontId="4" fillId="2" borderId="50" xfId="4" quotePrefix="1" applyNumberFormat="1" applyFont="1" applyFill="1" applyBorder="1" applyAlignment="1">
      <alignment horizontal="center" vertical="center" wrapText="1"/>
    </xf>
    <xf numFmtId="0" fontId="3" fillId="0" borderId="63" xfId="4" quotePrefix="1" applyBorder="1"/>
    <xf numFmtId="2" fontId="4" fillId="2" borderId="56" xfId="4" applyNumberFormat="1" applyFont="1" applyFill="1" applyBorder="1" applyAlignment="1">
      <alignment horizontal="center" vertical="center" wrapText="1"/>
    </xf>
    <xf numFmtId="2" fontId="4" fillId="2" borderId="54" xfId="4" applyNumberFormat="1" applyFont="1" applyFill="1" applyBorder="1" applyAlignment="1">
      <alignment horizontal="center" vertical="center" wrapText="1"/>
    </xf>
    <xf numFmtId="2" fontId="4" fillId="2" borderId="57" xfId="4" applyNumberFormat="1" applyFont="1" applyFill="1" applyBorder="1" applyAlignment="1">
      <alignment horizontal="center" vertical="center" wrapText="1"/>
    </xf>
    <xf numFmtId="0" fontId="0" fillId="12" borderId="0" xfId="0" applyFill="1"/>
    <xf numFmtId="0" fontId="73" fillId="0" borderId="0" xfId="0" applyFont="1"/>
    <xf numFmtId="0" fontId="70" fillId="0" borderId="0" xfId="1" applyFont="1" applyFill="1"/>
    <xf numFmtId="1" fontId="16" fillId="4" borderId="0" xfId="0" applyNumberFormat="1" applyFont="1" applyFill="1" applyAlignment="1">
      <alignment horizontal="right"/>
    </xf>
    <xf numFmtId="1" fontId="52" fillId="8" borderId="0" xfId="0" applyNumberFormat="1" applyFont="1" applyFill="1" applyAlignment="1">
      <alignment horizontal="right"/>
    </xf>
    <xf numFmtId="1" fontId="0" fillId="0" borderId="0" xfId="0" applyNumberFormat="1"/>
    <xf numFmtId="165" fontId="0" fillId="0" borderId="0" xfId="0" applyNumberFormat="1"/>
    <xf numFmtId="0" fontId="3" fillId="8" borderId="50" xfId="0" applyFont="1" applyFill="1" applyBorder="1"/>
    <xf numFmtId="0" fontId="3" fillId="8" borderId="25" xfId="0" applyFont="1" applyFill="1" applyBorder="1" applyAlignment="1">
      <alignment horizontal="right"/>
    </xf>
    <xf numFmtId="1" fontId="53" fillId="15" borderId="0" xfId="0" applyNumberFormat="1" applyFont="1" applyFill="1" applyAlignment="1" applyProtection="1">
      <alignment horizontal="right"/>
      <protection locked="0"/>
    </xf>
    <xf numFmtId="0" fontId="51" fillId="0" borderId="0" xfId="0" applyFont="1" applyAlignment="1">
      <alignment horizontal="left"/>
    </xf>
    <xf numFmtId="0" fontId="51" fillId="0" borderId="0" xfId="0" applyFont="1" applyAlignment="1">
      <alignment horizontal="right"/>
    </xf>
    <xf numFmtId="0" fontId="0" fillId="0" borderId="22" xfId="0" applyBorder="1" applyAlignment="1">
      <alignment horizontal="right"/>
    </xf>
    <xf numFmtId="0" fontId="4" fillId="0" borderId="22" xfId="0" applyFont="1" applyBorder="1" applyAlignment="1">
      <alignment horizontal="right"/>
    </xf>
    <xf numFmtId="0" fontId="51" fillId="0" borderId="0" xfId="4" applyFont="1" applyAlignment="1">
      <alignment horizontal="left"/>
    </xf>
    <xf numFmtId="0" fontId="51" fillId="0" borderId="0" xfId="0" applyFont="1" applyAlignment="1">
      <alignment horizontal="center"/>
    </xf>
    <xf numFmtId="0" fontId="22" fillId="0" borderId="50" xfId="0" applyFont="1" applyBorder="1"/>
    <xf numFmtId="0" fontId="0" fillId="0" borderId="51" xfId="0" applyBorder="1"/>
    <xf numFmtId="0" fontId="4" fillId="0" borderId="51" xfId="0" applyFont="1" applyBorder="1"/>
    <xf numFmtId="0" fontId="4" fillId="0" borderId="22" xfId="4" applyFont="1" applyBorder="1" applyAlignment="1">
      <alignment horizontal="right"/>
    </xf>
    <xf numFmtId="0" fontId="3" fillId="0" borderId="22" xfId="4" applyBorder="1" applyAlignment="1">
      <alignment horizontal="right"/>
    </xf>
    <xf numFmtId="0" fontId="3" fillId="12" borderId="50" xfId="0" applyFont="1" applyFill="1" applyBorder="1"/>
    <xf numFmtId="0" fontId="3" fillId="8" borderId="51" xfId="0" applyFont="1" applyFill="1" applyBorder="1" applyAlignment="1">
      <alignment vertical="center"/>
    </xf>
    <xf numFmtId="0" fontId="4" fillId="8" borderId="51" xfId="0" applyFont="1" applyFill="1" applyBorder="1" applyAlignment="1">
      <alignment horizontal="right" vertical="center"/>
    </xf>
    <xf numFmtId="1" fontId="53" fillId="15" borderId="51" xfId="0" applyNumberFormat="1" applyFont="1" applyFill="1" applyBorder="1" applyAlignment="1" applyProtection="1">
      <alignment horizontal="right" vertical="center"/>
      <protection locked="0"/>
    </xf>
    <xf numFmtId="0" fontId="3" fillId="0" borderId="0" xfId="0" applyFont="1" applyAlignment="1">
      <alignment horizontal="left"/>
    </xf>
    <xf numFmtId="1" fontId="3" fillId="8" borderId="25" xfId="0" applyNumberFormat="1" applyFont="1" applyFill="1" applyBorder="1" applyAlignment="1">
      <alignment horizontal="right" vertical="center"/>
    </xf>
    <xf numFmtId="0" fontId="3" fillId="8" borderId="50" xfId="0" applyFont="1" applyFill="1" applyBorder="1" applyAlignment="1">
      <alignment vertical="center"/>
    </xf>
    <xf numFmtId="0" fontId="3" fillId="8" borderId="51" xfId="0" applyFont="1" applyFill="1" applyBorder="1" applyAlignment="1">
      <alignment horizontal="right" vertical="center"/>
    </xf>
    <xf numFmtId="0" fontId="4" fillId="8" borderId="51" xfId="0" applyFont="1" applyFill="1" applyBorder="1" applyAlignment="1">
      <alignment horizontal="right" vertical="top"/>
    </xf>
    <xf numFmtId="0" fontId="3" fillId="8" borderId="53" xfId="0" applyFont="1" applyFill="1" applyBorder="1" applyAlignment="1">
      <alignment vertical="center"/>
    </xf>
    <xf numFmtId="1" fontId="52" fillId="8" borderId="0" xfId="2" applyNumberFormat="1" applyFont="1" applyFill="1" applyBorder="1" applyAlignment="1" applyProtection="1">
      <alignment horizontal="right"/>
    </xf>
    <xf numFmtId="0" fontId="3" fillId="8" borderId="64" xfId="0" applyFont="1" applyFill="1" applyBorder="1" applyAlignment="1">
      <alignment vertical="center"/>
    </xf>
    <xf numFmtId="0" fontId="3" fillId="8" borderId="65" xfId="0" applyFont="1" applyFill="1" applyBorder="1" applyAlignment="1">
      <alignment vertical="center"/>
    </xf>
    <xf numFmtId="0" fontId="3" fillId="8" borderId="65" xfId="0" applyFont="1" applyFill="1" applyBorder="1" applyAlignment="1">
      <alignment horizontal="right" vertical="center"/>
    </xf>
    <xf numFmtId="0" fontId="4" fillId="8" borderId="65" xfId="0" applyFont="1" applyFill="1" applyBorder="1" applyAlignment="1">
      <alignment horizontal="right" vertical="center"/>
    </xf>
    <xf numFmtId="0" fontId="3" fillId="8" borderId="66" xfId="0" applyFont="1" applyFill="1" applyBorder="1" applyAlignment="1">
      <alignment vertical="center"/>
    </xf>
    <xf numFmtId="0" fontId="3" fillId="0" borderId="25" xfId="0" quotePrefix="1" applyFont="1" applyBorder="1" applyAlignment="1">
      <alignment horizontal="right"/>
    </xf>
    <xf numFmtId="0" fontId="3" fillId="8" borderId="26" xfId="0" applyFont="1" applyFill="1" applyBorder="1" applyAlignment="1">
      <alignment horizontal="left"/>
    </xf>
    <xf numFmtId="0" fontId="78" fillId="0" borderId="22" xfId="0" applyFont="1" applyBorder="1"/>
    <xf numFmtId="0" fontId="3" fillId="15" borderId="0" xfId="0" applyFont="1" applyFill="1"/>
    <xf numFmtId="1" fontId="53" fillId="15" borderId="0" xfId="0" applyNumberFormat="1" applyFont="1" applyFill="1" applyAlignment="1" applyProtection="1">
      <alignment vertical="center"/>
      <protection locked="0"/>
    </xf>
    <xf numFmtId="0" fontId="26" fillId="24" borderId="22" xfId="0" applyFont="1" applyFill="1" applyBorder="1" applyAlignment="1">
      <alignment horizontal="left"/>
    </xf>
    <xf numFmtId="0" fontId="26" fillId="24" borderId="0" xfId="0" applyFont="1" applyFill="1" applyAlignment="1">
      <alignment horizontal="left"/>
    </xf>
    <xf numFmtId="0" fontId="25" fillId="24" borderId="22" xfId="0" applyFont="1" applyFill="1" applyBorder="1" applyAlignment="1">
      <alignment horizontal="left" vertical="center"/>
    </xf>
    <xf numFmtId="0" fontId="25" fillId="24" borderId="0" xfId="0" applyFont="1" applyFill="1" applyAlignment="1">
      <alignment horizontal="left" vertical="center"/>
    </xf>
    <xf numFmtId="0" fontId="55" fillId="24" borderId="0" xfId="0" applyFont="1" applyFill="1" applyAlignment="1">
      <alignment horizontal="left" vertical="center"/>
    </xf>
    <xf numFmtId="0" fontId="21" fillId="24" borderId="0" xfId="0" applyFont="1" applyFill="1" applyAlignment="1">
      <alignment vertical="center"/>
    </xf>
    <xf numFmtId="0" fontId="25" fillId="24" borderId="0" xfId="0" quotePrefix="1" applyFont="1" applyFill="1" applyAlignment="1">
      <alignment vertical="center"/>
    </xf>
    <xf numFmtId="0" fontId="28" fillId="24" borderId="0" xfId="0" applyFont="1" applyFill="1" applyAlignment="1">
      <alignment vertical="center"/>
    </xf>
    <xf numFmtId="0" fontId="28" fillId="24" borderId="0" xfId="0" applyFont="1" applyFill="1"/>
    <xf numFmtId="0" fontId="18" fillId="24" borderId="0" xfId="0" applyFont="1" applyFill="1"/>
    <xf numFmtId="0" fontId="30" fillId="24" borderId="24" xfId="0" applyFont="1" applyFill="1" applyBorder="1"/>
    <xf numFmtId="0" fontId="30" fillId="24" borderId="25" xfId="0" applyFont="1" applyFill="1" applyBorder="1"/>
    <xf numFmtId="0" fontId="21" fillId="24" borderId="25" xfId="0" applyFont="1" applyFill="1" applyBorder="1"/>
    <xf numFmtId="0" fontId="27" fillId="24" borderId="25" xfId="0" applyFont="1" applyFill="1" applyBorder="1"/>
    <xf numFmtId="0" fontId="79" fillId="24" borderId="0" xfId="3" applyFont="1" applyFill="1" applyAlignment="1" applyProtection="1"/>
    <xf numFmtId="0" fontId="79" fillId="24" borderId="0" xfId="3" applyFont="1" applyFill="1" applyBorder="1" applyAlignment="1" applyProtection="1">
      <alignment horizontal="left" vertical="center"/>
    </xf>
    <xf numFmtId="169" fontId="18" fillId="24" borderId="0" xfId="0" applyNumberFormat="1" applyFont="1" applyFill="1" applyAlignment="1">
      <alignment horizontal="center"/>
    </xf>
    <xf numFmtId="0" fontId="21" fillId="24" borderId="37" xfId="0" applyFont="1" applyFill="1" applyBorder="1"/>
    <xf numFmtId="0" fontId="21" fillId="24" borderId="35" xfId="0" applyFont="1" applyFill="1" applyBorder="1"/>
    <xf numFmtId="0" fontId="18" fillId="24" borderId="35" xfId="0" applyFont="1" applyFill="1" applyBorder="1"/>
    <xf numFmtId="0" fontId="4" fillId="5" borderId="49" xfId="4" applyFont="1" applyFill="1" applyBorder="1"/>
    <xf numFmtId="166" fontId="0" fillId="10" borderId="2" xfId="0" applyNumberFormat="1" applyFill="1" applyBorder="1"/>
    <xf numFmtId="166" fontId="0" fillId="18" borderId="0" xfId="0" applyNumberFormat="1" applyFill="1"/>
    <xf numFmtId="177" fontId="4" fillId="0" borderId="0" xfId="0" applyNumberFormat="1" applyFont="1"/>
    <xf numFmtId="167" fontId="16" fillId="4" borderId="0" xfId="0" applyNumberFormat="1" applyFont="1" applyFill="1" applyAlignment="1">
      <alignment horizontal="right"/>
    </xf>
    <xf numFmtId="0" fontId="4" fillId="8" borderId="35" xfId="0" applyFont="1" applyFill="1" applyBorder="1" applyAlignment="1">
      <alignment horizontal="right" vertical="center"/>
    </xf>
    <xf numFmtId="2" fontId="16" fillId="0" borderId="0" xfId="0" applyNumberFormat="1" applyFont="1" applyAlignment="1">
      <alignment horizontal="right"/>
    </xf>
    <xf numFmtId="2" fontId="4" fillId="0" borderId="0" xfId="0" applyNumberFormat="1" applyFont="1"/>
    <xf numFmtId="2" fontId="3" fillId="8" borderId="0" xfId="0" applyNumberFormat="1" applyFont="1" applyFill="1" applyAlignment="1">
      <alignment horizontal="right" vertical="center"/>
    </xf>
    <xf numFmtId="1" fontId="4" fillId="0" borderId="0" xfId="0" applyNumberFormat="1" applyFont="1"/>
    <xf numFmtId="166" fontId="29" fillId="10" borderId="0" xfId="0" applyNumberFormat="1" applyFont="1" applyFill="1"/>
    <xf numFmtId="0" fontId="3" fillId="5" borderId="0" xfId="0" applyFont="1" applyFill="1"/>
    <xf numFmtId="0" fontId="3" fillId="8" borderId="67" xfId="0" applyFont="1" applyFill="1" applyBorder="1"/>
    <xf numFmtId="0" fontId="3" fillId="8" borderId="68" xfId="0" applyFont="1" applyFill="1" applyBorder="1"/>
    <xf numFmtId="0" fontId="3" fillId="8" borderId="68" xfId="0" applyFont="1" applyFill="1" applyBorder="1" applyAlignment="1">
      <alignment horizontal="right"/>
    </xf>
    <xf numFmtId="0" fontId="18" fillId="12" borderId="22" xfId="0" applyFont="1" applyFill="1" applyBorder="1"/>
    <xf numFmtId="166" fontId="4" fillId="0" borderId="0" xfId="0" applyNumberFormat="1" applyFont="1"/>
    <xf numFmtId="0" fontId="4" fillId="8" borderId="0" xfId="0" applyFont="1" applyFill="1" applyAlignment="1">
      <alignment horizontal="right" vertical="top"/>
    </xf>
    <xf numFmtId="166" fontId="29" fillId="0" borderId="0" xfId="0" applyNumberFormat="1" applyFont="1"/>
    <xf numFmtId="11" fontId="4" fillId="0" borderId="0" xfId="4" applyNumberFormat="1" applyFont="1"/>
    <xf numFmtId="0" fontId="53" fillId="12" borderId="66" xfId="0" applyFont="1" applyFill="1" applyBorder="1" applyAlignment="1">
      <alignment vertical="center"/>
    </xf>
    <xf numFmtId="0" fontId="4" fillId="12" borderId="23" xfId="0" applyFont="1" applyFill="1" applyBorder="1" applyAlignment="1">
      <alignment vertical="center"/>
    </xf>
    <xf numFmtId="1" fontId="53" fillId="12" borderId="23" xfId="0" applyNumberFormat="1" applyFont="1" applyFill="1" applyBorder="1" applyAlignment="1">
      <alignment vertical="center"/>
    </xf>
    <xf numFmtId="0" fontId="4" fillId="12" borderId="23" xfId="0" applyFont="1" applyFill="1" applyBorder="1"/>
    <xf numFmtId="1" fontId="3" fillId="0" borderId="69" xfId="0" applyNumberFormat="1" applyFont="1" applyBorder="1" applyAlignment="1">
      <alignment vertical="center"/>
    </xf>
    <xf numFmtId="0" fontId="4" fillId="12" borderId="66" xfId="0" applyFont="1" applyFill="1" applyBorder="1" applyAlignment="1">
      <alignment vertical="center"/>
    </xf>
    <xf numFmtId="0" fontId="3" fillId="12" borderId="26" xfId="0" applyFont="1" applyFill="1" applyBorder="1"/>
    <xf numFmtId="0" fontId="4" fillId="8" borderId="39" xfId="0" applyFont="1" applyFill="1" applyBorder="1" applyAlignment="1">
      <alignment horizontal="right" vertical="center"/>
    </xf>
    <xf numFmtId="0" fontId="4" fillId="15" borderId="39" xfId="0" applyFont="1" applyFill="1" applyBorder="1" applyAlignment="1" applyProtection="1">
      <alignment horizontal="right" vertical="center"/>
      <protection locked="0"/>
    </xf>
    <xf numFmtId="0" fontId="4" fillId="8" borderId="26" xfId="0" applyFont="1" applyFill="1" applyBorder="1" applyAlignment="1">
      <alignment vertical="center"/>
    </xf>
    <xf numFmtId="1" fontId="3" fillId="8" borderId="0" xfId="0" applyNumberFormat="1" applyFont="1" applyFill="1"/>
    <xf numFmtId="1" fontId="65" fillId="15" borderId="0" xfId="0" applyNumberFormat="1" applyFont="1" applyFill="1" applyAlignment="1">
      <alignment horizontal="center" vertical="center"/>
    </xf>
    <xf numFmtId="0" fontId="0" fillId="0" borderId="68" xfId="0" applyBorder="1"/>
    <xf numFmtId="0" fontId="4" fillId="0" borderId="0" xfId="4" applyFont="1" applyAlignment="1">
      <alignment horizontal="left"/>
    </xf>
    <xf numFmtId="0" fontId="16" fillId="0" borderId="0" xfId="0" applyFont="1" applyAlignment="1">
      <alignment wrapText="1"/>
    </xf>
    <xf numFmtId="0" fontId="78" fillId="0" borderId="0" xfId="0" applyFont="1" applyAlignment="1">
      <alignment horizontal="right"/>
    </xf>
    <xf numFmtId="0" fontId="78" fillId="0" borderId="0" xfId="0" applyFont="1" applyAlignment="1">
      <alignment horizontal="left"/>
    </xf>
    <xf numFmtId="0" fontId="51" fillId="0" borderId="0" xfId="4" applyFont="1" applyAlignment="1">
      <alignment horizontal="center"/>
    </xf>
    <xf numFmtId="0" fontId="84" fillId="0" borderId="0" xfId="4" applyFont="1" applyAlignment="1">
      <alignment horizontal="right"/>
    </xf>
    <xf numFmtId="0" fontId="84" fillId="0" borderId="22" xfId="4" applyFont="1" applyBorder="1" applyAlignment="1">
      <alignment horizontal="right"/>
    </xf>
    <xf numFmtId="0" fontId="84" fillId="0" borderId="22" xfId="0" applyFont="1" applyBorder="1" applyAlignment="1">
      <alignment horizontal="right"/>
    </xf>
    <xf numFmtId="0" fontId="84" fillId="0" borderId="0" xfId="0" applyFont="1" applyAlignment="1">
      <alignment horizontal="right"/>
    </xf>
    <xf numFmtId="0" fontId="78" fillId="0" borderId="0" xfId="0" applyFont="1"/>
    <xf numFmtId="0" fontId="3" fillId="0" borderId="17" xfId="4" applyBorder="1" applyAlignment="1">
      <alignment horizontal="center" vertical="center"/>
    </xf>
    <xf numFmtId="0" fontId="3" fillId="0" borderId="11" xfId="4" applyBorder="1" applyAlignment="1">
      <alignment vertical="center" wrapText="1"/>
    </xf>
    <xf numFmtId="0" fontId="3" fillId="0" borderId="11" xfId="4" quotePrefix="1" applyBorder="1" applyAlignment="1">
      <alignment horizontal="left" vertical="center"/>
    </xf>
    <xf numFmtId="0" fontId="3" fillId="0" borderId="11" xfId="4" applyBorder="1" applyAlignment="1">
      <alignment horizontal="left" vertical="center"/>
    </xf>
    <xf numFmtId="170" fontId="3" fillId="0" borderId="11" xfId="4" applyNumberFormat="1" applyBorder="1" applyAlignment="1">
      <alignment horizontal="center" vertical="center"/>
    </xf>
    <xf numFmtId="0" fontId="3" fillId="0" borderId="11" xfId="4" applyBorder="1" applyAlignment="1">
      <alignment horizontal="center" vertical="center"/>
    </xf>
    <xf numFmtId="165" fontId="8" fillId="4" borderId="68" xfId="4" applyNumberFormat="1" applyFont="1" applyFill="1" applyBorder="1"/>
    <xf numFmtId="167" fontId="3" fillId="0" borderId="0" xfId="4" applyNumberFormat="1"/>
    <xf numFmtId="0" fontId="4" fillId="2" borderId="20" xfId="4" applyFont="1" applyFill="1" applyBorder="1" applyAlignment="1">
      <alignment horizontal="center" vertical="center" wrapText="1"/>
    </xf>
    <xf numFmtId="2" fontId="4" fillId="2" borderId="59" xfId="4" applyNumberFormat="1" applyFont="1" applyFill="1" applyBorder="1" applyAlignment="1">
      <alignment horizontal="center" vertical="center" wrapText="1"/>
    </xf>
    <xf numFmtId="2" fontId="4" fillId="2" borderId="60" xfId="4" applyNumberFormat="1" applyFont="1" applyFill="1" applyBorder="1" applyAlignment="1">
      <alignment horizontal="center" vertical="center" wrapText="1"/>
    </xf>
    <xf numFmtId="2" fontId="8" fillId="4" borderId="41" xfId="4" applyNumberFormat="1" applyFont="1" applyFill="1" applyBorder="1"/>
    <xf numFmtId="2" fontId="8" fillId="4" borderId="72" xfId="4" applyNumberFormat="1" applyFont="1" applyFill="1" applyBorder="1"/>
    <xf numFmtId="2" fontId="8" fillId="4" borderId="18" xfId="4" applyNumberFormat="1" applyFont="1" applyFill="1" applyBorder="1"/>
    <xf numFmtId="165" fontId="3" fillId="4" borderId="72" xfId="4" applyNumberFormat="1" applyFill="1" applyBorder="1"/>
    <xf numFmtId="183" fontId="3" fillId="0" borderId="0" xfId="4" applyNumberFormat="1"/>
    <xf numFmtId="0" fontId="3" fillId="8" borderId="67" xfId="0" applyFont="1" applyFill="1" applyBorder="1" applyAlignment="1">
      <alignment vertical="center"/>
    </xf>
    <xf numFmtId="0" fontId="23" fillId="8" borderId="24" xfId="0" applyFont="1" applyFill="1" applyBorder="1" applyAlignment="1">
      <alignment vertical="center"/>
    </xf>
    <xf numFmtId="184" fontId="3" fillId="17" borderId="11" xfId="4" applyNumberFormat="1" applyFill="1" applyBorder="1" applyAlignment="1">
      <alignment horizontal="center" vertical="center"/>
    </xf>
    <xf numFmtId="177" fontId="3" fillId="0" borderId="0" xfId="4" applyNumberFormat="1"/>
    <xf numFmtId="0" fontId="3" fillId="25" borderId="0" xfId="4" applyFill="1"/>
    <xf numFmtId="0" fontId="3" fillId="26" borderId="0" xfId="4" applyFill="1"/>
    <xf numFmtId="167" fontId="0" fillId="19" borderId="0" xfId="0" applyNumberFormat="1" applyFill="1"/>
    <xf numFmtId="165" fontId="3" fillId="0" borderId="11" xfId="4" applyNumberFormat="1" applyBorder="1"/>
    <xf numFmtId="164" fontId="3" fillId="0" borderId="0" xfId="7" applyNumberFormat="1" applyFont="1"/>
    <xf numFmtId="0" fontId="3" fillId="0" borderId="0" xfId="0" quotePrefix="1" applyFont="1"/>
    <xf numFmtId="0" fontId="4" fillId="8" borderId="11" xfId="4" applyFont="1" applyFill="1" applyBorder="1" applyAlignment="1">
      <alignment horizontal="center" vertical="center"/>
    </xf>
    <xf numFmtId="0" fontId="3" fillId="8" borderId="0" xfId="4" applyFill="1" applyAlignment="1">
      <alignment horizontal="left"/>
    </xf>
    <xf numFmtId="49" fontId="3" fillId="8" borderId="0" xfId="4" applyNumberFormat="1" applyFill="1" applyAlignment="1">
      <alignment horizontal="left"/>
    </xf>
    <xf numFmtId="0" fontId="3" fillId="8" borderId="0" xfId="4" applyFill="1" applyAlignment="1">
      <alignment horizontal="left" vertical="center"/>
    </xf>
    <xf numFmtId="0" fontId="4" fillId="8" borderId="11" xfId="4" applyFont="1" applyFill="1" applyBorder="1" applyAlignment="1">
      <alignment vertical="center"/>
    </xf>
    <xf numFmtId="0" fontId="4" fillId="8" borderId="11" xfId="4" applyFont="1" applyFill="1" applyBorder="1" applyAlignment="1">
      <alignment vertical="center" wrapText="1"/>
    </xf>
    <xf numFmtId="0" fontId="4" fillId="8" borderId="8" xfId="4" applyFont="1" applyFill="1" applyBorder="1" applyAlignment="1">
      <alignment vertical="center"/>
    </xf>
    <xf numFmtId="0" fontId="4" fillId="8" borderId="9" xfId="4" applyFont="1" applyFill="1" applyBorder="1" applyAlignment="1">
      <alignment vertical="center"/>
    </xf>
    <xf numFmtId="0" fontId="4" fillId="8" borderId="15" xfId="4" applyFont="1" applyFill="1" applyBorder="1" applyAlignment="1">
      <alignment vertical="center"/>
    </xf>
    <xf numFmtId="0" fontId="3" fillId="12" borderId="0" xfId="4" applyFill="1" applyAlignment="1">
      <alignment horizontal="left"/>
    </xf>
    <xf numFmtId="49" fontId="3" fillId="12" borderId="0" xfId="4" applyNumberFormat="1" applyFill="1" applyAlignment="1">
      <alignment horizontal="left"/>
    </xf>
    <xf numFmtId="167" fontId="3" fillId="8" borderId="0" xfId="4" applyNumberFormat="1" applyFill="1" applyAlignment="1">
      <alignment horizontal="left"/>
    </xf>
    <xf numFmtId="0" fontId="4" fillId="8" borderId="0" xfId="4" applyFont="1" applyFill="1" applyAlignment="1">
      <alignment vertical="center"/>
    </xf>
    <xf numFmtId="167" fontId="3" fillId="8" borderId="0" xfId="4" applyNumberFormat="1" applyFill="1" applyAlignment="1">
      <alignment horizontal="right" vertical="center"/>
    </xf>
    <xf numFmtId="0" fontId="3" fillId="16" borderId="8" xfId="4" applyFill="1" applyBorder="1" applyAlignment="1">
      <alignment horizontal="left" vertical="center"/>
    </xf>
    <xf numFmtId="0" fontId="3" fillId="0" borderId="8" xfId="4" applyBorder="1" applyAlignment="1">
      <alignment horizontal="left" vertical="center"/>
    </xf>
    <xf numFmtId="0" fontId="3" fillId="17" borderId="8" xfId="4" applyFill="1" applyBorder="1" applyAlignment="1">
      <alignment horizontal="left" vertical="center"/>
    </xf>
    <xf numFmtId="0" fontId="3" fillId="12" borderId="8" xfId="4" applyFill="1" applyBorder="1" applyAlignment="1">
      <alignment horizontal="left" vertical="center"/>
    </xf>
    <xf numFmtId="0" fontId="89" fillId="8" borderId="0" xfId="4" applyFont="1" applyFill="1"/>
    <xf numFmtId="167" fontId="89" fillId="8" borderId="0" xfId="4" applyNumberFormat="1" applyFont="1" applyFill="1" applyAlignment="1">
      <alignment horizontal="right"/>
    </xf>
    <xf numFmtId="0" fontId="89" fillId="8" borderId="0" xfId="4" applyFont="1" applyFill="1" applyAlignment="1">
      <alignment horizontal="left" vertical="center"/>
    </xf>
    <xf numFmtId="165" fontId="89" fillId="8" borderId="0" xfId="4" applyNumberFormat="1" applyFont="1" applyFill="1"/>
    <xf numFmtId="167" fontId="3" fillId="17" borderId="11" xfId="4" applyNumberFormat="1" applyFill="1" applyBorder="1" applyAlignment="1">
      <alignment horizontal="center" vertical="center"/>
    </xf>
    <xf numFmtId="167" fontId="3" fillId="8" borderId="11" xfId="4" applyNumberFormat="1" applyFill="1" applyBorder="1" applyAlignment="1">
      <alignment horizontal="center" vertical="center"/>
    </xf>
    <xf numFmtId="0" fontId="3" fillId="17" borderId="75" xfId="4" applyFill="1" applyBorder="1" applyAlignment="1">
      <alignment horizontal="center" vertical="center"/>
    </xf>
    <xf numFmtId="0" fontId="3" fillId="8" borderId="75" xfId="4" applyFill="1" applyBorder="1" applyAlignment="1">
      <alignment horizontal="center" vertical="center"/>
    </xf>
    <xf numFmtId="0" fontId="51" fillId="8" borderId="11" xfId="4" applyFont="1" applyFill="1" applyBorder="1" applyAlignment="1">
      <alignment horizontal="center" vertical="center"/>
    </xf>
    <xf numFmtId="0" fontId="64" fillId="8" borderId="0" xfId="4" applyFont="1" applyFill="1" applyAlignment="1">
      <alignment horizontal="left" vertical="center"/>
    </xf>
    <xf numFmtId="0" fontId="57" fillId="3" borderId="74" xfId="4" applyFont="1" applyFill="1" applyBorder="1" applyAlignment="1">
      <alignment horizontal="center" vertical="center"/>
    </xf>
    <xf numFmtId="49" fontId="87" fillId="14" borderId="73" xfId="4" applyNumberFormat="1" applyFont="1" applyFill="1" applyBorder="1" applyAlignment="1">
      <alignment horizontal="center" vertical="center"/>
    </xf>
    <xf numFmtId="0" fontId="87" fillId="14" borderId="48" xfId="4" applyFont="1" applyFill="1" applyBorder="1" applyAlignment="1">
      <alignment horizontal="center" vertical="center"/>
    </xf>
    <xf numFmtId="167" fontId="90" fillId="0" borderId="0" xfId="4" applyNumberFormat="1" applyFont="1" applyAlignment="1">
      <alignment horizontal="right" vertical="center"/>
    </xf>
    <xf numFmtId="165" fontId="90" fillId="8" borderId="0" xfId="4" applyNumberFormat="1" applyFont="1" applyFill="1" applyAlignment="1">
      <alignment vertical="center"/>
    </xf>
    <xf numFmtId="49" fontId="64" fillId="8" borderId="0" xfId="4" applyNumberFormat="1" applyFont="1" applyFill="1" applyAlignment="1" applyProtection="1">
      <alignment horizontal="left" vertical="center"/>
      <protection locked="0" hidden="1"/>
    </xf>
    <xf numFmtId="0" fontId="64" fillId="8" borderId="0" xfId="4" applyFont="1" applyFill="1" applyAlignment="1" applyProtection="1">
      <alignment horizontal="left" vertical="center"/>
      <protection locked="0" hidden="1"/>
    </xf>
    <xf numFmtId="0" fontId="3" fillId="8" borderId="0" xfId="4" applyFill="1" applyAlignment="1" applyProtection="1">
      <alignment vertical="center"/>
      <protection locked="0" hidden="1"/>
    </xf>
    <xf numFmtId="0" fontId="58" fillId="12" borderId="0" xfId="0" applyFont="1" applyFill="1"/>
    <xf numFmtId="0" fontId="64" fillId="8" borderId="0" xfId="4" applyFont="1" applyFill="1"/>
    <xf numFmtId="0" fontId="90" fillId="8" borderId="0" xfId="4" applyFont="1" applyFill="1" applyAlignment="1">
      <alignment horizontal="left"/>
    </xf>
    <xf numFmtId="165" fontId="3" fillId="20" borderId="0" xfId="0" applyNumberFormat="1" applyFont="1" applyFill="1"/>
    <xf numFmtId="0" fontId="51" fillId="0" borderId="22" xfId="0" applyFont="1" applyBorder="1"/>
    <xf numFmtId="164" fontId="3" fillId="0" borderId="0" xfId="0" applyNumberFormat="1" applyFont="1"/>
    <xf numFmtId="167" fontId="4" fillId="0" borderId="0" xfId="0" applyNumberFormat="1" applyFont="1"/>
    <xf numFmtId="1" fontId="29" fillId="18" borderId="0" xfId="0" applyNumberFormat="1" applyFont="1" applyFill="1" applyAlignment="1">
      <alignment horizontal="right"/>
    </xf>
    <xf numFmtId="1" fontId="3" fillId="8" borderId="68" xfId="0" applyNumberFormat="1" applyFont="1" applyFill="1" applyBorder="1" applyAlignment="1">
      <alignment horizontal="right" vertical="center"/>
    </xf>
    <xf numFmtId="177" fontId="0" fillId="0" borderId="0" xfId="0" applyNumberFormat="1"/>
    <xf numFmtId="0" fontId="93" fillId="0" borderId="0" xfId="0" applyFont="1"/>
    <xf numFmtId="177" fontId="3" fillId="0" borderId="0" xfId="0" applyNumberFormat="1" applyFont="1"/>
    <xf numFmtId="2" fontId="52" fillId="8" borderId="25" xfId="0" applyNumberFormat="1" applyFont="1" applyFill="1" applyBorder="1" applyAlignment="1">
      <alignment horizontal="right"/>
    </xf>
    <xf numFmtId="0" fontId="66" fillId="13" borderId="67" xfId="0" applyFont="1" applyFill="1" applyBorder="1" applyAlignment="1">
      <alignment horizontal="left" vertical="center"/>
    </xf>
    <xf numFmtId="0" fontId="66" fillId="13" borderId="68" xfId="0" applyFont="1" applyFill="1" applyBorder="1" applyAlignment="1">
      <alignment horizontal="left" vertical="center"/>
    </xf>
    <xf numFmtId="0" fontId="66" fillId="13" borderId="69" xfId="0" applyFont="1" applyFill="1" applyBorder="1" applyAlignment="1">
      <alignment horizontal="left" vertical="center"/>
    </xf>
    <xf numFmtId="0" fontId="90" fillId="8" borderId="0" xfId="4" applyFont="1" applyFill="1" applyAlignment="1">
      <alignment horizontal="right" wrapText="1"/>
    </xf>
    <xf numFmtId="178" fontId="3" fillId="16" borderId="8" xfId="4" applyNumberFormat="1" applyFill="1" applyBorder="1" applyAlignment="1">
      <alignment horizontal="left" vertical="center"/>
    </xf>
    <xf numFmtId="178" fontId="3" fillId="16" borderId="9" xfId="4" applyNumberFormat="1" applyFill="1" applyBorder="1" applyAlignment="1">
      <alignment horizontal="left" vertical="center"/>
    </xf>
    <xf numFmtId="0" fontId="57" fillId="3" borderId="74" xfId="4" applyFont="1" applyFill="1" applyBorder="1" applyAlignment="1">
      <alignment horizontal="center" vertical="center"/>
    </xf>
    <xf numFmtId="0" fontId="57" fillId="3" borderId="76" xfId="4" applyFont="1" applyFill="1" applyBorder="1" applyAlignment="1">
      <alignment horizontal="center" vertical="center"/>
    </xf>
    <xf numFmtId="0" fontId="57" fillId="3" borderId="77" xfId="4" applyFont="1" applyFill="1" applyBorder="1" applyAlignment="1">
      <alignment horizontal="center" vertical="center"/>
    </xf>
    <xf numFmtId="185" fontId="3" fillId="12" borderId="8" xfId="4" applyNumberFormat="1" applyFill="1" applyBorder="1" applyAlignment="1">
      <alignment horizontal="left" vertical="center"/>
    </xf>
    <xf numFmtId="185" fontId="3" fillId="12" borderId="9" xfId="4" applyNumberFormat="1" applyFill="1" applyBorder="1" applyAlignment="1">
      <alignment horizontal="left" vertical="center"/>
    </xf>
    <xf numFmtId="182" fontId="3" fillId="17" borderId="8" xfId="4" applyNumberFormat="1" applyFill="1" applyBorder="1" applyAlignment="1">
      <alignment horizontal="left" vertical="center"/>
    </xf>
    <xf numFmtId="182" fontId="3" fillId="17" borderId="9" xfId="4" applyNumberFormat="1" applyFill="1" applyBorder="1" applyAlignment="1">
      <alignment horizontal="left" vertical="center"/>
    </xf>
    <xf numFmtId="174" fontId="3" fillId="0" borderId="8" xfId="4" applyNumberFormat="1" applyBorder="1" applyAlignment="1">
      <alignment horizontal="left" vertical="center"/>
    </xf>
    <xf numFmtId="174" fontId="3" fillId="0" borderId="9" xfId="4" applyNumberFormat="1" applyBorder="1" applyAlignment="1">
      <alignment horizontal="left" vertical="center"/>
    </xf>
    <xf numFmtId="173" fontId="3" fillId="16" borderId="8" xfId="4" applyNumberFormat="1" applyFill="1" applyBorder="1" applyAlignment="1">
      <alignment horizontal="left" vertical="center"/>
    </xf>
    <xf numFmtId="173" fontId="3" fillId="16" borderId="9" xfId="4" applyNumberFormat="1" applyFill="1" applyBorder="1" applyAlignment="1">
      <alignment horizontal="left" vertical="center"/>
    </xf>
    <xf numFmtId="181" fontId="3" fillId="16" borderId="8" xfId="4" applyNumberFormat="1" applyFill="1" applyBorder="1" applyAlignment="1">
      <alignment horizontal="left" vertical="center"/>
    </xf>
    <xf numFmtId="181" fontId="3" fillId="16" borderId="9" xfId="4" applyNumberFormat="1" applyFill="1" applyBorder="1" applyAlignment="1">
      <alignment horizontal="left" vertical="center"/>
    </xf>
    <xf numFmtId="0" fontId="43" fillId="12" borderId="22" xfId="0" applyFont="1" applyFill="1" applyBorder="1" applyAlignment="1">
      <alignment horizontal="left" vertical="center"/>
    </xf>
    <xf numFmtId="0" fontId="43" fillId="12" borderId="0" xfId="0" applyFont="1" applyFill="1" applyAlignment="1">
      <alignment horizontal="left" vertical="center"/>
    </xf>
    <xf numFmtId="0" fontId="4" fillId="0" borderId="0" xfId="0" applyFont="1" applyAlignment="1">
      <alignment horizontal="center"/>
    </xf>
    <xf numFmtId="0" fontId="5" fillId="3" borderId="0" xfId="0" applyFont="1" applyFill="1" applyAlignment="1">
      <alignment horizontal="center"/>
    </xf>
    <xf numFmtId="0" fontId="14" fillId="3" borderId="0" xfId="4" applyFont="1" applyFill="1" applyAlignment="1">
      <alignment horizontal="left" vertical="center"/>
    </xf>
    <xf numFmtId="0" fontId="25" fillId="21" borderId="0" xfId="4" applyFont="1" applyFill="1" applyAlignment="1">
      <alignment horizontal="center" vertical="center"/>
    </xf>
    <xf numFmtId="0" fontId="4" fillId="0" borderId="0" xfId="4" applyFont="1" applyAlignment="1">
      <alignment horizontal="left" vertical="center" wrapText="1"/>
    </xf>
    <xf numFmtId="0" fontId="4" fillId="4" borderId="70" xfId="4" applyFont="1" applyFill="1" applyBorder="1" applyAlignment="1">
      <alignment horizontal="left"/>
    </xf>
    <xf numFmtId="0" fontId="4" fillId="4" borderId="47" xfId="4" applyFont="1" applyFill="1" applyBorder="1" applyAlignment="1">
      <alignment horizontal="left"/>
    </xf>
    <xf numFmtId="0" fontId="4" fillId="4" borderId="71" xfId="4" applyFont="1" applyFill="1" applyBorder="1" applyAlignment="1">
      <alignment horizontal="left"/>
    </xf>
  </cellXfs>
  <cellStyles count="8">
    <cellStyle name="Comma 2" xfId="6" xr:uid="{00000000-0005-0000-0000-000001000000}"/>
    <cellStyle name="Hiperligação" xfId="3" builtinId="8"/>
    <cellStyle name="NívelLinha_1" xfId="1" builtinId="1" iLevel="0"/>
    <cellStyle name="Normal" xfId="0" builtinId="0"/>
    <cellStyle name="Normal 2" xfId="4" xr:uid="{00000000-0005-0000-0000-000004000000}"/>
    <cellStyle name="Normal 3" xfId="5" xr:uid="{00000000-0005-0000-0000-000005000000}"/>
    <cellStyle name="Percentagem" xfId="7" builtinId="5"/>
    <cellStyle name="Vírgula" xfId="2" builtinId="3"/>
  </cellStyles>
  <dxfs count="63">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border>
        <left style="thin">
          <color indexed="64"/>
        </left>
        <right style="thin">
          <color indexed="64"/>
        </right>
        <top style="thin">
          <color indexed="64"/>
        </top>
        <bottom style="thin">
          <color indexed="64"/>
        </bottom>
      </border>
    </dxf>
    <dxf>
      <font>
        <b/>
        <i val="0"/>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i val="0"/>
        <color rgb="FFFF0000"/>
      </font>
    </dxf>
    <dxf>
      <font>
        <b/>
        <i val="0"/>
        <color rgb="FFC00000"/>
      </font>
    </dxf>
    <dxf>
      <border>
        <right/>
        <vertical/>
        <horizontal/>
      </border>
    </dxf>
    <dxf>
      <border>
        <left/>
        <right/>
        <top/>
        <bottom/>
        <vertical/>
        <horizontal/>
      </border>
    </dxf>
    <dxf>
      <border>
        <bottom/>
        <vertical/>
        <horizontal/>
      </border>
    </dxf>
    <dxf>
      <font>
        <color theme="0"/>
      </font>
      <fill>
        <patternFill>
          <bgColor theme="0"/>
        </patternFill>
      </fill>
    </dxf>
    <dxf>
      <font>
        <color rgb="FFC00000"/>
      </font>
      <fill>
        <patternFill patternType="none">
          <bgColor auto="1"/>
        </patternFill>
      </fill>
    </dxf>
    <dxf>
      <font>
        <color rgb="FFFF0000"/>
      </font>
    </dxf>
    <dxf>
      <font>
        <color rgb="FFFF0000"/>
      </font>
    </dxf>
    <dxf>
      <font>
        <color rgb="FFFF0000"/>
      </font>
    </dxf>
    <dxf>
      <font>
        <color rgb="FFC00000"/>
      </font>
    </dxf>
    <dxf>
      <font>
        <color theme="0"/>
      </font>
      <fill>
        <patternFill>
          <bgColor theme="0"/>
        </patternFill>
      </fill>
    </dxf>
    <dxf>
      <font>
        <b/>
        <i val="0"/>
        <color rgb="FFC00000"/>
      </font>
    </dxf>
    <dxf>
      <font>
        <color theme="0"/>
      </font>
      <fill>
        <patternFill>
          <bgColor theme="0"/>
        </patternFill>
      </fill>
    </dxf>
    <dxf>
      <font>
        <b/>
        <i val="0"/>
        <color rgb="FFC00000"/>
      </font>
    </dxf>
    <dxf>
      <font>
        <b/>
        <i val="0"/>
        <color rgb="FFC00000"/>
      </font>
    </dxf>
    <dxf>
      <font>
        <color theme="0"/>
      </font>
    </dxf>
    <dxf>
      <font>
        <b/>
        <i val="0"/>
        <color rgb="FFC00000"/>
      </font>
    </dxf>
    <dxf>
      <font>
        <color theme="0"/>
      </font>
      <fill>
        <patternFill>
          <bgColor theme="0"/>
        </patternFill>
      </fill>
    </dxf>
    <dxf>
      <font>
        <color theme="0"/>
      </font>
    </dxf>
    <dxf>
      <font>
        <b/>
        <i val="0"/>
        <condense val="0"/>
        <extend val="0"/>
        <color indexed="10"/>
      </font>
    </dxf>
    <dxf>
      <font>
        <b/>
        <i val="0"/>
        <condense val="0"/>
        <extend val="0"/>
        <color indexed="12"/>
      </font>
    </dxf>
    <dxf>
      <font>
        <b/>
        <i val="0"/>
        <condense val="0"/>
        <extend val="0"/>
        <color indexed="10"/>
      </font>
    </dxf>
    <dxf>
      <font>
        <color rgb="FFFF0000"/>
      </font>
    </dxf>
    <dxf>
      <font>
        <color rgb="FFFF0000"/>
      </font>
    </dxf>
    <dxf>
      <font>
        <color rgb="FFFF0000"/>
      </font>
    </dxf>
    <dxf>
      <font>
        <color rgb="FFFF0000"/>
      </font>
    </dxf>
    <dxf>
      <font>
        <color rgb="FFFF0000"/>
      </font>
    </dxf>
    <dxf>
      <font>
        <b/>
        <i val="0"/>
        <color rgb="FFFF0000"/>
      </font>
    </dxf>
    <dxf>
      <font>
        <color rgb="FFFF0000"/>
      </font>
      <fill>
        <patternFill>
          <bgColor theme="3" tint="0.79998168889431442"/>
        </patternFill>
      </fill>
    </dxf>
    <dxf>
      <font>
        <b/>
        <i val="0"/>
        <condense val="0"/>
        <extend val="0"/>
        <color indexed="10"/>
      </font>
    </dxf>
  </dxfs>
  <tableStyles count="0" defaultTableStyle="TableStyleMedium9" defaultPivotStyle="PivotStyleLight16"/>
  <colors>
    <mruColors>
      <color rgb="FFFFFF99"/>
      <color rgb="FF33CC33"/>
      <color rgb="FF99CC00"/>
      <color rgb="FF0000FF"/>
      <color rgb="FF00FF00"/>
      <color rgb="FF66FF66"/>
      <color rgb="FFFF9900"/>
      <color rgb="FFFF00FF"/>
      <color rgb="FFC0C0C0"/>
      <color rgb="FF0033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21.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22.xml.rels><?xml version="1.0" encoding="UTF-8" standalone="yes"?>
<Relationships xmlns="http://schemas.openxmlformats.org/package/2006/relationships"><Relationship Id="rId1" Type="http://schemas.openxmlformats.org/officeDocument/2006/relationships/chartUserShapes" Target="../drawings/drawing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P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b="1" i="0" u="none" strike="noStrike" baseline="0">
                <a:solidFill>
                  <a:srgbClr val="000000"/>
                </a:solidFill>
                <a:latin typeface="Arial" pitchFamily="34" charset="0"/>
                <a:ea typeface="Calibri"/>
                <a:cs typeface="Arial" pitchFamily="34" charset="0"/>
              </a:defRPr>
            </a:pPr>
            <a:r>
              <a:rPr lang="en-US" sz="2000">
                <a:latin typeface="Arial" pitchFamily="34" charset="0"/>
                <a:cs typeface="Arial" pitchFamily="34" charset="0"/>
                <a:sym typeface="Symbol"/>
              </a:rPr>
              <a:t></a:t>
            </a:r>
            <a:r>
              <a:rPr lang="en-US" sz="2000" b="1" i="0" u="none" strike="noStrike" baseline="0"/>
              <a:t>, V</a:t>
            </a:r>
            <a:r>
              <a:rPr lang="en-US" sz="2000" b="1" i="0" u="none" strike="noStrike" baseline="-25000"/>
              <a:t>IN</a:t>
            </a:r>
            <a:r>
              <a:rPr lang="en-US" sz="2000" b="1" i="0" u="none" strike="noStrike" baseline="0"/>
              <a:t> = V</a:t>
            </a:r>
            <a:r>
              <a:rPr lang="en-US" sz="2000" b="1" i="0" u="none" strike="noStrike" baseline="-25000"/>
              <a:t>IN(nom)</a:t>
            </a:r>
            <a:endParaRPr lang="en-US" sz="2000">
              <a:latin typeface="Arial" pitchFamily="34" charset="0"/>
              <a:cs typeface="Arial" pitchFamily="34" charset="0"/>
            </a:endParaRPr>
          </a:p>
        </c:rich>
      </c:tx>
      <c:layout>
        <c:manualLayout>
          <c:xMode val="edge"/>
          <c:yMode val="edge"/>
          <c:x val="0.10084794235626206"/>
          <c:y val="2.0639566697272373E-2"/>
        </c:manualLayout>
      </c:layout>
      <c:overlay val="0"/>
      <c:spPr>
        <a:noFill/>
        <a:ln w="25400">
          <a:noFill/>
        </a:ln>
      </c:spPr>
    </c:title>
    <c:autoTitleDeleted val="0"/>
    <c:plotArea>
      <c:layout>
        <c:manualLayout>
          <c:layoutTarget val="inner"/>
          <c:xMode val="edge"/>
          <c:yMode val="edge"/>
          <c:x val="9.6428106919691683E-2"/>
          <c:y val="0.12372903654825702"/>
          <c:w val="0.80866069195692114"/>
          <c:h val="0.76068566810117366"/>
        </c:manualLayout>
      </c:layout>
      <c:lineChart>
        <c:grouping val="standard"/>
        <c:varyColors val="0"/>
        <c:ser>
          <c:idx val="0"/>
          <c:order val="0"/>
          <c:tx>
            <c:v> Efficiency</c:v>
          </c:tx>
          <c:spPr>
            <a:ln w="31750">
              <a:solidFill>
                <a:srgbClr val="FF0000"/>
              </a:solidFill>
              <a:prstDash val="solid"/>
            </a:ln>
          </c:spPr>
          <c:marker>
            <c:symbol val="none"/>
          </c:marker>
          <c:cat>
            <c:numRef>
              <c:f>'COT Efficiency'!$BK$6:$BK$106</c:f>
              <c:numCache>
                <c:formatCode>0.000</c:formatCode>
                <c:ptCount val="101"/>
                <c:pt idx="0">
                  <c:v>0.15</c:v>
                </c:pt>
                <c:pt idx="1">
                  <c:v>1.5</c:v>
                </c:pt>
                <c:pt idx="2">
                  <c:v>3</c:v>
                </c:pt>
                <c:pt idx="3">
                  <c:v>4.5</c:v>
                </c:pt>
                <c:pt idx="4">
                  <c:v>6</c:v>
                </c:pt>
                <c:pt idx="5">
                  <c:v>7.5</c:v>
                </c:pt>
                <c:pt idx="6">
                  <c:v>9</c:v>
                </c:pt>
                <c:pt idx="7">
                  <c:v>10.5</c:v>
                </c:pt>
                <c:pt idx="8">
                  <c:v>12</c:v>
                </c:pt>
                <c:pt idx="9">
                  <c:v>13.5</c:v>
                </c:pt>
                <c:pt idx="10">
                  <c:v>15</c:v>
                </c:pt>
                <c:pt idx="11">
                  <c:v>16.5</c:v>
                </c:pt>
                <c:pt idx="12">
                  <c:v>18</c:v>
                </c:pt>
                <c:pt idx="13">
                  <c:v>19.5</c:v>
                </c:pt>
                <c:pt idx="14">
                  <c:v>21</c:v>
                </c:pt>
                <c:pt idx="15">
                  <c:v>22.5</c:v>
                </c:pt>
                <c:pt idx="16">
                  <c:v>24</c:v>
                </c:pt>
                <c:pt idx="17">
                  <c:v>25.500000000000004</c:v>
                </c:pt>
                <c:pt idx="18">
                  <c:v>27</c:v>
                </c:pt>
                <c:pt idx="19">
                  <c:v>28.499999999999996</c:v>
                </c:pt>
                <c:pt idx="20">
                  <c:v>30</c:v>
                </c:pt>
                <c:pt idx="21">
                  <c:v>31.5</c:v>
                </c:pt>
                <c:pt idx="22">
                  <c:v>33</c:v>
                </c:pt>
                <c:pt idx="23">
                  <c:v>34.5</c:v>
                </c:pt>
                <c:pt idx="24">
                  <c:v>36</c:v>
                </c:pt>
                <c:pt idx="25">
                  <c:v>37.5</c:v>
                </c:pt>
                <c:pt idx="26">
                  <c:v>39</c:v>
                </c:pt>
                <c:pt idx="27">
                  <c:v>40.5</c:v>
                </c:pt>
                <c:pt idx="28">
                  <c:v>42</c:v>
                </c:pt>
                <c:pt idx="29">
                  <c:v>43.5</c:v>
                </c:pt>
                <c:pt idx="30">
                  <c:v>45</c:v>
                </c:pt>
                <c:pt idx="31">
                  <c:v>46.5</c:v>
                </c:pt>
                <c:pt idx="32">
                  <c:v>48</c:v>
                </c:pt>
                <c:pt idx="33">
                  <c:v>49.5</c:v>
                </c:pt>
                <c:pt idx="34">
                  <c:v>51.000000000000007</c:v>
                </c:pt>
                <c:pt idx="35">
                  <c:v>52.5</c:v>
                </c:pt>
                <c:pt idx="36">
                  <c:v>54</c:v>
                </c:pt>
                <c:pt idx="37">
                  <c:v>55.5</c:v>
                </c:pt>
                <c:pt idx="38">
                  <c:v>56.999999999999993</c:v>
                </c:pt>
                <c:pt idx="39">
                  <c:v>58.5</c:v>
                </c:pt>
                <c:pt idx="40">
                  <c:v>60</c:v>
                </c:pt>
                <c:pt idx="41">
                  <c:v>61.499999999999993</c:v>
                </c:pt>
                <c:pt idx="42">
                  <c:v>63</c:v>
                </c:pt>
                <c:pt idx="43">
                  <c:v>64.5</c:v>
                </c:pt>
                <c:pt idx="44">
                  <c:v>66</c:v>
                </c:pt>
                <c:pt idx="45">
                  <c:v>67.5</c:v>
                </c:pt>
                <c:pt idx="46">
                  <c:v>69</c:v>
                </c:pt>
                <c:pt idx="47">
                  <c:v>70.5</c:v>
                </c:pt>
                <c:pt idx="48">
                  <c:v>72</c:v>
                </c:pt>
                <c:pt idx="49">
                  <c:v>73.5</c:v>
                </c:pt>
                <c:pt idx="50">
                  <c:v>75</c:v>
                </c:pt>
                <c:pt idx="51">
                  <c:v>76.5</c:v>
                </c:pt>
                <c:pt idx="52">
                  <c:v>78</c:v>
                </c:pt>
                <c:pt idx="53">
                  <c:v>79.5</c:v>
                </c:pt>
                <c:pt idx="54">
                  <c:v>81</c:v>
                </c:pt>
                <c:pt idx="55">
                  <c:v>82.5</c:v>
                </c:pt>
                <c:pt idx="56">
                  <c:v>84</c:v>
                </c:pt>
                <c:pt idx="57">
                  <c:v>85.499999999999986</c:v>
                </c:pt>
                <c:pt idx="58">
                  <c:v>87</c:v>
                </c:pt>
                <c:pt idx="59">
                  <c:v>88.5</c:v>
                </c:pt>
                <c:pt idx="60">
                  <c:v>90</c:v>
                </c:pt>
                <c:pt idx="61">
                  <c:v>91.5</c:v>
                </c:pt>
                <c:pt idx="62">
                  <c:v>93</c:v>
                </c:pt>
                <c:pt idx="63">
                  <c:v>94.5</c:v>
                </c:pt>
                <c:pt idx="64">
                  <c:v>96</c:v>
                </c:pt>
                <c:pt idx="65">
                  <c:v>97.5</c:v>
                </c:pt>
                <c:pt idx="66">
                  <c:v>99</c:v>
                </c:pt>
                <c:pt idx="67">
                  <c:v>100.5</c:v>
                </c:pt>
                <c:pt idx="68">
                  <c:v>102.00000000000001</c:v>
                </c:pt>
                <c:pt idx="69">
                  <c:v>103.5</c:v>
                </c:pt>
                <c:pt idx="70">
                  <c:v>105</c:v>
                </c:pt>
                <c:pt idx="71">
                  <c:v>106.5</c:v>
                </c:pt>
                <c:pt idx="72">
                  <c:v>108</c:v>
                </c:pt>
                <c:pt idx="73">
                  <c:v>109.5</c:v>
                </c:pt>
                <c:pt idx="74">
                  <c:v>111</c:v>
                </c:pt>
                <c:pt idx="75">
                  <c:v>112.49999999999999</c:v>
                </c:pt>
                <c:pt idx="76">
                  <c:v>113.99999999999999</c:v>
                </c:pt>
                <c:pt idx="77">
                  <c:v>115.49999999999999</c:v>
                </c:pt>
                <c:pt idx="78">
                  <c:v>117</c:v>
                </c:pt>
                <c:pt idx="79">
                  <c:v>118.5</c:v>
                </c:pt>
                <c:pt idx="80">
                  <c:v>120</c:v>
                </c:pt>
                <c:pt idx="81">
                  <c:v>121.5</c:v>
                </c:pt>
                <c:pt idx="82">
                  <c:v>122.99999999999999</c:v>
                </c:pt>
                <c:pt idx="83">
                  <c:v>124.49999999999999</c:v>
                </c:pt>
                <c:pt idx="84">
                  <c:v>126</c:v>
                </c:pt>
                <c:pt idx="85">
                  <c:v>127.5</c:v>
                </c:pt>
                <c:pt idx="86">
                  <c:v>129</c:v>
                </c:pt>
                <c:pt idx="87">
                  <c:v>130.5</c:v>
                </c:pt>
                <c:pt idx="88">
                  <c:v>132</c:v>
                </c:pt>
                <c:pt idx="89">
                  <c:v>133.5</c:v>
                </c:pt>
                <c:pt idx="90">
                  <c:v>135</c:v>
                </c:pt>
                <c:pt idx="91">
                  <c:v>136.5</c:v>
                </c:pt>
                <c:pt idx="92">
                  <c:v>138</c:v>
                </c:pt>
                <c:pt idx="93">
                  <c:v>139.5</c:v>
                </c:pt>
                <c:pt idx="94">
                  <c:v>141</c:v>
                </c:pt>
                <c:pt idx="95">
                  <c:v>142.5</c:v>
                </c:pt>
                <c:pt idx="96">
                  <c:v>144</c:v>
                </c:pt>
                <c:pt idx="97">
                  <c:v>145.5</c:v>
                </c:pt>
                <c:pt idx="98">
                  <c:v>147</c:v>
                </c:pt>
                <c:pt idx="99">
                  <c:v>148.5</c:v>
                </c:pt>
                <c:pt idx="100">
                  <c:v>150</c:v>
                </c:pt>
              </c:numCache>
            </c:numRef>
          </c:cat>
          <c:val>
            <c:numRef>
              <c:f>'COT Efficiency'!$BW$6:$BW$106</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1"/>
          <c:extLst>
            <c:ext xmlns:c16="http://schemas.microsoft.com/office/drawing/2014/chart" uri="{C3380CC4-5D6E-409C-BE32-E72D297353CC}">
              <c16:uniqueId val="{00000000-89CE-4B2E-AB7D-D128761B387D}"/>
            </c:ext>
          </c:extLst>
        </c:ser>
        <c:dLbls>
          <c:showLegendKey val="0"/>
          <c:showVal val="0"/>
          <c:showCatName val="0"/>
          <c:showSerName val="0"/>
          <c:showPercent val="0"/>
          <c:showBubbleSize val="0"/>
        </c:dLbls>
        <c:marker val="1"/>
        <c:smooth val="0"/>
        <c:axId val="147412096"/>
        <c:axId val="147414016"/>
      </c:lineChart>
      <c:lineChart>
        <c:grouping val="standard"/>
        <c:varyColors val="0"/>
        <c:ser>
          <c:idx val="2"/>
          <c:order val="1"/>
          <c:tx>
            <c:v> IC Total Power Loss</c:v>
          </c:tx>
          <c:spPr>
            <a:ln w="38100">
              <a:solidFill>
                <a:srgbClr val="808000"/>
              </a:solidFill>
              <a:prstDash val="sysDash"/>
            </a:ln>
          </c:spPr>
          <c:marker>
            <c:symbol val="none"/>
          </c:marker>
          <c:cat>
            <c:numRef>
              <c:f>'COT Efficiency'!$BK$6:$BK$106</c:f>
              <c:numCache>
                <c:formatCode>0.000</c:formatCode>
                <c:ptCount val="101"/>
                <c:pt idx="0">
                  <c:v>0.15</c:v>
                </c:pt>
                <c:pt idx="1">
                  <c:v>1.5</c:v>
                </c:pt>
                <c:pt idx="2">
                  <c:v>3</c:v>
                </c:pt>
                <c:pt idx="3">
                  <c:v>4.5</c:v>
                </c:pt>
                <c:pt idx="4">
                  <c:v>6</c:v>
                </c:pt>
                <c:pt idx="5">
                  <c:v>7.5</c:v>
                </c:pt>
                <c:pt idx="6">
                  <c:v>9</c:v>
                </c:pt>
                <c:pt idx="7">
                  <c:v>10.5</c:v>
                </c:pt>
                <c:pt idx="8">
                  <c:v>12</c:v>
                </c:pt>
                <c:pt idx="9">
                  <c:v>13.5</c:v>
                </c:pt>
                <c:pt idx="10">
                  <c:v>15</c:v>
                </c:pt>
                <c:pt idx="11">
                  <c:v>16.5</c:v>
                </c:pt>
                <c:pt idx="12">
                  <c:v>18</c:v>
                </c:pt>
                <c:pt idx="13">
                  <c:v>19.5</c:v>
                </c:pt>
                <c:pt idx="14">
                  <c:v>21</c:v>
                </c:pt>
                <c:pt idx="15">
                  <c:v>22.5</c:v>
                </c:pt>
                <c:pt idx="16">
                  <c:v>24</c:v>
                </c:pt>
                <c:pt idx="17">
                  <c:v>25.500000000000004</c:v>
                </c:pt>
                <c:pt idx="18">
                  <c:v>27</c:v>
                </c:pt>
                <c:pt idx="19">
                  <c:v>28.499999999999996</c:v>
                </c:pt>
                <c:pt idx="20">
                  <c:v>30</c:v>
                </c:pt>
                <c:pt idx="21">
                  <c:v>31.5</c:v>
                </c:pt>
                <c:pt idx="22">
                  <c:v>33</c:v>
                </c:pt>
                <c:pt idx="23">
                  <c:v>34.5</c:v>
                </c:pt>
                <c:pt idx="24">
                  <c:v>36</c:v>
                </c:pt>
                <c:pt idx="25">
                  <c:v>37.5</c:v>
                </c:pt>
                <c:pt idx="26">
                  <c:v>39</c:v>
                </c:pt>
                <c:pt idx="27">
                  <c:v>40.5</c:v>
                </c:pt>
                <c:pt idx="28">
                  <c:v>42</c:v>
                </c:pt>
                <c:pt idx="29">
                  <c:v>43.5</c:v>
                </c:pt>
                <c:pt idx="30">
                  <c:v>45</c:v>
                </c:pt>
                <c:pt idx="31">
                  <c:v>46.5</c:v>
                </c:pt>
                <c:pt idx="32">
                  <c:v>48</c:v>
                </c:pt>
                <c:pt idx="33">
                  <c:v>49.5</c:v>
                </c:pt>
                <c:pt idx="34">
                  <c:v>51.000000000000007</c:v>
                </c:pt>
                <c:pt idx="35">
                  <c:v>52.5</c:v>
                </c:pt>
                <c:pt idx="36">
                  <c:v>54</c:v>
                </c:pt>
                <c:pt idx="37">
                  <c:v>55.5</c:v>
                </c:pt>
                <c:pt idx="38">
                  <c:v>56.999999999999993</c:v>
                </c:pt>
                <c:pt idx="39">
                  <c:v>58.5</c:v>
                </c:pt>
                <c:pt idx="40">
                  <c:v>60</c:v>
                </c:pt>
                <c:pt idx="41">
                  <c:v>61.499999999999993</c:v>
                </c:pt>
                <c:pt idx="42">
                  <c:v>63</c:v>
                </c:pt>
                <c:pt idx="43">
                  <c:v>64.5</c:v>
                </c:pt>
                <c:pt idx="44">
                  <c:v>66</c:v>
                </c:pt>
                <c:pt idx="45">
                  <c:v>67.5</c:v>
                </c:pt>
                <c:pt idx="46">
                  <c:v>69</c:v>
                </c:pt>
                <c:pt idx="47">
                  <c:v>70.5</c:v>
                </c:pt>
                <c:pt idx="48">
                  <c:v>72</c:v>
                </c:pt>
                <c:pt idx="49">
                  <c:v>73.5</c:v>
                </c:pt>
                <c:pt idx="50">
                  <c:v>75</c:v>
                </c:pt>
                <c:pt idx="51">
                  <c:v>76.5</c:v>
                </c:pt>
                <c:pt idx="52">
                  <c:v>78</c:v>
                </c:pt>
                <c:pt idx="53">
                  <c:v>79.5</c:v>
                </c:pt>
                <c:pt idx="54">
                  <c:v>81</c:v>
                </c:pt>
                <c:pt idx="55">
                  <c:v>82.5</c:v>
                </c:pt>
                <c:pt idx="56">
                  <c:v>84</c:v>
                </c:pt>
                <c:pt idx="57">
                  <c:v>85.499999999999986</c:v>
                </c:pt>
                <c:pt idx="58">
                  <c:v>87</c:v>
                </c:pt>
                <c:pt idx="59">
                  <c:v>88.5</c:v>
                </c:pt>
                <c:pt idx="60">
                  <c:v>90</c:v>
                </c:pt>
                <c:pt idx="61">
                  <c:v>91.5</c:v>
                </c:pt>
                <c:pt idx="62">
                  <c:v>93</c:v>
                </c:pt>
                <c:pt idx="63">
                  <c:v>94.5</c:v>
                </c:pt>
                <c:pt idx="64">
                  <c:v>96</c:v>
                </c:pt>
                <c:pt idx="65">
                  <c:v>97.5</c:v>
                </c:pt>
                <c:pt idx="66">
                  <c:v>99</c:v>
                </c:pt>
                <c:pt idx="67">
                  <c:v>100.5</c:v>
                </c:pt>
                <c:pt idx="68">
                  <c:v>102.00000000000001</c:v>
                </c:pt>
                <c:pt idx="69">
                  <c:v>103.5</c:v>
                </c:pt>
                <c:pt idx="70">
                  <c:v>105</c:v>
                </c:pt>
                <c:pt idx="71">
                  <c:v>106.5</c:v>
                </c:pt>
                <c:pt idx="72">
                  <c:v>108</c:v>
                </c:pt>
                <c:pt idx="73">
                  <c:v>109.5</c:v>
                </c:pt>
                <c:pt idx="74">
                  <c:v>111</c:v>
                </c:pt>
                <c:pt idx="75">
                  <c:v>112.49999999999999</c:v>
                </c:pt>
                <c:pt idx="76">
                  <c:v>113.99999999999999</c:v>
                </c:pt>
                <c:pt idx="77">
                  <c:v>115.49999999999999</c:v>
                </c:pt>
                <c:pt idx="78">
                  <c:v>117</c:v>
                </c:pt>
                <c:pt idx="79">
                  <c:v>118.5</c:v>
                </c:pt>
                <c:pt idx="80">
                  <c:v>120</c:v>
                </c:pt>
                <c:pt idx="81">
                  <c:v>121.5</c:v>
                </c:pt>
                <c:pt idx="82">
                  <c:v>122.99999999999999</c:v>
                </c:pt>
                <c:pt idx="83">
                  <c:v>124.49999999999999</c:v>
                </c:pt>
                <c:pt idx="84">
                  <c:v>126</c:v>
                </c:pt>
                <c:pt idx="85">
                  <c:v>127.5</c:v>
                </c:pt>
                <c:pt idx="86">
                  <c:v>129</c:v>
                </c:pt>
                <c:pt idx="87">
                  <c:v>130.5</c:v>
                </c:pt>
                <c:pt idx="88">
                  <c:v>132</c:v>
                </c:pt>
                <c:pt idx="89">
                  <c:v>133.5</c:v>
                </c:pt>
                <c:pt idx="90">
                  <c:v>135</c:v>
                </c:pt>
                <c:pt idx="91">
                  <c:v>136.5</c:v>
                </c:pt>
                <c:pt idx="92">
                  <c:v>138</c:v>
                </c:pt>
                <c:pt idx="93">
                  <c:v>139.5</c:v>
                </c:pt>
                <c:pt idx="94">
                  <c:v>141</c:v>
                </c:pt>
                <c:pt idx="95">
                  <c:v>142.5</c:v>
                </c:pt>
                <c:pt idx="96">
                  <c:v>144</c:v>
                </c:pt>
                <c:pt idx="97">
                  <c:v>145.5</c:v>
                </c:pt>
                <c:pt idx="98">
                  <c:v>147</c:v>
                </c:pt>
                <c:pt idx="99">
                  <c:v>148.5</c:v>
                </c:pt>
                <c:pt idx="100">
                  <c:v>150</c:v>
                </c:pt>
              </c:numCache>
            </c:numRef>
          </c:cat>
          <c:val>
            <c:numRef>
              <c:f>'COT Efficiency'!$BX$6:$BX$106</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1-89CE-4B2E-AB7D-D128761B387D}"/>
            </c:ext>
          </c:extLst>
        </c:ser>
        <c:ser>
          <c:idx val="1"/>
          <c:order val="2"/>
          <c:tx>
            <c:v> LDO + Quiescent Loss</c:v>
          </c:tx>
          <c:spPr>
            <a:ln w="38100">
              <a:solidFill>
                <a:srgbClr val="002060"/>
              </a:solidFill>
              <a:prstDash val="sysDot"/>
            </a:ln>
          </c:spPr>
          <c:marker>
            <c:symbol val="none"/>
          </c:marker>
          <c:cat>
            <c:numRef>
              <c:f>'COT Efficiency'!$BK$6:$BK$106</c:f>
              <c:numCache>
                <c:formatCode>0.000</c:formatCode>
                <c:ptCount val="101"/>
                <c:pt idx="0">
                  <c:v>0.15</c:v>
                </c:pt>
                <c:pt idx="1">
                  <c:v>1.5</c:v>
                </c:pt>
                <c:pt idx="2">
                  <c:v>3</c:v>
                </c:pt>
                <c:pt idx="3">
                  <c:v>4.5</c:v>
                </c:pt>
                <c:pt idx="4">
                  <c:v>6</c:v>
                </c:pt>
                <c:pt idx="5">
                  <c:v>7.5</c:v>
                </c:pt>
                <c:pt idx="6">
                  <c:v>9</c:v>
                </c:pt>
                <c:pt idx="7">
                  <c:v>10.5</c:v>
                </c:pt>
                <c:pt idx="8">
                  <c:v>12</c:v>
                </c:pt>
                <c:pt idx="9">
                  <c:v>13.5</c:v>
                </c:pt>
                <c:pt idx="10">
                  <c:v>15</c:v>
                </c:pt>
                <c:pt idx="11">
                  <c:v>16.5</c:v>
                </c:pt>
                <c:pt idx="12">
                  <c:v>18</c:v>
                </c:pt>
                <c:pt idx="13">
                  <c:v>19.5</c:v>
                </c:pt>
                <c:pt idx="14">
                  <c:v>21</c:v>
                </c:pt>
                <c:pt idx="15">
                  <c:v>22.5</c:v>
                </c:pt>
                <c:pt idx="16">
                  <c:v>24</c:v>
                </c:pt>
                <c:pt idx="17">
                  <c:v>25.500000000000004</c:v>
                </c:pt>
                <c:pt idx="18">
                  <c:v>27</c:v>
                </c:pt>
                <c:pt idx="19">
                  <c:v>28.499999999999996</c:v>
                </c:pt>
                <c:pt idx="20">
                  <c:v>30</c:v>
                </c:pt>
                <c:pt idx="21">
                  <c:v>31.5</c:v>
                </c:pt>
                <c:pt idx="22">
                  <c:v>33</c:v>
                </c:pt>
                <c:pt idx="23">
                  <c:v>34.5</c:v>
                </c:pt>
                <c:pt idx="24">
                  <c:v>36</c:v>
                </c:pt>
                <c:pt idx="25">
                  <c:v>37.5</c:v>
                </c:pt>
                <c:pt idx="26">
                  <c:v>39</c:v>
                </c:pt>
                <c:pt idx="27">
                  <c:v>40.5</c:v>
                </c:pt>
                <c:pt idx="28">
                  <c:v>42</c:v>
                </c:pt>
                <c:pt idx="29">
                  <c:v>43.5</c:v>
                </c:pt>
                <c:pt idx="30">
                  <c:v>45</c:v>
                </c:pt>
                <c:pt idx="31">
                  <c:v>46.5</c:v>
                </c:pt>
                <c:pt idx="32">
                  <c:v>48</c:v>
                </c:pt>
                <c:pt idx="33">
                  <c:v>49.5</c:v>
                </c:pt>
                <c:pt idx="34">
                  <c:v>51.000000000000007</c:v>
                </c:pt>
                <c:pt idx="35">
                  <c:v>52.5</c:v>
                </c:pt>
                <c:pt idx="36">
                  <c:v>54</c:v>
                </c:pt>
                <c:pt idx="37">
                  <c:v>55.5</c:v>
                </c:pt>
                <c:pt idx="38">
                  <c:v>56.999999999999993</c:v>
                </c:pt>
                <c:pt idx="39">
                  <c:v>58.5</c:v>
                </c:pt>
                <c:pt idx="40">
                  <c:v>60</c:v>
                </c:pt>
                <c:pt idx="41">
                  <c:v>61.499999999999993</c:v>
                </c:pt>
                <c:pt idx="42">
                  <c:v>63</c:v>
                </c:pt>
                <c:pt idx="43">
                  <c:v>64.5</c:v>
                </c:pt>
                <c:pt idx="44">
                  <c:v>66</c:v>
                </c:pt>
                <c:pt idx="45">
                  <c:v>67.5</c:v>
                </c:pt>
                <c:pt idx="46">
                  <c:v>69</c:v>
                </c:pt>
                <c:pt idx="47">
                  <c:v>70.5</c:v>
                </c:pt>
                <c:pt idx="48">
                  <c:v>72</c:v>
                </c:pt>
                <c:pt idx="49">
                  <c:v>73.5</c:v>
                </c:pt>
                <c:pt idx="50">
                  <c:v>75</c:v>
                </c:pt>
                <c:pt idx="51">
                  <c:v>76.5</c:v>
                </c:pt>
                <c:pt idx="52">
                  <c:v>78</c:v>
                </c:pt>
                <c:pt idx="53">
                  <c:v>79.5</c:v>
                </c:pt>
                <c:pt idx="54">
                  <c:v>81</c:v>
                </c:pt>
                <c:pt idx="55">
                  <c:v>82.5</c:v>
                </c:pt>
                <c:pt idx="56">
                  <c:v>84</c:v>
                </c:pt>
                <c:pt idx="57">
                  <c:v>85.499999999999986</c:v>
                </c:pt>
                <c:pt idx="58">
                  <c:v>87</c:v>
                </c:pt>
                <c:pt idx="59">
                  <c:v>88.5</c:v>
                </c:pt>
                <c:pt idx="60">
                  <c:v>90</c:v>
                </c:pt>
                <c:pt idx="61">
                  <c:v>91.5</c:v>
                </c:pt>
                <c:pt idx="62">
                  <c:v>93</c:v>
                </c:pt>
                <c:pt idx="63">
                  <c:v>94.5</c:v>
                </c:pt>
                <c:pt idx="64">
                  <c:v>96</c:v>
                </c:pt>
                <c:pt idx="65">
                  <c:v>97.5</c:v>
                </c:pt>
                <c:pt idx="66">
                  <c:v>99</c:v>
                </c:pt>
                <c:pt idx="67">
                  <c:v>100.5</c:v>
                </c:pt>
                <c:pt idx="68">
                  <c:v>102.00000000000001</c:v>
                </c:pt>
                <c:pt idx="69">
                  <c:v>103.5</c:v>
                </c:pt>
                <c:pt idx="70">
                  <c:v>105</c:v>
                </c:pt>
                <c:pt idx="71">
                  <c:v>106.5</c:v>
                </c:pt>
                <c:pt idx="72">
                  <c:v>108</c:v>
                </c:pt>
                <c:pt idx="73">
                  <c:v>109.5</c:v>
                </c:pt>
                <c:pt idx="74">
                  <c:v>111</c:v>
                </c:pt>
                <c:pt idx="75">
                  <c:v>112.49999999999999</c:v>
                </c:pt>
                <c:pt idx="76">
                  <c:v>113.99999999999999</c:v>
                </c:pt>
                <c:pt idx="77">
                  <c:v>115.49999999999999</c:v>
                </c:pt>
                <c:pt idx="78">
                  <c:v>117</c:v>
                </c:pt>
                <c:pt idx="79">
                  <c:v>118.5</c:v>
                </c:pt>
                <c:pt idx="80">
                  <c:v>120</c:v>
                </c:pt>
                <c:pt idx="81">
                  <c:v>121.5</c:v>
                </c:pt>
                <c:pt idx="82">
                  <c:v>122.99999999999999</c:v>
                </c:pt>
                <c:pt idx="83">
                  <c:v>124.49999999999999</c:v>
                </c:pt>
                <c:pt idx="84">
                  <c:v>126</c:v>
                </c:pt>
                <c:pt idx="85">
                  <c:v>127.5</c:v>
                </c:pt>
                <c:pt idx="86">
                  <c:v>129</c:v>
                </c:pt>
                <c:pt idx="87">
                  <c:v>130.5</c:v>
                </c:pt>
                <c:pt idx="88">
                  <c:v>132</c:v>
                </c:pt>
                <c:pt idx="89">
                  <c:v>133.5</c:v>
                </c:pt>
                <c:pt idx="90">
                  <c:v>135</c:v>
                </c:pt>
                <c:pt idx="91">
                  <c:v>136.5</c:v>
                </c:pt>
                <c:pt idx="92">
                  <c:v>138</c:v>
                </c:pt>
                <c:pt idx="93">
                  <c:v>139.5</c:v>
                </c:pt>
                <c:pt idx="94">
                  <c:v>141</c:v>
                </c:pt>
                <c:pt idx="95">
                  <c:v>142.5</c:v>
                </c:pt>
                <c:pt idx="96">
                  <c:v>144</c:v>
                </c:pt>
                <c:pt idx="97">
                  <c:v>145.5</c:v>
                </c:pt>
                <c:pt idx="98">
                  <c:v>147</c:v>
                </c:pt>
                <c:pt idx="99">
                  <c:v>148.5</c:v>
                </c:pt>
                <c:pt idx="100">
                  <c:v>150</c:v>
                </c:pt>
              </c:numCache>
            </c:numRef>
          </c:cat>
          <c:val>
            <c:numRef>
              <c:f>'COT Efficiency'!$BY$6:$BY$106</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2-89CE-4B2E-AB7D-D128761B387D}"/>
            </c:ext>
          </c:extLst>
        </c:ser>
        <c:ser>
          <c:idx val="3"/>
          <c:order val="3"/>
          <c:tx>
            <c:v> Inductor Loss</c:v>
          </c:tx>
          <c:spPr>
            <a:ln w="38100">
              <a:solidFill>
                <a:srgbClr val="800080"/>
              </a:solidFill>
              <a:prstDash val="dash"/>
            </a:ln>
          </c:spPr>
          <c:marker>
            <c:symbol val="none"/>
          </c:marker>
          <c:cat>
            <c:numRef>
              <c:f>'COT Efficiency'!$BK$6:$BK$106</c:f>
              <c:numCache>
                <c:formatCode>0.000</c:formatCode>
                <c:ptCount val="101"/>
                <c:pt idx="0">
                  <c:v>0.15</c:v>
                </c:pt>
                <c:pt idx="1">
                  <c:v>1.5</c:v>
                </c:pt>
                <c:pt idx="2">
                  <c:v>3</c:v>
                </c:pt>
                <c:pt idx="3">
                  <c:v>4.5</c:v>
                </c:pt>
                <c:pt idx="4">
                  <c:v>6</c:v>
                </c:pt>
                <c:pt idx="5">
                  <c:v>7.5</c:v>
                </c:pt>
                <c:pt idx="6">
                  <c:v>9</c:v>
                </c:pt>
                <c:pt idx="7">
                  <c:v>10.5</c:v>
                </c:pt>
                <c:pt idx="8">
                  <c:v>12</c:v>
                </c:pt>
                <c:pt idx="9">
                  <c:v>13.5</c:v>
                </c:pt>
                <c:pt idx="10">
                  <c:v>15</c:v>
                </c:pt>
                <c:pt idx="11">
                  <c:v>16.5</c:v>
                </c:pt>
                <c:pt idx="12">
                  <c:v>18</c:v>
                </c:pt>
                <c:pt idx="13">
                  <c:v>19.5</c:v>
                </c:pt>
                <c:pt idx="14">
                  <c:v>21</c:v>
                </c:pt>
                <c:pt idx="15">
                  <c:v>22.5</c:v>
                </c:pt>
                <c:pt idx="16">
                  <c:v>24</c:v>
                </c:pt>
                <c:pt idx="17">
                  <c:v>25.500000000000004</c:v>
                </c:pt>
                <c:pt idx="18">
                  <c:v>27</c:v>
                </c:pt>
                <c:pt idx="19">
                  <c:v>28.499999999999996</c:v>
                </c:pt>
                <c:pt idx="20">
                  <c:v>30</c:v>
                </c:pt>
                <c:pt idx="21">
                  <c:v>31.5</c:v>
                </c:pt>
                <c:pt idx="22">
                  <c:v>33</c:v>
                </c:pt>
                <c:pt idx="23">
                  <c:v>34.5</c:v>
                </c:pt>
                <c:pt idx="24">
                  <c:v>36</c:v>
                </c:pt>
                <c:pt idx="25">
                  <c:v>37.5</c:v>
                </c:pt>
                <c:pt idx="26">
                  <c:v>39</c:v>
                </c:pt>
                <c:pt idx="27">
                  <c:v>40.5</c:v>
                </c:pt>
                <c:pt idx="28">
                  <c:v>42</c:v>
                </c:pt>
                <c:pt idx="29">
                  <c:v>43.5</c:v>
                </c:pt>
                <c:pt idx="30">
                  <c:v>45</c:v>
                </c:pt>
                <c:pt idx="31">
                  <c:v>46.5</c:v>
                </c:pt>
                <c:pt idx="32">
                  <c:v>48</c:v>
                </c:pt>
                <c:pt idx="33">
                  <c:v>49.5</c:v>
                </c:pt>
                <c:pt idx="34">
                  <c:v>51.000000000000007</c:v>
                </c:pt>
                <c:pt idx="35">
                  <c:v>52.5</c:v>
                </c:pt>
                <c:pt idx="36">
                  <c:v>54</c:v>
                </c:pt>
                <c:pt idx="37">
                  <c:v>55.5</c:v>
                </c:pt>
                <c:pt idx="38">
                  <c:v>56.999999999999993</c:v>
                </c:pt>
                <c:pt idx="39">
                  <c:v>58.5</c:v>
                </c:pt>
                <c:pt idx="40">
                  <c:v>60</c:v>
                </c:pt>
                <c:pt idx="41">
                  <c:v>61.499999999999993</c:v>
                </c:pt>
                <c:pt idx="42">
                  <c:v>63</c:v>
                </c:pt>
                <c:pt idx="43">
                  <c:v>64.5</c:v>
                </c:pt>
                <c:pt idx="44">
                  <c:v>66</c:v>
                </c:pt>
                <c:pt idx="45">
                  <c:v>67.5</c:v>
                </c:pt>
                <c:pt idx="46">
                  <c:v>69</c:v>
                </c:pt>
                <c:pt idx="47">
                  <c:v>70.5</c:v>
                </c:pt>
                <c:pt idx="48">
                  <c:v>72</c:v>
                </c:pt>
                <c:pt idx="49">
                  <c:v>73.5</c:v>
                </c:pt>
                <c:pt idx="50">
                  <c:v>75</c:v>
                </c:pt>
                <c:pt idx="51">
                  <c:v>76.5</c:v>
                </c:pt>
                <c:pt idx="52">
                  <c:v>78</c:v>
                </c:pt>
                <c:pt idx="53">
                  <c:v>79.5</c:v>
                </c:pt>
                <c:pt idx="54">
                  <c:v>81</c:v>
                </c:pt>
                <c:pt idx="55">
                  <c:v>82.5</c:v>
                </c:pt>
                <c:pt idx="56">
                  <c:v>84</c:v>
                </c:pt>
                <c:pt idx="57">
                  <c:v>85.499999999999986</c:v>
                </c:pt>
                <c:pt idx="58">
                  <c:v>87</c:v>
                </c:pt>
                <c:pt idx="59">
                  <c:v>88.5</c:v>
                </c:pt>
                <c:pt idx="60">
                  <c:v>90</c:v>
                </c:pt>
                <c:pt idx="61">
                  <c:v>91.5</c:v>
                </c:pt>
                <c:pt idx="62">
                  <c:v>93</c:v>
                </c:pt>
                <c:pt idx="63">
                  <c:v>94.5</c:v>
                </c:pt>
                <c:pt idx="64">
                  <c:v>96</c:v>
                </c:pt>
                <c:pt idx="65">
                  <c:v>97.5</c:v>
                </c:pt>
                <c:pt idx="66">
                  <c:v>99</c:v>
                </c:pt>
                <c:pt idx="67">
                  <c:v>100.5</c:v>
                </c:pt>
                <c:pt idx="68">
                  <c:v>102.00000000000001</c:v>
                </c:pt>
                <c:pt idx="69">
                  <c:v>103.5</c:v>
                </c:pt>
                <c:pt idx="70">
                  <c:v>105</c:v>
                </c:pt>
                <c:pt idx="71">
                  <c:v>106.5</c:v>
                </c:pt>
                <c:pt idx="72">
                  <c:v>108</c:v>
                </c:pt>
                <c:pt idx="73">
                  <c:v>109.5</c:v>
                </c:pt>
                <c:pt idx="74">
                  <c:v>111</c:v>
                </c:pt>
                <c:pt idx="75">
                  <c:v>112.49999999999999</c:v>
                </c:pt>
                <c:pt idx="76">
                  <c:v>113.99999999999999</c:v>
                </c:pt>
                <c:pt idx="77">
                  <c:v>115.49999999999999</c:v>
                </c:pt>
                <c:pt idx="78">
                  <c:v>117</c:v>
                </c:pt>
                <c:pt idx="79">
                  <c:v>118.5</c:v>
                </c:pt>
                <c:pt idx="80">
                  <c:v>120</c:v>
                </c:pt>
                <c:pt idx="81">
                  <c:v>121.5</c:v>
                </c:pt>
                <c:pt idx="82">
                  <c:v>122.99999999999999</c:v>
                </c:pt>
                <c:pt idx="83">
                  <c:v>124.49999999999999</c:v>
                </c:pt>
                <c:pt idx="84">
                  <c:v>126</c:v>
                </c:pt>
                <c:pt idx="85">
                  <c:v>127.5</c:v>
                </c:pt>
                <c:pt idx="86">
                  <c:v>129</c:v>
                </c:pt>
                <c:pt idx="87">
                  <c:v>130.5</c:v>
                </c:pt>
                <c:pt idx="88">
                  <c:v>132</c:v>
                </c:pt>
                <c:pt idx="89">
                  <c:v>133.5</c:v>
                </c:pt>
                <c:pt idx="90">
                  <c:v>135</c:v>
                </c:pt>
                <c:pt idx="91">
                  <c:v>136.5</c:v>
                </c:pt>
                <c:pt idx="92">
                  <c:v>138</c:v>
                </c:pt>
                <c:pt idx="93">
                  <c:v>139.5</c:v>
                </c:pt>
                <c:pt idx="94">
                  <c:v>141</c:v>
                </c:pt>
                <c:pt idx="95">
                  <c:v>142.5</c:v>
                </c:pt>
                <c:pt idx="96">
                  <c:v>144</c:v>
                </c:pt>
                <c:pt idx="97">
                  <c:v>145.5</c:v>
                </c:pt>
                <c:pt idx="98">
                  <c:v>147</c:v>
                </c:pt>
                <c:pt idx="99">
                  <c:v>148.5</c:v>
                </c:pt>
                <c:pt idx="100">
                  <c:v>150</c:v>
                </c:pt>
              </c:numCache>
            </c:numRef>
          </c:cat>
          <c:val>
            <c:numRef>
              <c:f>'COT Efficiency'!$BZ$6:$BZ$106</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3-89CE-4B2E-AB7D-D128761B387D}"/>
            </c:ext>
          </c:extLst>
        </c:ser>
        <c:dLbls>
          <c:showLegendKey val="0"/>
          <c:showVal val="0"/>
          <c:showCatName val="0"/>
          <c:showSerName val="0"/>
          <c:showPercent val="0"/>
          <c:showBubbleSize val="0"/>
        </c:dLbls>
        <c:marker val="1"/>
        <c:smooth val="0"/>
        <c:axId val="147426304"/>
        <c:axId val="147424384"/>
      </c:lineChart>
      <c:catAx>
        <c:axId val="147412096"/>
        <c:scaling>
          <c:orientation val="minMax"/>
        </c:scaling>
        <c:delete val="0"/>
        <c:axPos val="b"/>
        <c:majorGridlines>
          <c:spPr>
            <a:ln w="15875">
              <a:solidFill>
                <a:srgbClr val="969696"/>
              </a:solidFill>
              <a:prstDash val="sysDash"/>
            </a:ln>
          </c:spPr>
        </c:majorGridlines>
        <c:title>
          <c:tx>
            <c:rich>
              <a:bodyPr/>
              <a:lstStyle/>
              <a:p>
                <a:pPr>
                  <a:defRPr sz="1300" b="1" i="0" u="none" strike="noStrike" baseline="0">
                    <a:solidFill>
                      <a:srgbClr val="0000FF"/>
                    </a:solidFill>
                    <a:latin typeface="Arial" pitchFamily="34" charset="0"/>
                    <a:ea typeface="Calibri"/>
                    <a:cs typeface="Arial" pitchFamily="34" charset="0"/>
                  </a:defRPr>
                </a:pPr>
                <a:r>
                  <a:rPr lang="en-US" sz="1300">
                    <a:solidFill>
                      <a:srgbClr val="0000FF"/>
                    </a:solidFill>
                    <a:latin typeface="Arial" pitchFamily="34" charset="0"/>
                    <a:cs typeface="Arial" pitchFamily="34" charset="0"/>
                  </a:rPr>
                  <a:t>Output Current (mA)</a:t>
                </a:r>
              </a:p>
            </c:rich>
          </c:tx>
          <c:layout>
            <c:manualLayout>
              <c:xMode val="edge"/>
              <c:yMode val="edge"/>
              <c:x val="0.39758914117854249"/>
              <c:y val="0.94571922891661009"/>
            </c:manualLayout>
          </c:layout>
          <c:overlay val="0"/>
          <c:spPr>
            <a:noFill/>
            <a:ln w="25400">
              <a:noFill/>
            </a:ln>
          </c:spPr>
        </c:title>
        <c:numFmt formatCode="0" sourceLinked="0"/>
        <c:majorTickMark val="in"/>
        <c:minorTickMark val="none"/>
        <c:tickLblPos val="nextTo"/>
        <c:spPr>
          <a:ln w="3175">
            <a:solidFill>
              <a:srgbClr val="000000"/>
            </a:solidFill>
            <a:prstDash val="solid"/>
          </a:ln>
        </c:spPr>
        <c:txPr>
          <a:bodyPr rot="0" vert="horz"/>
          <a:lstStyle/>
          <a:p>
            <a:pPr>
              <a:defRPr sz="1100" b="1" i="0" u="none" strike="noStrike" baseline="0">
                <a:solidFill>
                  <a:srgbClr val="0000FF"/>
                </a:solidFill>
                <a:latin typeface="Arial" pitchFamily="34" charset="0"/>
                <a:ea typeface="Calibri"/>
                <a:cs typeface="Arial" pitchFamily="34" charset="0"/>
              </a:defRPr>
            </a:pPr>
            <a:endParaRPr lang="en-US"/>
          </a:p>
        </c:txPr>
        <c:crossAx val="147414016"/>
        <c:crosses val="autoZero"/>
        <c:auto val="1"/>
        <c:lblAlgn val="ctr"/>
        <c:lblOffset val="100"/>
        <c:tickLblSkip val="20"/>
        <c:tickMarkSkip val="10"/>
        <c:noMultiLvlLbl val="0"/>
      </c:catAx>
      <c:valAx>
        <c:axId val="147414016"/>
        <c:scaling>
          <c:orientation val="minMax"/>
          <c:max val="100"/>
          <c:min val="55"/>
        </c:scaling>
        <c:delete val="0"/>
        <c:axPos val="l"/>
        <c:majorGridlines>
          <c:spPr>
            <a:ln w="15875">
              <a:solidFill>
                <a:srgbClr val="808080"/>
              </a:solidFill>
              <a:prstDash val="solid"/>
            </a:ln>
          </c:spPr>
        </c:majorGridlines>
        <c:minorGridlines>
          <c:spPr>
            <a:ln>
              <a:noFill/>
            </a:ln>
          </c:spPr>
        </c:minorGridlines>
        <c:title>
          <c:tx>
            <c:rich>
              <a:bodyPr/>
              <a:lstStyle/>
              <a:p>
                <a:pPr>
                  <a:defRPr sz="1400" b="1" i="0" u="none" strike="noStrike" baseline="0">
                    <a:solidFill>
                      <a:srgbClr val="FF0000"/>
                    </a:solidFill>
                    <a:latin typeface="Arial" pitchFamily="34" charset="0"/>
                    <a:ea typeface="Calibri"/>
                    <a:cs typeface="Arial" pitchFamily="34" charset="0"/>
                  </a:defRPr>
                </a:pPr>
                <a:r>
                  <a:rPr lang="en-US" sz="1400" b="1">
                    <a:solidFill>
                      <a:srgbClr val="FF0000"/>
                    </a:solidFill>
                    <a:latin typeface="Arial" pitchFamily="34" charset="0"/>
                    <a:cs typeface="Arial" pitchFamily="34" charset="0"/>
                  </a:rPr>
                  <a:t>Efficiency (%)</a:t>
                </a:r>
              </a:p>
            </c:rich>
          </c:tx>
          <c:layout>
            <c:manualLayout>
              <c:xMode val="edge"/>
              <c:yMode val="edge"/>
              <c:x val="1.2871858674081443E-2"/>
              <c:y val="0.37638177915688398"/>
            </c:manualLayout>
          </c:layout>
          <c:overlay val="0"/>
          <c:spPr>
            <a:noFill/>
            <a:ln w="25400">
              <a:noFill/>
            </a:ln>
          </c:spPr>
        </c:title>
        <c:numFmt formatCode="#,##0"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147412096"/>
        <c:crossesAt val="0"/>
        <c:crossBetween val="between"/>
        <c:majorUnit val="5"/>
        <c:minorUnit val="2.5"/>
      </c:valAx>
      <c:valAx>
        <c:axId val="147424384"/>
        <c:scaling>
          <c:orientation val="minMax"/>
        </c:scaling>
        <c:delete val="0"/>
        <c:axPos val="r"/>
        <c:title>
          <c:tx>
            <c:rich>
              <a:bodyPr rot="-5400000" vert="horz"/>
              <a:lstStyle/>
              <a:p>
                <a:pPr>
                  <a:defRPr sz="1400" b="1">
                    <a:solidFill>
                      <a:sysClr val="windowText" lastClr="000000"/>
                    </a:solidFill>
                  </a:defRPr>
                </a:pPr>
                <a:r>
                  <a:rPr lang="en-US" sz="1400" b="1">
                    <a:solidFill>
                      <a:sysClr val="windowText" lastClr="000000"/>
                    </a:solidFill>
                  </a:rPr>
                  <a:t>Power Loss (mW)</a:t>
                </a:r>
              </a:p>
            </c:rich>
          </c:tx>
          <c:layout>
            <c:manualLayout>
              <c:xMode val="edge"/>
              <c:yMode val="edge"/>
              <c:x val="0.95720616195060426"/>
              <c:y val="0.34716258649486992"/>
            </c:manualLayout>
          </c:layout>
          <c:overlay val="0"/>
        </c:title>
        <c:numFmt formatCode="0" sourceLinked="0"/>
        <c:majorTickMark val="out"/>
        <c:minorTickMark val="none"/>
        <c:tickLblPos val="nextTo"/>
        <c:txPr>
          <a:bodyPr/>
          <a:lstStyle/>
          <a:p>
            <a:pPr>
              <a:defRPr sz="1100" b="1">
                <a:solidFill>
                  <a:sysClr val="windowText" lastClr="000000"/>
                </a:solidFill>
              </a:defRPr>
            </a:pPr>
            <a:endParaRPr lang="en-US"/>
          </a:p>
        </c:txPr>
        <c:crossAx val="147426304"/>
        <c:crosses val="max"/>
        <c:crossBetween val="between"/>
      </c:valAx>
      <c:catAx>
        <c:axId val="147426304"/>
        <c:scaling>
          <c:orientation val="minMax"/>
        </c:scaling>
        <c:delete val="1"/>
        <c:axPos val="b"/>
        <c:numFmt formatCode="0.000" sourceLinked="1"/>
        <c:majorTickMark val="out"/>
        <c:minorTickMark val="none"/>
        <c:tickLblPos val="nextTo"/>
        <c:crossAx val="147424384"/>
        <c:crosses val="autoZero"/>
        <c:auto val="1"/>
        <c:lblAlgn val="ctr"/>
        <c:lblOffset val="100"/>
        <c:noMultiLvlLbl val="0"/>
      </c:catAx>
      <c:spPr>
        <a:noFill/>
        <a:ln w="25400">
          <a:noFill/>
        </a:ln>
      </c:spPr>
    </c:plotArea>
    <c:legend>
      <c:legendPos val="t"/>
      <c:layout>
        <c:manualLayout>
          <c:xMode val="edge"/>
          <c:yMode val="edge"/>
          <c:x val="0.37933287497125029"/>
          <c:y val="1.1892546194234431E-2"/>
          <c:w val="0.62066712502874966"/>
          <c:h val="9.7234170816987084E-2"/>
        </c:manualLayout>
      </c:layout>
      <c:overlay val="0"/>
      <c:spPr>
        <a:solidFill>
          <a:srgbClr val="FFFFFF"/>
        </a:solidFill>
        <a:ln w="25400">
          <a:noFill/>
        </a:ln>
      </c:spPr>
      <c:txPr>
        <a:bodyPr/>
        <a:lstStyle/>
        <a:p>
          <a:pPr>
            <a:defRPr sz="1200" b="0" i="0" u="none" strike="noStrike" baseline="0">
              <a:solidFill>
                <a:srgbClr val="000000"/>
              </a:solidFill>
              <a:latin typeface="Arial" pitchFamily="34" charset="0"/>
              <a:ea typeface="Calibri"/>
              <a:cs typeface="Arial" pitchFamily="34" charset="0"/>
            </a:defRPr>
          </a:pPr>
          <a:endParaRPr lang="en-US"/>
        </a:p>
      </c:txPr>
    </c:legend>
    <c:plotVisOnly val="1"/>
    <c:dispBlanksAs val="gap"/>
    <c:showDLblsOverMax val="0"/>
  </c:chart>
  <c:spPr>
    <a:solidFill>
      <a:schemeClr val="bg1"/>
    </a:solidFill>
    <a:ln w="9525">
      <a:solidFill>
        <a:srgbClr val="808080"/>
      </a:solidFill>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paperSize="5"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P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b="1" i="0" u="none" strike="noStrike" baseline="0">
                <a:solidFill>
                  <a:srgbClr val="000000"/>
                </a:solidFill>
                <a:latin typeface="Arial" pitchFamily="34" charset="0"/>
                <a:ea typeface="Calibri"/>
                <a:cs typeface="Arial" pitchFamily="34" charset="0"/>
              </a:defRPr>
            </a:pPr>
            <a:r>
              <a:rPr lang="en-US" sz="2000">
                <a:latin typeface="Arial" pitchFamily="34" charset="0"/>
                <a:cs typeface="Arial" pitchFamily="34" charset="0"/>
                <a:sym typeface="Symbol"/>
              </a:rPr>
              <a:t></a:t>
            </a:r>
            <a:r>
              <a:rPr lang="en-US" sz="2000" b="1" i="0" u="none" strike="noStrike" baseline="0"/>
              <a:t>, V</a:t>
            </a:r>
            <a:r>
              <a:rPr lang="en-US" sz="2000" b="1" i="0" u="none" strike="noStrike" baseline="-25000"/>
              <a:t>IN</a:t>
            </a:r>
            <a:r>
              <a:rPr lang="en-US" sz="2000" b="1" i="0" u="none" strike="noStrike" baseline="0"/>
              <a:t> = V</a:t>
            </a:r>
            <a:r>
              <a:rPr lang="en-US" sz="2000" b="1" i="0" u="none" strike="noStrike" baseline="-25000"/>
              <a:t>IN(nom)</a:t>
            </a:r>
            <a:endParaRPr lang="en-US" sz="2000">
              <a:latin typeface="Arial" pitchFamily="34" charset="0"/>
              <a:cs typeface="Arial" pitchFamily="34" charset="0"/>
            </a:endParaRPr>
          </a:p>
        </c:rich>
      </c:tx>
      <c:layout>
        <c:manualLayout>
          <c:xMode val="edge"/>
          <c:yMode val="edge"/>
          <c:x val="0.10084794235626206"/>
          <c:y val="2.0639566697272373E-2"/>
        </c:manualLayout>
      </c:layout>
      <c:overlay val="0"/>
      <c:spPr>
        <a:noFill/>
        <a:ln w="25400">
          <a:noFill/>
        </a:ln>
      </c:spPr>
    </c:title>
    <c:autoTitleDeleted val="0"/>
    <c:plotArea>
      <c:layout>
        <c:manualLayout>
          <c:layoutTarget val="inner"/>
          <c:xMode val="edge"/>
          <c:yMode val="edge"/>
          <c:x val="9.6431242477420784E-2"/>
          <c:y val="0.12623524831068847"/>
          <c:w val="0.80710088601818597"/>
          <c:h val="0.75817935425584548"/>
        </c:manualLayout>
      </c:layout>
      <c:scatterChart>
        <c:scatterStyle val="smoothMarker"/>
        <c:varyColors val="0"/>
        <c:ser>
          <c:idx val="0"/>
          <c:order val="0"/>
          <c:tx>
            <c:v> Efficiency</c:v>
          </c:tx>
          <c:spPr>
            <a:ln w="31750">
              <a:solidFill>
                <a:srgbClr val="FF0000"/>
              </a:solidFill>
              <a:prstDash val="solid"/>
            </a:ln>
          </c:spPr>
          <c:marker>
            <c:symbol val="none"/>
          </c:marker>
          <c:xVal>
            <c:numRef>
              <c:f>'COT Efficiency'!$BK$6:$BK$106</c:f>
              <c:numCache>
                <c:formatCode>0.000</c:formatCode>
                <c:ptCount val="101"/>
                <c:pt idx="0">
                  <c:v>0.15</c:v>
                </c:pt>
                <c:pt idx="1">
                  <c:v>1.5</c:v>
                </c:pt>
                <c:pt idx="2">
                  <c:v>3</c:v>
                </c:pt>
                <c:pt idx="3">
                  <c:v>4.5</c:v>
                </c:pt>
                <c:pt idx="4">
                  <c:v>6</c:v>
                </c:pt>
                <c:pt idx="5">
                  <c:v>7.5</c:v>
                </c:pt>
                <c:pt idx="6">
                  <c:v>9</c:v>
                </c:pt>
                <c:pt idx="7">
                  <c:v>10.5</c:v>
                </c:pt>
                <c:pt idx="8">
                  <c:v>12</c:v>
                </c:pt>
                <c:pt idx="9">
                  <c:v>13.5</c:v>
                </c:pt>
                <c:pt idx="10">
                  <c:v>15</c:v>
                </c:pt>
                <c:pt idx="11">
                  <c:v>16.5</c:v>
                </c:pt>
                <c:pt idx="12">
                  <c:v>18</c:v>
                </c:pt>
                <c:pt idx="13">
                  <c:v>19.5</c:v>
                </c:pt>
                <c:pt idx="14">
                  <c:v>21</c:v>
                </c:pt>
                <c:pt idx="15">
                  <c:v>22.5</c:v>
                </c:pt>
                <c:pt idx="16">
                  <c:v>24</c:v>
                </c:pt>
                <c:pt idx="17">
                  <c:v>25.500000000000004</c:v>
                </c:pt>
                <c:pt idx="18">
                  <c:v>27</c:v>
                </c:pt>
                <c:pt idx="19">
                  <c:v>28.499999999999996</c:v>
                </c:pt>
                <c:pt idx="20">
                  <c:v>30</c:v>
                </c:pt>
                <c:pt idx="21">
                  <c:v>31.5</c:v>
                </c:pt>
                <c:pt idx="22">
                  <c:v>33</c:v>
                </c:pt>
                <c:pt idx="23">
                  <c:v>34.5</c:v>
                </c:pt>
                <c:pt idx="24">
                  <c:v>36</c:v>
                </c:pt>
                <c:pt idx="25">
                  <c:v>37.5</c:v>
                </c:pt>
                <c:pt idx="26">
                  <c:v>39</c:v>
                </c:pt>
                <c:pt idx="27">
                  <c:v>40.5</c:v>
                </c:pt>
                <c:pt idx="28">
                  <c:v>42</c:v>
                </c:pt>
                <c:pt idx="29">
                  <c:v>43.5</c:v>
                </c:pt>
                <c:pt idx="30">
                  <c:v>45</c:v>
                </c:pt>
                <c:pt idx="31">
                  <c:v>46.5</c:v>
                </c:pt>
                <c:pt idx="32">
                  <c:v>48</c:v>
                </c:pt>
                <c:pt idx="33">
                  <c:v>49.5</c:v>
                </c:pt>
                <c:pt idx="34">
                  <c:v>51.000000000000007</c:v>
                </c:pt>
                <c:pt idx="35">
                  <c:v>52.5</c:v>
                </c:pt>
                <c:pt idx="36">
                  <c:v>54</c:v>
                </c:pt>
                <c:pt idx="37">
                  <c:v>55.5</c:v>
                </c:pt>
                <c:pt idx="38">
                  <c:v>56.999999999999993</c:v>
                </c:pt>
                <c:pt idx="39">
                  <c:v>58.5</c:v>
                </c:pt>
                <c:pt idx="40">
                  <c:v>60</c:v>
                </c:pt>
                <c:pt idx="41">
                  <c:v>61.499999999999993</c:v>
                </c:pt>
                <c:pt idx="42">
                  <c:v>63</c:v>
                </c:pt>
                <c:pt idx="43">
                  <c:v>64.5</c:v>
                </c:pt>
                <c:pt idx="44">
                  <c:v>66</c:v>
                </c:pt>
                <c:pt idx="45">
                  <c:v>67.5</c:v>
                </c:pt>
                <c:pt idx="46">
                  <c:v>69</c:v>
                </c:pt>
                <c:pt idx="47">
                  <c:v>70.5</c:v>
                </c:pt>
                <c:pt idx="48">
                  <c:v>72</c:v>
                </c:pt>
                <c:pt idx="49">
                  <c:v>73.5</c:v>
                </c:pt>
                <c:pt idx="50">
                  <c:v>75</c:v>
                </c:pt>
                <c:pt idx="51">
                  <c:v>76.5</c:v>
                </c:pt>
                <c:pt idx="52">
                  <c:v>78</c:v>
                </c:pt>
                <c:pt idx="53">
                  <c:v>79.5</c:v>
                </c:pt>
                <c:pt idx="54">
                  <c:v>81</c:v>
                </c:pt>
                <c:pt idx="55">
                  <c:v>82.5</c:v>
                </c:pt>
                <c:pt idx="56">
                  <c:v>84</c:v>
                </c:pt>
                <c:pt idx="57">
                  <c:v>85.499999999999986</c:v>
                </c:pt>
                <c:pt idx="58">
                  <c:v>87</c:v>
                </c:pt>
                <c:pt idx="59">
                  <c:v>88.5</c:v>
                </c:pt>
                <c:pt idx="60">
                  <c:v>90</c:v>
                </c:pt>
                <c:pt idx="61">
                  <c:v>91.5</c:v>
                </c:pt>
                <c:pt idx="62">
                  <c:v>93</c:v>
                </c:pt>
                <c:pt idx="63">
                  <c:v>94.5</c:v>
                </c:pt>
                <c:pt idx="64">
                  <c:v>96</c:v>
                </c:pt>
                <c:pt idx="65">
                  <c:v>97.5</c:v>
                </c:pt>
                <c:pt idx="66">
                  <c:v>99</c:v>
                </c:pt>
                <c:pt idx="67">
                  <c:v>100.5</c:v>
                </c:pt>
                <c:pt idx="68">
                  <c:v>102.00000000000001</c:v>
                </c:pt>
                <c:pt idx="69">
                  <c:v>103.5</c:v>
                </c:pt>
                <c:pt idx="70">
                  <c:v>105</c:v>
                </c:pt>
                <c:pt idx="71">
                  <c:v>106.5</c:v>
                </c:pt>
                <c:pt idx="72">
                  <c:v>108</c:v>
                </c:pt>
                <c:pt idx="73">
                  <c:v>109.5</c:v>
                </c:pt>
                <c:pt idx="74">
                  <c:v>111</c:v>
                </c:pt>
                <c:pt idx="75">
                  <c:v>112.49999999999999</c:v>
                </c:pt>
                <c:pt idx="76">
                  <c:v>113.99999999999999</c:v>
                </c:pt>
                <c:pt idx="77">
                  <c:v>115.49999999999999</c:v>
                </c:pt>
                <c:pt idx="78">
                  <c:v>117</c:v>
                </c:pt>
                <c:pt idx="79">
                  <c:v>118.5</c:v>
                </c:pt>
                <c:pt idx="80">
                  <c:v>120</c:v>
                </c:pt>
                <c:pt idx="81">
                  <c:v>121.5</c:v>
                </c:pt>
                <c:pt idx="82">
                  <c:v>122.99999999999999</c:v>
                </c:pt>
                <c:pt idx="83">
                  <c:v>124.49999999999999</c:v>
                </c:pt>
                <c:pt idx="84">
                  <c:v>126</c:v>
                </c:pt>
                <c:pt idx="85">
                  <c:v>127.5</c:v>
                </c:pt>
                <c:pt idx="86">
                  <c:v>129</c:v>
                </c:pt>
                <c:pt idx="87">
                  <c:v>130.5</c:v>
                </c:pt>
                <c:pt idx="88">
                  <c:v>132</c:v>
                </c:pt>
                <c:pt idx="89">
                  <c:v>133.5</c:v>
                </c:pt>
                <c:pt idx="90">
                  <c:v>135</c:v>
                </c:pt>
                <c:pt idx="91">
                  <c:v>136.5</c:v>
                </c:pt>
                <c:pt idx="92">
                  <c:v>138</c:v>
                </c:pt>
                <c:pt idx="93">
                  <c:v>139.5</c:v>
                </c:pt>
                <c:pt idx="94">
                  <c:v>141</c:v>
                </c:pt>
                <c:pt idx="95">
                  <c:v>142.5</c:v>
                </c:pt>
                <c:pt idx="96">
                  <c:v>144</c:v>
                </c:pt>
                <c:pt idx="97">
                  <c:v>145.5</c:v>
                </c:pt>
                <c:pt idx="98">
                  <c:v>147</c:v>
                </c:pt>
                <c:pt idx="99">
                  <c:v>148.5</c:v>
                </c:pt>
                <c:pt idx="100">
                  <c:v>150</c:v>
                </c:pt>
              </c:numCache>
            </c:numRef>
          </c:xVal>
          <c:yVal>
            <c:numRef>
              <c:f>'COT Efficiency'!$BW$6:$BW$106</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1"/>
          <c:extLst>
            <c:ext xmlns:c16="http://schemas.microsoft.com/office/drawing/2014/chart" uri="{C3380CC4-5D6E-409C-BE32-E72D297353CC}">
              <c16:uniqueId val="{00000000-F272-4CC5-A717-193E2A0BAE62}"/>
            </c:ext>
          </c:extLst>
        </c:ser>
        <c:dLbls>
          <c:showLegendKey val="0"/>
          <c:showVal val="0"/>
          <c:showCatName val="0"/>
          <c:showSerName val="0"/>
          <c:showPercent val="0"/>
          <c:showBubbleSize val="0"/>
        </c:dLbls>
        <c:axId val="149703296"/>
        <c:axId val="149717760"/>
      </c:scatterChart>
      <c:scatterChart>
        <c:scatterStyle val="smoothMarker"/>
        <c:varyColors val="0"/>
        <c:ser>
          <c:idx val="2"/>
          <c:order val="1"/>
          <c:tx>
            <c:v> IC Total Power Loss</c:v>
          </c:tx>
          <c:spPr>
            <a:ln w="38100">
              <a:solidFill>
                <a:srgbClr val="808000"/>
              </a:solidFill>
              <a:prstDash val="sysDash"/>
            </a:ln>
          </c:spPr>
          <c:marker>
            <c:symbol val="none"/>
          </c:marker>
          <c:xVal>
            <c:numRef>
              <c:f>'COT Efficiency'!$BK$6:$BK$106</c:f>
              <c:numCache>
                <c:formatCode>0.000</c:formatCode>
                <c:ptCount val="101"/>
                <c:pt idx="0">
                  <c:v>0.15</c:v>
                </c:pt>
                <c:pt idx="1">
                  <c:v>1.5</c:v>
                </c:pt>
                <c:pt idx="2">
                  <c:v>3</c:v>
                </c:pt>
                <c:pt idx="3">
                  <c:v>4.5</c:v>
                </c:pt>
                <c:pt idx="4">
                  <c:v>6</c:v>
                </c:pt>
                <c:pt idx="5">
                  <c:v>7.5</c:v>
                </c:pt>
                <c:pt idx="6">
                  <c:v>9</c:v>
                </c:pt>
                <c:pt idx="7">
                  <c:v>10.5</c:v>
                </c:pt>
                <c:pt idx="8">
                  <c:v>12</c:v>
                </c:pt>
                <c:pt idx="9">
                  <c:v>13.5</c:v>
                </c:pt>
                <c:pt idx="10">
                  <c:v>15</c:v>
                </c:pt>
                <c:pt idx="11">
                  <c:v>16.5</c:v>
                </c:pt>
                <c:pt idx="12">
                  <c:v>18</c:v>
                </c:pt>
                <c:pt idx="13">
                  <c:v>19.5</c:v>
                </c:pt>
                <c:pt idx="14">
                  <c:v>21</c:v>
                </c:pt>
                <c:pt idx="15">
                  <c:v>22.5</c:v>
                </c:pt>
                <c:pt idx="16">
                  <c:v>24</c:v>
                </c:pt>
                <c:pt idx="17">
                  <c:v>25.500000000000004</c:v>
                </c:pt>
                <c:pt idx="18">
                  <c:v>27</c:v>
                </c:pt>
                <c:pt idx="19">
                  <c:v>28.499999999999996</c:v>
                </c:pt>
                <c:pt idx="20">
                  <c:v>30</c:v>
                </c:pt>
                <c:pt idx="21">
                  <c:v>31.5</c:v>
                </c:pt>
                <c:pt idx="22">
                  <c:v>33</c:v>
                </c:pt>
                <c:pt idx="23">
                  <c:v>34.5</c:v>
                </c:pt>
                <c:pt idx="24">
                  <c:v>36</c:v>
                </c:pt>
                <c:pt idx="25">
                  <c:v>37.5</c:v>
                </c:pt>
                <c:pt idx="26">
                  <c:v>39</c:v>
                </c:pt>
                <c:pt idx="27">
                  <c:v>40.5</c:v>
                </c:pt>
                <c:pt idx="28">
                  <c:v>42</c:v>
                </c:pt>
                <c:pt idx="29">
                  <c:v>43.5</c:v>
                </c:pt>
                <c:pt idx="30">
                  <c:v>45</c:v>
                </c:pt>
                <c:pt idx="31">
                  <c:v>46.5</c:v>
                </c:pt>
                <c:pt idx="32">
                  <c:v>48</c:v>
                </c:pt>
                <c:pt idx="33">
                  <c:v>49.5</c:v>
                </c:pt>
                <c:pt idx="34">
                  <c:v>51.000000000000007</c:v>
                </c:pt>
                <c:pt idx="35">
                  <c:v>52.5</c:v>
                </c:pt>
                <c:pt idx="36">
                  <c:v>54</c:v>
                </c:pt>
                <c:pt idx="37">
                  <c:v>55.5</c:v>
                </c:pt>
                <c:pt idx="38">
                  <c:v>56.999999999999993</c:v>
                </c:pt>
                <c:pt idx="39">
                  <c:v>58.5</c:v>
                </c:pt>
                <c:pt idx="40">
                  <c:v>60</c:v>
                </c:pt>
                <c:pt idx="41">
                  <c:v>61.499999999999993</c:v>
                </c:pt>
                <c:pt idx="42">
                  <c:v>63</c:v>
                </c:pt>
                <c:pt idx="43">
                  <c:v>64.5</c:v>
                </c:pt>
                <c:pt idx="44">
                  <c:v>66</c:v>
                </c:pt>
                <c:pt idx="45">
                  <c:v>67.5</c:v>
                </c:pt>
                <c:pt idx="46">
                  <c:v>69</c:v>
                </c:pt>
                <c:pt idx="47">
                  <c:v>70.5</c:v>
                </c:pt>
                <c:pt idx="48">
                  <c:v>72</c:v>
                </c:pt>
                <c:pt idx="49">
                  <c:v>73.5</c:v>
                </c:pt>
                <c:pt idx="50">
                  <c:v>75</c:v>
                </c:pt>
                <c:pt idx="51">
                  <c:v>76.5</c:v>
                </c:pt>
                <c:pt idx="52">
                  <c:v>78</c:v>
                </c:pt>
                <c:pt idx="53">
                  <c:v>79.5</c:v>
                </c:pt>
                <c:pt idx="54">
                  <c:v>81</c:v>
                </c:pt>
                <c:pt idx="55">
                  <c:v>82.5</c:v>
                </c:pt>
                <c:pt idx="56">
                  <c:v>84</c:v>
                </c:pt>
                <c:pt idx="57">
                  <c:v>85.499999999999986</c:v>
                </c:pt>
                <c:pt idx="58">
                  <c:v>87</c:v>
                </c:pt>
                <c:pt idx="59">
                  <c:v>88.5</c:v>
                </c:pt>
                <c:pt idx="60">
                  <c:v>90</c:v>
                </c:pt>
                <c:pt idx="61">
                  <c:v>91.5</c:v>
                </c:pt>
                <c:pt idx="62">
                  <c:v>93</c:v>
                </c:pt>
                <c:pt idx="63">
                  <c:v>94.5</c:v>
                </c:pt>
                <c:pt idx="64">
                  <c:v>96</c:v>
                </c:pt>
                <c:pt idx="65">
                  <c:v>97.5</c:v>
                </c:pt>
                <c:pt idx="66">
                  <c:v>99</c:v>
                </c:pt>
                <c:pt idx="67">
                  <c:v>100.5</c:v>
                </c:pt>
                <c:pt idx="68">
                  <c:v>102.00000000000001</c:v>
                </c:pt>
                <c:pt idx="69">
                  <c:v>103.5</c:v>
                </c:pt>
                <c:pt idx="70">
                  <c:v>105</c:v>
                </c:pt>
                <c:pt idx="71">
                  <c:v>106.5</c:v>
                </c:pt>
                <c:pt idx="72">
                  <c:v>108</c:v>
                </c:pt>
                <c:pt idx="73">
                  <c:v>109.5</c:v>
                </c:pt>
                <c:pt idx="74">
                  <c:v>111</c:v>
                </c:pt>
                <c:pt idx="75">
                  <c:v>112.49999999999999</c:v>
                </c:pt>
                <c:pt idx="76">
                  <c:v>113.99999999999999</c:v>
                </c:pt>
                <c:pt idx="77">
                  <c:v>115.49999999999999</c:v>
                </c:pt>
                <c:pt idx="78">
                  <c:v>117</c:v>
                </c:pt>
                <c:pt idx="79">
                  <c:v>118.5</c:v>
                </c:pt>
                <c:pt idx="80">
                  <c:v>120</c:v>
                </c:pt>
                <c:pt idx="81">
                  <c:v>121.5</c:v>
                </c:pt>
                <c:pt idx="82">
                  <c:v>122.99999999999999</c:v>
                </c:pt>
                <c:pt idx="83">
                  <c:v>124.49999999999999</c:v>
                </c:pt>
                <c:pt idx="84">
                  <c:v>126</c:v>
                </c:pt>
                <c:pt idx="85">
                  <c:v>127.5</c:v>
                </c:pt>
                <c:pt idx="86">
                  <c:v>129</c:v>
                </c:pt>
                <c:pt idx="87">
                  <c:v>130.5</c:v>
                </c:pt>
                <c:pt idx="88">
                  <c:v>132</c:v>
                </c:pt>
                <c:pt idx="89">
                  <c:v>133.5</c:v>
                </c:pt>
                <c:pt idx="90">
                  <c:v>135</c:v>
                </c:pt>
                <c:pt idx="91">
                  <c:v>136.5</c:v>
                </c:pt>
                <c:pt idx="92">
                  <c:v>138</c:v>
                </c:pt>
                <c:pt idx="93">
                  <c:v>139.5</c:v>
                </c:pt>
                <c:pt idx="94">
                  <c:v>141</c:v>
                </c:pt>
                <c:pt idx="95">
                  <c:v>142.5</c:v>
                </c:pt>
                <c:pt idx="96">
                  <c:v>144</c:v>
                </c:pt>
                <c:pt idx="97">
                  <c:v>145.5</c:v>
                </c:pt>
                <c:pt idx="98">
                  <c:v>147</c:v>
                </c:pt>
                <c:pt idx="99">
                  <c:v>148.5</c:v>
                </c:pt>
                <c:pt idx="100">
                  <c:v>150</c:v>
                </c:pt>
              </c:numCache>
            </c:numRef>
          </c:xVal>
          <c:yVal>
            <c:numRef>
              <c:f>'COT Efficiency'!$BX$6:$BX$106</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1"/>
          <c:extLst>
            <c:ext xmlns:c16="http://schemas.microsoft.com/office/drawing/2014/chart" uri="{C3380CC4-5D6E-409C-BE32-E72D297353CC}">
              <c16:uniqueId val="{00000001-F272-4CC5-A717-193E2A0BAE62}"/>
            </c:ext>
          </c:extLst>
        </c:ser>
        <c:ser>
          <c:idx val="1"/>
          <c:order val="2"/>
          <c:tx>
            <c:v> LDO + Quiescent Loss</c:v>
          </c:tx>
          <c:spPr>
            <a:ln w="38100">
              <a:solidFill>
                <a:srgbClr val="002060"/>
              </a:solidFill>
              <a:prstDash val="sysDot"/>
            </a:ln>
          </c:spPr>
          <c:marker>
            <c:symbol val="none"/>
          </c:marker>
          <c:xVal>
            <c:numRef>
              <c:f>'COT Efficiency'!$BK$6:$BK$106</c:f>
              <c:numCache>
                <c:formatCode>0.000</c:formatCode>
                <c:ptCount val="101"/>
                <c:pt idx="0">
                  <c:v>0.15</c:v>
                </c:pt>
                <c:pt idx="1">
                  <c:v>1.5</c:v>
                </c:pt>
                <c:pt idx="2">
                  <c:v>3</c:v>
                </c:pt>
                <c:pt idx="3">
                  <c:v>4.5</c:v>
                </c:pt>
                <c:pt idx="4">
                  <c:v>6</c:v>
                </c:pt>
                <c:pt idx="5">
                  <c:v>7.5</c:v>
                </c:pt>
                <c:pt idx="6">
                  <c:v>9</c:v>
                </c:pt>
                <c:pt idx="7">
                  <c:v>10.5</c:v>
                </c:pt>
                <c:pt idx="8">
                  <c:v>12</c:v>
                </c:pt>
                <c:pt idx="9">
                  <c:v>13.5</c:v>
                </c:pt>
                <c:pt idx="10">
                  <c:v>15</c:v>
                </c:pt>
                <c:pt idx="11">
                  <c:v>16.5</c:v>
                </c:pt>
                <c:pt idx="12">
                  <c:v>18</c:v>
                </c:pt>
                <c:pt idx="13">
                  <c:v>19.5</c:v>
                </c:pt>
                <c:pt idx="14">
                  <c:v>21</c:v>
                </c:pt>
                <c:pt idx="15">
                  <c:v>22.5</c:v>
                </c:pt>
                <c:pt idx="16">
                  <c:v>24</c:v>
                </c:pt>
                <c:pt idx="17">
                  <c:v>25.500000000000004</c:v>
                </c:pt>
                <c:pt idx="18">
                  <c:v>27</c:v>
                </c:pt>
                <c:pt idx="19">
                  <c:v>28.499999999999996</c:v>
                </c:pt>
                <c:pt idx="20">
                  <c:v>30</c:v>
                </c:pt>
                <c:pt idx="21">
                  <c:v>31.5</c:v>
                </c:pt>
                <c:pt idx="22">
                  <c:v>33</c:v>
                </c:pt>
                <c:pt idx="23">
                  <c:v>34.5</c:v>
                </c:pt>
                <c:pt idx="24">
                  <c:v>36</c:v>
                </c:pt>
                <c:pt idx="25">
                  <c:v>37.5</c:v>
                </c:pt>
                <c:pt idx="26">
                  <c:v>39</c:v>
                </c:pt>
                <c:pt idx="27">
                  <c:v>40.5</c:v>
                </c:pt>
                <c:pt idx="28">
                  <c:v>42</c:v>
                </c:pt>
                <c:pt idx="29">
                  <c:v>43.5</c:v>
                </c:pt>
                <c:pt idx="30">
                  <c:v>45</c:v>
                </c:pt>
                <c:pt idx="31">
                  <c:v>46.5</c:v>
                </c:pt>
                <c:pt idx="32">
                  <c:v>48</c:v>
                </c:pt>
                <c:pt idx="33">
                  <c:v>49.5</c:v>
                </c:pt>
                <c:pt idx="34">
                  <c:v>51.000000000000007</c:v>
                </c:pt>
                <c:pt idx="35">
                  <c:v>52.5</c:v>
                </c:pt>
                <c:pt idx="36">
                  <c:v>54</c:v>
                </c:pt>
                <c:pt idx="37">
                  <c:v>55.5</c:v>
                </c:pt>
                <c:pt idx="38">
                  <c:v>56.999999999999993</c:v>
                </c:pt>
                <c:pt idx="39">
                  <c:v>58.5</c:v>
                </c:pt>
                <c:pt idx="40">
                  <c:v>60</c:v>
                </c:pt>
                <c:pt idx="41">
                  <c:v>61.499999999999993</c:v>
                </c:pt>
                <c:pt idx="42">
                  <c:v>63</c:v>
                </c:pt>
                <c:pt idx="43">
                  <c:v>64.5</c:v>
                </c:pt>
                <c:pt idx="44">
                  <c:v>66</c:v>
                </c:pt>
                <c:pt idx="45">
                  <c:v>67.5</c:v>
                </c:pt>
                <c:pt idx="46">
                  <c:v>69</c:v>
                </c:pt>
                <c:pt idx="47">
                  <c:v>70.5</c:v>
                </c:pt>
                <c:pt idx="48">
                  <c:v>72</c:v>
                </c:pt>
                <c:pt idx="49">
                  <c:v>73.5</c:v>
                </c:pt>
                <c:pt idx="50">
                  <c:v>75</c:v>
                </c:pt>
                <c:pt idx="51">
                  <c:v>76.5</c:v>
                </c:pt>
                <c:pt idx="52">
                  <c:v>78</c:v>
                </c:pt>
                <c:pt idx="53">
                  <c:v>79.5</c:v>
                </c:pt>
                <c:pt idx="54">
                  <c:v>81</c:v>
                </c:pt>
                <c:pt idx="55">
                  <c:v>82.5</c:v>
                </c:pt>
                <c:pt idx="56">
                  <c:v>84</c:v>
                </c:pt>
                <c:pt idx="57">
                  <c:v>85.499999999999986</c:v>
                </c:pt>
                <c:pt idx="58">
                  <c:v>87</c:v>
                </c:pt>
                <c:pt idx="59">
                  <c:v>88.5</c:v>
                </c:pt>
                <c:pt idx="60">
                  <c:v>90</c:v>
                </c:pt>
                <c:pt idx="61">
                  <c:v>91.5</c:v>
                </c:pt>
                <c:pt idx="62">
                  <c:v>93</c:v>
                </c:pt>
                <c:pt idx="63">
                  <c:v>94.5</c:v>
                </c:pt>
                <c:pt idx="64">
                  <c:v>96</c:v>
                </c:pt>
                <c:pt idx="65">
                  <c:v>97.5</c:v>
                </c:pt>
                <c:pt idx="66">
                  <c:v>99</c:v>
                </c:pt>
                <c:pt idx="67">
                  <c:v>100.5</c:v>
                </c:pt>
                <c:pt idx="68">
                  <c:v>102.00000000000001</c:v>
                </c:pt>
                <c:pt idx="69">
                  <c:v>103.5</c:v>
                </c:pt>
                <c:pt idx="70">
                  <c:v>105</c:v>
                </c:pt>
                <c:pt idx="71">
                  <c:v>106.5</c:v>
                </c:pt>
                <c:pt idx="72">
                  <c:v>108</c:v>
                </c:pt>
                <c:pt idx="73">
                  <c:v>109.5</c:v>
                </c:pt>
                <c:pt idx="74">
                  <c:v>111</c:v>
                </c:pt>
                <c:pt idx="75">
                  <c:v>112.49999999999999</c:v>
                </c:pt>
                <c:pt idx="76">
                  <c:v>113.99999999999999</c:v>
                </c:pt>
                <c:pt idx="77">
                  <c:v>115.49999999999999</c:v>
                </c:pt>
                <c:pt idx="78">
                  <c:v>117</c:v>
                </c:pt>
                <c:pt idx="79">
                  <c:v>118.5</c:v>
                </c:pt>
                <c:pt idx="80">
                  <c:v>120</c:v>
                </c:pt>
                <c:pt idx="81">
                  <c:v>121.5</c:v>
                </c:pt>
                <c:pt idx="82">
                  <c:v>122.99999999999999</c:v>
                </c:pt>
                <c:pt idx="83">
                  <c:v>124.49999999999999</c:v>
                </c:pt>
                <c:pt idx="84">
                  <c:v>126</c:v>
                </c:pt>
                <c:pt idx="85">
                  <c:v>127.5</c:v>
                </c:pt>
                <c:pt idx="86">
                  <c:v>129</c:v>
                </c:pt>
                <c:pt idx="87">
                  <c:v>130.5</c:v>
                </c:pt>
                <c:pt idx="88">
                  <c:v>132</c:v>
                </c:pt>
                <c:pt idx="89">
                  <c:v>133.5</c:v>
                </c:pt>
                <c:pt idx="90">
                  <c:v>135</c:v>
                </c:pt>
                <c:pt idx="91">
                  <c:v>136.5</c:v>
                </c:pt>
                <c:pt idx="92">
                  <c:v>138</c:v>
                </c:pt>
                <c:pt idx="93">
                  <c:v>139.5</c:v>
                </c:pt>
                <c:pt idx="94">
                  <c:v>141</c:v>
                </c:pt>
                <c:pt idx="95">
                  <c:v>142.5</c:v>
                </c:pt>
                <c:pt idx="96">
                  <c:v>144</c:v>
                </c:pt>
                <c:pt idx="97">
                  <c:v>145.5</c:v>
                </c:pt>
                <c:pt idx="98">
                  <c:v>147</c:v>
                </c:pt>
                <c:pt idx="99">
                  <c:v>148.5</c:v>
                </c:pt>
                <c:pt idx="100">
                  <c:v>150</c:v>
                </c:pt>
              </c:numCache>
            </c:numRef>
          </c:xVal>
          <c:yVal>
            <c:numRef>
              <c:f>'COT Efficiency'!$BY$6:$BY$106</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1"/>
          <c:extLst>
            <c:ext xmlns:c16="http://schemas.microsoft.com/office/drawing/2014/chart" uri="{C3380CC4-5D6E-409C-BE32-E72D297353CC}">
              <c16:uniqueId val="{00000002-F272-4CC5-A717-193E2A0BAE62}"/>
            </c:ext>
          </c:extLst>
        </c:ser>
        <c:ser>
          <c:idx val="3"/>
          <c:order val="3"/>
          <c:tx>
            <c:v> Inductor Loss</c:v>
          </c:tx>
          <c:spPr>
            <a:ln w="38100">
              <a:solidFill>
                <a:srgbClr val="800080"/>
              </a:solidFill>
              <a:prstDash val="dash"/>
            </a:ln>
          </c:spPr>
          <c:marker>
            <c:symbol val="none"/>
          </c:marker>
          <c:xVal>
            <c:numRef>
              <c:f>'COT Efficiency'!$BK$6:$BK$106</c:f>
              <c:numCache>
                <c:formatCode>0.000</c:formatCode>
                <c:ptCount val="101"/>
                <c:pt idx="0">
                  <c:v>0.15</c:v>
                </c:pt>
                <c:pt idx="1">
                  <c:v>1.5</c:v>
                </c:pt>
                <c:pt idx="2">
                  <c:v>3</c:v>
                </c:pt>
                <c:pt idx="3">
                  <c:v>4.5</c:v>
                </c:pt>
                <c:pt idx="4">
                  <c:v>6</c:v>
                </c:pt>
                <c:pt idx="5">
                  <c:v>7.5</c:v>
                </c:pt>
                <c:pt idx="6">
                  <c:v>9</c:v>
                </c:pt>
                <c:pt idx="7">
                  <c:v>10.5</c:v>
                </c:pt>
                <c:pt idx="8">
                  <c:v>12</c:v>
                </c:pt>
                <c:pt idx="9">
                  <c:v>13.5</c:v>
                </c:pt>
                <c:pt idx="10">
                  <c:v>15</c:v>
                </c:pt>
                <c:pt idx="11">
                  <c:v>16.5</c:v>
                </c:pt>
                <c:pt idx="12">
                  <c:v>18</c:v>
                </c:pt>
                <c:pt idx="13">
                  <c:v>19.5</c:v>
                </c:pt>
                <c:pt idx="14">
                  <c:v>21</c:v>
                </c:pt>
                <c:pt idx="15">
                  <c:v>22.5</c:v>
                </c:pt>
                <c:pt idx="16">
                  <c:v>24</c:v>
                </c:pt>
                <c:pt idx="17">
                  <c:v>25.500000000000004</c:v>
                </c:pt>
                <c:pt idx="18">
                  <c:v>27</c:v>
                </c:pt>
                <c:pt idx="19">
                  <c:v>28.499999999999996</c:v>
                </c:pt>
                <c:pt idx="20">
                  <c:v>30</c:v>
                </c:pt>
                <c:pt idx="21">
                  <c:v>31.5</c:v>
                </c:pt>
                <c:pt idx="22">
                  <c:v>33</c:v>
                </c:pt>
                <c:pt idx="23">
                  <c:v>34.5</c:v>
                </c:pt>
                <c:pt idx="24">
                  <c:v>36</c:v>
                </c:pt>
                <c:pt idx="25">
                  <c:v>37.5</c:v>
                </c:pt>
                <c:pt idx="26">
                  <c:v>39</c:v>
                </c:pt>
                <c:pt idx="27">
                  <c:v>40.5</c:v>
                </c:pt>
                <c:pt idx="28">
                  <c:v>42</c:v>
                </c:pt>
                <c:pt idx="29">
                  <c:v>43.5</c:v>
                </c:pt>
                <c:pt idx="30">
                  <c:v>45</c:v>
                </c:pt>
                <c:pt idx="31">
                  <c:v>46.5</c:v>
                </c:pt>
                <c:pt idx="32">
                  <c:v>48</c:v>
                </c:pt>
                <c:pt idx="33">
                  <c:v>49.5</c:v>
                </c:pt>
                <c:pt idx="34">
                  <c:v>51.000000000000007</c:v>
                </c:pt>
                <c:pt idx="35">
                  <c:v>52.5</c:v>
                </c:pt>
                <c:pt idx="36">
                  <c:v>54</c:v>
                </c:pt>
                <c:pt idx="37">
                  <c:v>55.5</c:v>
                </c:pt>
                <c:pt idx="38">
                  <c:v>56.999999999999993</c:v>
                </c:pt>
                <c:pt idx="39">
                  <c:v>58.5</c:v>
                </c:pt>
                <c:pt idx="40">
                  <c:v>60</c:v>
                </c:pt>
                <c:pt idx="41">
                  <c:v>61.499999999999993</c:v>
                </c:pt>
                <c:pt idx="42">
                  <c:v>63</c:v>
                </c:pt>
                <c:pt idx="43">
                  <c:v>64.5</c:v>
                </c:pt>
                <c:pt idx="44">
                  <c:v>66</c:v>
                </c:pt>
                <c:pt idx="45">
                  <c:v>67.5</c:v>
                </c:pt>
                <c:pt idx="46">
                  <c:v>69</c:v>
                </c:pt>
                <c:pt idx="47">
                  <c:v>70.5</c:v>
                </c:pt>
                <c:pt idx="48">
                  <c:v>72</c:v>
                </c:pt>
                <c:pt idx="49">
                  <c:v>73.5</c:v>
                </c:pt>
                <c:pt idx="50">
                  <c:v>75</c:v>
                </c:pt>
                <c:pt idx="51">
                  <c:v>76.5</c:v>
                </c:pt>
                <c:pt idx="52">
                  <c:v>78</c:v>
                </c:pt>
                <c:pt idx="53">
                  <c:v>79.5</c:v>
                </c:pt>
                <c:pt idx="54">
                  <c:v>81</c:v>
                </c:pt>
                <c:pt idx="55">
                  <c:v>82.5</c:v>
                </c:pt>
                <c:pt idx="56">
                  <c:v>84</c:v>
                </c:pt>
                <c:pt idx="57">
                  <c:v>85.499999999999986</c:v>
                </c:pt>
                <c:pt idx="58">
                  <c:v>87</c:v>
                </c:pt>
                <c:pt idx="59">
                  <c:v>88.5</c:v>
                </c:pt>
                <c:pt idx="60">
                  <c:v>90</c:v>
                </c:pt>
                <c:pt idx="61">
                  <c:v>91.5</c:v>
                </c:pt>
                <c:pt idx="62">
                  <c:v>93</c:v>
                </c:pt>
                <c:pt idx="63">
                  <c:v>94.5</c:v>
                </c:pt>
                <c:pt idx="64">
                  <c:v>96</c:v>
                </c:pt>
                <c:pt idx="65">
                  <c:v>97.5</c:v>
                </c:pt>
                <c:pt idx="66">
                  <c:v>99</c:v>
                </c:pt>
                <c:pt idx="67">
                  <c:v>100.5</c:v>
                </c:pt>
                <c:pt idx="68">
                  <c:v>102.00000000000001</c:v>
                </c:pt>
                <c:pt idx="69">
                  <c:v>103.5</c:v>
                </c:pt>
                <c:pt idx="70">
                  <c:v>105</c:v>
                </c:pt>
                <c:pt idx="71">
                  <c:v>106.5</c:v>
                </c:pt>
                <c:pt idx="72">
                  <c:v>108</c:v>
                </c:pt>
                <c:pt idx="73">
                  <c:v>109.5</c:v>
                </c:pt>
                <c:pt idx="74">
                  <c:v>111</c:v>
                </c:pt>
                <c:pt idx="75">
                  <c:v>112.49999999999999</c:v>
                </c:pt>
                <c:pt idx="76">
                  <c:v>113.99999999999999</c:v>
                </c:pt>
                <c:pt idx="77">
                  <c:v>115.49999999999999</c:v>
                </c:pt>
                <c:pt idx="78">
                  <c:v>117</c:v>
                </c:pt>
                <c:pt idx="79">
                  <c:v>118.5</c:v>
                </c:pt>
                <c:pt idx="80">
                  <c:v>120</c:v>
                </c:pt>
                <c:pt idx="81">
                  <c:v>121.5</c:v>
                </c:pt>
                <c:pt idx="82">
                  <c:v>122.99999999999999</c:v>
                </c:pt>
                <c:pt idx="83">
                  <c:v>124.49999999999999</c:v>
                </c:pt>
                <c:pt idx="84">
                  <c:v>126</c:v>
                </c:pt>
                <c:pt idx="85">
                  <c:v>127.5</c:v>
                </c:pt>
                <c:pt idx="86">
                  <c:v>129</c:v>
                </c:pt>
                <c:pt idx="87">
                  <c:v>130.5</c:v>
                </c:pt>
                <c:pt idx="88">
                  <c:v>132</c:v>
                </c:pt>
                <c:pt idx="89">
                  <c:v>133.5</c:v>
                </c:pt>
                <c:pt idx="90">
                  <c:v>135</c:v>
                </c:pt>
                <c:pt idx="91">
                  <c:v>136.5</c:v>
                </c:pt>
                <c:pt idx="92">
                  <c:v>138</c:v>
                </c:pt>
                <c:pt idx="93">
                  <c:v>139.5</c:v>
                </c:pt>
                <c:pt idx="94">
                  <c:v>141</c:v>
                </c:pt>
                <c:pt idx="95">
                  <c:v>142.5</c:v>
                </c:pt>
                <c:pt idx="96">
                  <c:v>144</c:v>
                </c:pt>
                <c:pt idx="97">
                  <c:v>145.5</c:v>
                </c:pt>
                <c:pt idx="98">
                  <c:v>147</c:v>
                </c:pt>
                <c:pt idx="99">
                  <c:v>148.5</c:v>
                </c:pt>
                <c:pt idx="100">
                  <c:v>150</c:v>
                </c:pt>
              </c:numCache>
            </c:numRef>
          </c:xVal>
          <c:yVal>
            <c:numRef>
              <c:f>'COT Efficiency'!$BZ$6:$BZ$106</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1"/>
          <c:extLst>
            <c:ext xmlns:c16="http://schemas.microsoft.com/office/drawing/2014/chart" uri="{C3380CC4-5D6E-409C-BE32-E72D297353CC}">
              <c16:uniqueId val="{00000003-F272-4CC5-A717-193E2A0BAE62}"/>
            </c:ext>
          </c:extLst>
        </c:ser>
        <c:dLbls>
          <c:showLegendKey val="0"/>
          <c:showVal val="0"/>
          <c:showCatName val="0"/>
          <c:showSerName val="0"/>
          <c:showPercent val="0"/>
          <c:showBubbleSize val="0"/>
        </c:dLbls>
        <c:axId val="149721856"/>
        <c:axId val="149719680"/>
      </c:scatterChart>
      <c:valAx>
        <c:axId val="149703296"/>
        <c:scaling>
          <c:logBase val="10"/>
          <c:orientation val="minMax"/>
          <c:min val="1.0000000000000002E-2"/>
        </c:scaling>
        <c:delete val="0"/>
        <c:axPos val="b"/>
        <c:majorGridlines>
          <c:spPr>
            <a:ln w="15875">
              <a:solidFill>
                <a:srgbClr val="969696"/>
              </a:solidFill>
              <a:prstDash val="sysDash"/>
            </a:ln>
          </c:spPr>
        </c:majorGridlines>
        <c:minorGridlines/>
        <c:title>
          <c:tx>
            <c:rich>
              <a:bodyPr/>
              <a:lstStyle/>
              <a:p>
                <a:pPr>
                  <a:defRPr sz="1300" b="1" i="0" u="none" strike="noStrike" baseline="0">
                    <a:solidFill>
                      <a:srgbClr val="0000FF"/>
                    </a:solidFill>
                    <a:latin typeface="Arial" pitchFamily="34" charset="0"/>
                    <a:ea typeface="Calibri"/>
                    <a:cs typeface="Arial" pitchFamily="34" charset="0"/>
                  </a:defRPr>
                </a:pPr>
                <a:r>
                  <a:rPr lang="en-US" sz="1300">
                    <a:solidFill>
                      <a:srgbClr val="0000FF"/>
                    </a:solidFill>
                    <a:latin typeface="Arial" pitchFamily="34" charset="0"/>
                    <a:cs typeface="Arial" pitchFamily="34" charset="0"/>
                  </a:rPr>
                  <a:t>Output Current (mA)</a:t>
                </a:r>
              </a:p>
            </c:rich>
          </c:tx>
          <c:layout>
            <c:manualLayout>
              <c:xMode val="edge"/>
              <c:yMode val="edge"/>
              <c:x val="0.39758370927088021"/>
              <c:y val="0.94571923002008362"/>
            </c:manualLayout>
          </c:layout>
          <c:overlay val="0"/>
          <c:spPr>
            <a:noFill/>
            <a:ln w="25400">
              <a:noFill/>
            </a:ln>
          </c:spPr>
        </c:title>
        <c:numFmt formatCode="General" sourceLinked="0"/>
        <c:majorTickMark val="in"/>
        <c:minorTickMark val="none"/>
        <c:tickLblPos val="nextTo"/>
        <c:spPr>
          <a:ln w="3175">
            <a:solidFill>
              <a:srgbClr val="000000"/>
            </a:solidFill>
            <a:prstDash val="solid"/>
          </a:ln>
        </c:spPr>
        <c:txPr>
          <a:bodyPr rot="0" vert="horz"/>
          <a:lstStyle/>
          <a:p>
            <a:pPr>
              <a:defRPr sz="1100" b="1" i="0" u="none" strike="noStrike" baseline="0">
                <a:solidFill>
                  <a:srgbClr val="0000FF"/>
                </a:solidFill>
                <a:latin typeface="Arial" pitchFamily="34" charset="0"/>
                <a:ea typeface="Calibri"/>
                <a:cs typeface="Arial" pitchFamily="34" charset="0"/>
              </a:defRPr>
            </a:pPr>
            <a:endParaRPr lang="en-US"/>
          </a:p>
        </c:txPr>
        <c:crossAx val="149717760"/>
        <c:crosses val="autoZero"/>
        <c:crossBetween val="midCat"/>
      </c:valAx>
      <c:valAx>
        <c:axId val="149717760"/>
        <c:scaling>
          <c:orientation val="minMax"/>
          <c:max val="100"/>
          <c:min val="20"/>
        </c:scaling>
        <c:delete val="0"/>
        <c:axPos val="l"/>
        <c:majorGridlines>
          <c:spPr>
            <a:ln w="15875">
              <a:solidFill>
                <a:srgbClr val="808080"/>
              </a:solidFill>
              <a:prstDash val="solid"/>
            </a:ln>
          </c:spPr>
        </c:majorGridlines>
        <c:minorGridlines>
          <c:spPr>
            <a:ln>
              <a:noFill/>
            </a:ln>
          </c:spPr>
        </c:minorGridlines>
        <c:title>
          <c:tx>
            <c:rich>
              <a:bodyPr/>
              <a:lstStyle/>
              <a:p>
                <a:pPr>
                  <a:defRPr sz="1400" b="1" i="0" u="none" strike="noStrike" baseline="0">
                    <a:solidFill>
                      <a:srgbClr val="FF0000"/>
                    </a:solidFill>
                    <a:latin typeface="Arial" pitchFamily="34" charset="0"/>
                    <a:ea typeface="Calibri"/>
                    <a:cs typeface="Arial" pitchFamily="34" charset="0"/>
                  </a:defRPr>
                </a:pPr>
                <a:r>
                  <a:rPr lang="en-US" sz="1400" b="1">
                    <a:solidFill>
                      <a:srgbClr val="FF0000"/>
                    </a:solidFill>
                    <a:latin typeface="Arial" pitchFamily="34" charset="0"/>
                    <a:cs typeface="Arial" pitchFamily="34" charset="0"/>
                  </a:rPr>
                  <a:t>Efficiency (%)</a:t>
                </a:r>
              </a:p>
            </c:rich>
          </c:tx>
          <c:layout>
            <c:manualLayout>
              <c:xMode val="edge"/>
              <c:yMode val="edge"/>
              <c:x val="1.2871858674081443E-2"/>
              <c:y val="0.37638177915688398"/>
            </c:manualLayout>
          </c:layout>
          <c:overlay val="0"/>
          <c:spPr>
            <a:noFill/>
            <a:ln w="25400">
              <a:noFill/>
            </a:ln>
          </c:spPr>
        </c:title>
        <c:numFmt formatCode="#,##0" sourceLinked="0"/>
        <c:majorTickMark val="out"/>
        <c:minorTickMark val="out"/>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149703296"/>
        <c:crossesAt val="1.0000000000000002E-2"/>
        <c:crossBetween val="midCat"/>
        <c:majorUnit val="10"/>
        <c:minorUnit val="5"/>
      </c:valAx>
      <c:valAx>
        <c:axId val="149719680"/>
        <c:scaling>
          <c:orientation val="minMax"/>
        </c:scaling>
        <c:delete val="0"/>
        <c:axPos val="r"/>
        <c:title>
          <c:tx>
            <c:rich>
              <a:bodyPr rot="-5400000" vert="horz"/>
              <a:lstStyle/>
              <a:p>
                <a:pPr>
                  <a:defRPr sz="1400" b="1">
                    <a:solidFill>
                      <a:sysClr val="windowText" lastClr="000000"/>
                    </a:solidFill>
                  </a:defRPr>
                </a:pPr>
                <a:r>
                  <a:rPr lang="en-US" sz="1400" b="1">
                    <a:solidFill>
                      <a:sysClr val="windowText" lastClr="000000"/>
                    </a:solidFill>
                  </a:rPr>
                  <a:t>Power Loss (mW)</a:t>
                </a:r>
              </a:p>
            </c:rich>
          </c:tx>
          <c:layout>
            <c:manualLayout>
              <c:xMode val="edge"/>
              <c:yMode val="edge"/>
              <c:x val="0.95563568688189593"/>
              <c:y val="0.33988985922214265"/>
            </c:manualLayout>
          </c:layout>
          <c:overlay val="0"/>
        </c:title>
        <c:numFmt formatCode="0" sourceLinked="0"/>
        <c:majorTickMark val="out"/>
        <c:minorTickMark val="none"/>
        <c:tickLblPos val="nextTo"/>
        <c:txPr>
          <a:bodyPr/>
          <a:lstStyle/>
          <a:p>
            <a:pPr>
              <a:defRPr sz="1100" b="1">
                <a:solidFill>
                  <a:sysClr val="windowText" lastClr="000000"/>
                </a:solidFill>
              </a:defRPr>
            </a:pPr>
            <a:endParaRPr lang="en-US"/>
          </a:p>
        </c:txPr>
        <c:crossAx val="149721856"/>
        <c:crosses val="max"/>
        <c:crossBetween val="midCat"/>
      </c:valAx>
      <c:valAx>
        <c:axId val="149721856"/>
        <c:scaling>
          <c:logBase val="10"/>
          <c:orientation val="minMax"/>
        </c:scaling>
        <c:delete val="1"/>
        <c:axPos val="b"/>
        <c:numFmt formatCode="0.000" sourceLinked="1"/>
        <c:majorTickMark val="out"/>
        <c:minorTickMark val="none"/>
        <c:tickLblPos val="nextTo"/>
        <c:crossAx val="149719680"/>
        <c:crosses val="autoZero"/>
        <c:crossBetween val="midCat"/>
      </c:valAx>
      <c:spPr>
        <a:noFill/>
        <a:ln w="25400">
          <a:noFill/>
        </a:ln>
      </c:spPr>
    </c:plotArea>
    <c:legend>
      <c:legendPos val="t"/>
      <c:layout>
        <c:manualLayout>
          <c:xMode val="edge"/>
          <c:yMode val="edge"/>
          <c:x val="0.38088589568077619"/>
          <c:y val="1.1892546194234431E-2"/>
          <c:w val="0.61911410431922376"/>
          <c:h val="0.10532135351738529"/>
        </c:manualLayout>
      </c:layout>
      <c:overlay val="0"/>
      <c:spPr>
        <a:solidFill>
          <a:srgbClr val="FFFFFF"/>
        </a:solidFill>
        <a:ln w="25400">
          <a:noFill/>
        </a:ln>
      </c:spPr>
      <c:txPr>
        <a:bodyPr/>
        <a:lstStyle/>
        <a:p>
          <a:pPr>
            <a:defRPr sz="1200" b="0" i="0" u="none" strike="noStrike" baseline="0">
              <a:solidFill>
                <a:srgbClr val="000000"/>
              </a:solidFill>
              <a:latin typeface="Arial" pitchFamily="34" charset="0"/>
              <a:ea typeface="Calibri"/>
              <a:cs typeface="Arial" pitchFamily="34" charset="0"/>
            </a:defRPr>
          </a:pPr>
          <a:endParaRPr lang="en-US"/>
        </a:p>
      </c:txPr>
    </c:legend>
    <c:plotVisOnly val="1"/>
    <c:dispBlanksAs val="gap"/>
    <c:showDLblsOverMax val="0"/>
  </c:chart>
  <c:spPr>
    <a:solidFill>
      <a:schemeClr val="bg1"/>
    </a:solidFill>
    <a:ln w="9525">
      <a:solidFill>
        <a:srgbClr val="808080"/>
      </a:solidFill>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paperSize="5"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P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000000"/>
                </a:solidFill>
                <a:latin typeface="Arial"/>
                <a:ea typeface="Arial"/>
                <a:cs typeface="Arial"/>
              </a:defRPr>
            </a:pPr>
            <a:r>
              <a:rPr lang="en-US" sz="1400"/>
              <a:t>PFM Efficiency (log scale)</a:t>
            </a:r>
          </a:p>
        </c:rich>
      </c:tx>
      <c:layout>
        <c:manualLayout>
          <c:xMode val="edge"/>
          <c:yMode val="edge"/>
          <c:x val="0.39174303593730181"/>
          <c:y val="3.0180964221577591E-2"/>
        </c:manualLayout>
      </c:layout>
      <c:overlay val="0"/>
      <c:spPr>
        <a:noFill/>
        <a:ln w="25400">
          <a:noFill/>
        </a:ln>
      </c:spPr>
    </c:title>
    <c:autoTitleDeleted val="0"/>
    <c:plotArea>
      <c:layout>
        <c:manualLayout>
          <c:layoutTarget val="inner"/>
          <c:xMode val="edge"/>
          <c:yMode val="edge"/>
          <c:x val="0.10666292925557967"/>
          <c:y val="0.12421894009783742"/>
          <c:w val="0.85836459439149781"/>
          <c:h val="0.76392748778830777"/>
        </c:manualLayout>
      </c:layout>
      <c:scatterChart>
        <c:scatterStyle val="lineMarker"/>
        <c:varyColors val="0"/>
        <c:ser>
          <c:idx val="0"/>
          <c:order val="0"/>
          <c:tx>
            <c:v>current</c:v>
          </c:tx>
          <c:spPr>
            <a:ln w="28575">
              <a:solidFill>
                <a:srgbClr val="000080"/>
              </a:solidFill>
              <a:prstDash val="solid"/>
            </a:ln>
          </c:spPr>
          <c:marker>
            <c:symbol val="none"/>
          </c:marker>
          <c:xVal>
            <c:numRef>
              <c:f>'PFM Efficiency'!$BI$6:$BI$106</c:f>
              <c:numCache>
                <c:formatCode>0.00</c:formatCode>
                <c:ptCount val="101"/>
                <c:pt idx="0">
                  <c:v>0.12000000000000001</c:v>
                </c:pt>
                <c:pt idx="1">
                  <c:v>1.2</c:v>
                </c:pt>
                <c:pt idx="2">
                  <c:v>2.4</c:v>
                </c:pt>
                <c:pt idx="3">
                  <c:v>3.6</c:v>
                </c:pt>
                <c:pt idx="4">
                  <c:v>4.8</c:v>
                </c:pt>
                <c:pt idx="5">
                  <c:v>6</c:v>
                </c:pt>
                <c:pt idx="6">
                  <c:v>7.2</c:v>
                </c:pt>
                <c:pt idx="7">
                  <c:v>8.4</c:v>
                </c:pt>
                <c:pt idx="8">
                  <c:v>9.6</c:v>
                </c:pt>
                <c:pt idx="9">
                  <c:v>10.799999999999999</c:v>
                </c:pt>
                <c:pt idx="10">
                  <c:v>12</c:v>
                </c:pt>
                <c:pt idx="11">
                  <c:v>13.2</c:v>
                </c:pt>
                <c:pt idx="12">
                  <c:v>14.4</c:v>
                </c:pt>
                <c:pt idx="13">
                  <c:v>15.6</c:v>
                </c:pt>
                <c:pt idx="14">
                  <c:v>16.8</c:v>
                </c:pt>
                <c:pt idx="15">
                  <c:v>18</c:v>
                </c:pt>
                <c:pt idx="16">
                  <c:v>19.2</c:v>
                </c:pt>
                <c:pt idx="17">
                  <c:v>20.400000000000002</c:v>
                </c:pt>
                <c:pt idx="18">
                  <c:v>21.599999999999998</c:v>
                </c:pt>
                <c:pt idx="19">
                  <c:v>22.8</c:v>
                </c:pt>
                <c:pt idx="20">
                  <c:v>24</c:v>
                </c:pt>
                <c:pt idx="21">
                  <c:v>25.199999999999996</c:v>
                </c:pt>
                <c:pt idx="22">
                  <c:v>26.4</c:v>
                </c:pt>
                <c:pt idx="23">
                  <c:v>27.599999999999998</c:v>
                </c:pt>
                <c:pt idx="24">
                  <c:v>28.8</c:v>
                </c:pt>
                <c:pt idx="25">
                  <c:v>30</c:v>
                </c:pt>
                <c:pt idx="26">
                  <c:v>31.2</c:v>
                </c:pt>
                <c:pt idx="27">
                  <c:v>32.4</c:v>
                </c:pt>
                <c:pt idx="28">
                  <c:v>33.6</c:v>
                </c:pt>
                <c:pt idx="29">
                  <c:v>34.799999999999997</c:v>
                </c:pt>
                <c:pt idx="30">
                  <c:v>36</c:v>
                </c:pt>
                <c:pt idx="31">
                  <c:v>37.199999999999996</c:v>
                </c:pt>
                <c:pt idx="32">
                  <c:v>38.4</c:v>
                </c:pt>
                <c:pt idx="33">
                  <c:v>39.6</c:v>
                </c:pt>
                <c:pt idx="34">
                  <c:v>40.800000000000004</c:v>
                </c:pt>
                <c:pt idx="35">
                  <c:v>41.999999999999993</c:v>
                </c:pt>
                <c:pt idx="36">
                  <c:v>43.199999999999996</c:v>
                </c:pt>
                <c:pt idx="37">
                  <c:v>44.399999999999991</c:v>
                </c:pt>
                <c:pt idx="38">
                  <c:v>45.6</c:v>
                </c:pt>
                <c:pt idx="39">
                  <c:v>46.800000000000004</c:v>
                </c:pt>
                <c:pt idx="40">
                  <c:v>48</c:v>
                </c:pt>
                <c:pt idx="41">
                  <c:v>49.199999999999996</c:v>
                </c:pt>
                <c:pt idx="42">
                  <c:v>50.399999999999991</c:v>
                </c:pt>
                <c:pt idx="43">
                  <c:v>51.6</c:v>
                </c:pt>
                <c:pt idx="44">
                  <c:v>52.8</c:v>
                </c:pt>
                <c:pt idx="45">
                  <c:v>54</c:v>
                </c:pt>
                <c:pt idx="46">
                  <c:v>55.199999999999996</c:v>
                </c:pt>
                <c:pt idx="47">
                  <c:v>56.399999999999991</c:v>
                </c:pt>
                <c:pt idx="48">
                  <c:v>57.6</c:v>
                </c:pt>
                <c:pt idx="49">
                  <c:v>58.8</c:v>
                </c:pt>
                <c:pt idx="50">
                  <c:v>60</c:v>
                </c:pt>
                <c:pt idx="51">
                  <c:v>61.199999999999996</c:v>
                </c:pt>
                <c:pt idx="52">
                  <c:v>62.4</c:v>
                </c:pt>
                <c:pt idx="53">
                  <c:v>63.6</c:v>
                </c:pt>
                <c:pt idx="54">
                  <c:v>64.8</c:v>
                </c:pt>
                <c:pt idx="55">
                  <c:v>66</c:v>
                </c:pt>
                <c:pt idx="56">
                  <c:v>67.2</c:v>
                </c:pt>
                <c:pt idx="57">
                  <c:v>68.399999999999991</c:v>
                </c:pt>
                <c:pt idx="58">
                  <c:v>69.599999999999994</c:v>
                </c:pt>
                <c:pt idx="59">
                  <c:v>70.799999999999983</c:v>
                </c:pt>
                <c:pt idx="60">
                  <c:v>72</c:v>
                </c:pt>
                <c:pt idx="61">
                  <c:v>73.2</c:v>
                </c:pt>
                <c:pt idx="62">
                  <c:v>74.399999999999991</c:v>
                </c:pt>
                <c:pt idx="63">
                  <c:v>75.599999999999994</c:v>
                </c:pt>
                <c:pt idx="64">
                  <c:v>76.8</c:v>
                </c:pt>
                <c:pt idx="65">
                  <c:v>78</c:v>
                </c:pt>
                <c:pt idx="66">
                  <c:v>79.2</c:v>
                </c:pt>
                <c:pt idx="67">
                  <c:v>80.400000000000006</c:v>
                </c:pt>
                <c:pt idx="68">
                  <c:v>81.600000000000009</c:v>
                </c:pt>
                <c:pt idx="69">
                  <c:v>82.799999999999983</c:v>
                </c:pt>
                <c:pt idx="70">
                  <c:v>83.999999999999986</c:v>
                </c:pt>
                <c:pt idx="71">
                  <c:v>85.2</c:v>
                </c:pt>
                <c:pt idx="72">
                  <c:v>86.399999999999991</c:v>
                </c:pt>
                <c:pt idx="73">
                  <c:v>87.6</c:v>
                </c:pt>
                <c:pt idx="74">
                  <c:v>88.799999999999983</c:v>
                </c:pt>
                <c:pt idx="75">
                  <c:v>90</c:v>
                </c:pt>
                <c:pt idx="76">
                  <c:v>91.2</c:v>
                </c:pt>
                <c:pt idx="77">
                  <c:v>92.399999999999991</c:v>
                </c:pt>
                <c:pt idx="78">
                  <c:v>93.600000000000009</c:v>
                </c:pt>
                <c:pt idx="79">
                  <c:v>94.8</c:v>
                </c:pt>
                <c:pt idx="80">
                  <c:v>96</c:v>
                </c:pt>
                <c:pt idx="81">
                  <c:v>97.2</c:v>
                </c:pt>
                <c:pt idx="82">
                  <c:v>98.399999999999991</c:v>
                </c:pt>
                <c:pt idx="83">
                  <c:v>99.6</c:v>
                </c:pt>
                <c:pt idx="84">
                  <c:v>100.79999999999998</c:v>
                </c:pt>
                <c:pt idx="85">
                  <c:v>102</c:v>
                </c:pt>
                <c:pt idx="86">
                  <c:v>103.2</c:v>
                </c:pt>
                <c:pt idx="87">
                  <c:v>104.39999999999999</c:v>
                </c:pt>
                <c:pt idx="88">
                  <c:v>105.6</c:v>
                </c:pt>
                <c:pt idx="89">
                  <c:v>106.8</c:v>
                </c:pt>
                <c:pt idx="90">
                  <c:v>108</c:v>
                </c:pt>
                <c:pt idx="91">
                  <c:v>109.2</c:v>
                </c:pt>
                <c:pt idx="92">
                  <c:v>110.39999999999999</c:v>
                </c:pt>
                <c:pt idx="93">
                  <c:v>111.60000000000001</c:v>
                </c:pt>
                <c:pt idx="94">
                  <c:v>112.79999999999998</c:v>
                </c:pt>
                <c:pt idx="95">
                  <c:v>113.99999999999999</c:v>
                </c:pt>
                <c:pt idx="96">
                  <c:v>115.2</c:v>
                </c:pt>
                <c:pt idx="97">
                  <c:v>116.39999999999999</c:v>
                </c:pt>
                <c:pt idx="98">
                  <c:v>117.6</c:v>
                </c:pt>
                <c:pt idx="99">
                  <c:v>118.79999999999998</c:v>
                </c:pt>
                <c:pt idx="100">
                  <c:v>120</c:v>
                </c:pt>
              </c:numCache>
            </c:numRef>
          </c:xVal>
          <c:yVal>
            <c:numRef>
              <c:f>'PFM Efficiency'!$BH$6:$BH$106</c:f>
              <c:numCache>
                <c:formatCode>0.000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extLst>
            <c:ext xmlns:c16="http://schemas.microsoft.com/office/drawing/2014/chart" uri="{C3380CC4-5D6E-409C-BE32-E72D297353CC}">
              <c16:uniqueId val="{00000000-733B-4228-BB7F-12AEB8152476}"/>
            </c:ext>
          </c:extLst>
        </c:ser>
        <c:ser>
          <c:idx val="1"/>
          <c:order val="1"/>
          <c:tx>
            <c:v>previous</c:v>
          </c:tx>
          <c:spPr>
            <a:ln>
              <a:prstDash val="sysDash"/>
            </a:ln>
          </c:spPr>
          <c:marker>
            <c:symbol val="none"/>
          </c:marker>
          <c:xVal>
            <c:numRef>
              <c:f>'PFM Efficiency'!$BI$6:$BI$106</c:f>
              <c:numCache>
                <c:formatCode>0.00</c:formatCode>
                <c:ptCount val="101"/>
                <c:pt idx="0">
                  <c:v>0.12000000000000001</c:v>
                </c:pt>
                <c:pt idx="1">
                  <c:v>1.2</c:v>
                </c:pt>
                <c:pt idx="2">
                  <c:v>2.4</c:v>
                </c:pt>
                <c:pt idx="3">
                  <c:v>3.6</c:v>
                </c:pt>
                <c:pt idx="4">
                  <c:v>4.8</c:v>
                </c:pt>
                <c:pt idx="5">
                  <c:v>6</c:v>
                </c:pt>
                <c:pt idx="6">
                  <c:v>7.2</c:v>
                </c:pt>
                <c:pt idx="7">
                  <c:v>8.4</c:v>
                </c:pt>
                <c:pt idx="8">
                  <c:v>9.6</c:v>
                </c:pt>
                <c:pt idx="9">
                  <c:v>10.799999999999999</c:v>
                </c:pt>
                <c:pt idx="10">
                  <c:v>12</c:v>
                </c:pt>
                <c:pt idx="11">
                  <c:v>13.2</c:v>
                </c:pt>
                <c:pt idx="12">
                  <c:v>14.4</c:v>
                </c:pt>
                <c:pt idx="13">
                  <c:v>15.6</c:v>
                </c:pt>
                <c:pt idx="14">
                  <c:v>16.8</c:v>
                </c:pt>
                <c:pt idx="15">
                  <c:v>18</c:v>
                </c:pt>
                <c:pt idx="16">
                  <c:v>19.2</c:v>
                </c:pt>
                <c:pt idx="17">
                  <c:v>20.400000000000002</c:v>
                </c:pt>
                <c:pt idx="18">
                  <c:v>21.599999999999998</c:v>
                </c:pt>
                <c:pt idx="19">
                  <c:v>22.8</c:v>
                </c:pt>
                <c:pt idx="20">
                  <c:v>24</c:v>
                </c:pt>
                <c:pt idx="21">
                  <c:v>25.199999999999996</c:v>
                </c:pt>
                <c:pt idx="22">
                  <c:v>26.4</c:v>
                </c:pt>
                <c:pt idx="23">
                  <c:v>27.599999999999998</c:v>
                </c:pt>
                <c:pt idx="24">
                  <c:v>28.8</c:v>
                </c:pt>
                <c:pt idx="25">
                  <c:v>30</c:v>
                </c:pt>
                <c:pt idx="26">
                  <c:v>31.2</c:v>
                </c:pt>
                <c:pt idx="27">
                  <c:v>32.4</c:v>
                </c:pt>
                <c:pt idx="28">
                  <c:v>33.6</c:v>
                </c:pt>
                <c:pt idx="29">
                  <c:v>34.799999999999997</c:v>
                </c:pt>
                <c:pt idx="30">
                  <c:v>36</c:v>
                </c:pt>
                <c:pt idx="31">
                  <c:v>37.199999999999996</c:v>
                </c:pt>
                <c:pt idx="32">
                  <c:v>38.4</c:v>
                </c:pt>
                <c:pt idx="33">
                  <c:v>39.6</c:v>
                </c:pt>
                <c:pt idx="34">
                  <c:v>40.800000000000004</c:v>
                </c:pt>
                <c:pt idx="35">
                  <c:v>41.999999999999993</c:v>
                </c:pt>
                <c:pt idx="36">
                  <c:v>43.199999999999996</c:v>
                </c:pt>
                <c:pt idx="37">
                  <c:v>44.399999999999991</c:v>
                </c:pt>
                <c:pt idx="38">
                  <c:v>45.6</c:v>
                </c:pt>
                <c:pt idx="39">
                  <c:v>46.800000000000004</c:v>
                </c:pt>
                <c:pt idx="40">
                  <c:v>48</c:v>
                </c:pt>
                <c:pt idx="41">
                  <c:v>49.199999999999996</c:v>
                </c:pt>
                <c:pt idx="42">
                  <c:v>50.399999999999991</c:v>
                </c:pt>
                <c:pt idx="43">
                  <c:v>51.6</c:v>
                </c:pt>
                <c:pt idx="44">
                  <c:v>52.8</c:v>
                </c:pt>
                <c:pt idx="45">
                  <c:v>54</c:v>
                </c:pt>
                <c:pt idx="46">
                  <c:v>55.199999999999996</c:v>
                </c:pt>
                <c:pt idx="47">
                  <c:v>56.399999999999991</c:v>
                </c:pt>
                <c:pt idx="48">
                  <c:v>57.6</c:v>
                </c:pt>
                <c:pt idx="49">
                  <c:v>58.8</c:v>
                </c:pt>
                <c:pt idx="50">
                  <c:v>60</c:v>
                </c:pt>
                <c:pt idx="51">
                  <c:v>61.199999999999996</c:v>
                </c:pt>
                <c:pt idx="52">
                  <c:v>62.4</c:v>
                </c:pt>
                <c:pt idx="53">
                  <c:v>63.6</c:v>
                </c:pt>
                <c:pt idx="54">
                  <c:v>64.8</c:v>
                </c:pt>
                <c:pt idx="55">
                  <c:v>66</c:v>
                </c:pt>
                <c:pt idx="56">
                  <c:v>67.2</c:v>
                </c:pt>
                <c:pt idx="57">
                  <c:v>68.399999999999991</c:v>
                </c:pt>
                <c:pt idx="58">
                  <c:v>69.599999999999994</c:v>
                </c:pt>
                <c:pt idx="59">
                  <c:v>70.799999999999983</c:v>
                </c:pt>
                <c:pt idx="60">
                  <c:v>72</c:v>
                </c:pt>
                <c:pt idx="61">
                  <c:v>73.2</c:v>
                </c:pt>
                <c:pt idx="62">
                  <c:v>74.399999999999991</c:v>
                </c:pt>
                <c:pt idx="63">
                  <c:v>75.599999999999994</c:v>
                </c:pt>
                <c:pt idx="64">
                  <c:v>76.8</c:v>
                </c:pt>
                <c:pt idx="65">
                  <c:v>78</c:v>
                </c:pt>
                <c:pt idx="66">
                  <c:v>79.2</c:v>
                </c:pt>
                <c:pt idx="67">
                  <c:v>80.400000000000006</c:v>
                </c:pt>
                <c:pt idx="68">
                  <c:v>81.600000000000009</c:v>
                </c:pt>
                <c:pt idx="69">
                  <c:v>82.799999999999983</c:v>
                </c:pt>
                <c:pt idx="70">
                  <c:v>83.999999999999986</c:v>
                </c:pt>
                <c:pt idx="71">
                  <c:v>85.2</c:v>
                </c:pt>
                <c:pt idx="72">
                  <c:v>86.399999999999991</c:v>
                </c:pt>
                <c:pt idx="73">
                  <c:v>87.6</c:v>
                </c:pt>
                <c:pt idx="74">
                  <c:v>88.799999999999983</c:v>
                </c:pt>
                <c:pt idx="75">
                  <c:v>90</c:v>
                </c:pt>
                <c:pt idx="76">
                  <c:v>91.2</c:v>
                </c:pt>
                <c:pt idx="77">
                  <c:v>92.399999999999991</c:v>
                </c:pt>
                <c:pt idx="78">
                  <c:v>93.600000000000009</c:v>
                </c:pt>
                <c:pt idx="79">
                  <c:v>94.8</c:v>
                </c:pt>
                <c:pt idx="80">
                  <c:v>96</c:v>
                </c:pt>
                <c:pt idx="81">
                  <c:v>97.2</c:v>
                </c:pt>
                <c:pt idx="82">
                  <c:v>98.399999999999991</c:v>
                </c:pt>
                <c:pt idx="83">
                  <c:v>99.6</c:v>
                </c:pt>
                <c:pt idx="84">
                  <c:v>100.79999999999998</c:v>
                </c:pt>
                <c:pt idx="85">
                  <c:v>102</c:v>
                </c:pt>
                <c:pt idx="86">
                  <c:v>103.2</c:v>
                </c:pt>
                <c:pt idx="87">
                  <c:v>104.39999999999999</c:v>
                </c:pt>
                <c:pt idx="88">
                  <c:v>105.6</c:v>
                </c:pt>
                <c:pt idx="89">
                  <c:v>106.8</c:v>
                </c:pt>
                <c:pt idx="90">
                  <c:v>108</c:v>
                </c:pt>
                <c:pt idx="91">
                  <c:v>109.2</c:v>
                </c:pt>
                <c:pt idx="92">
                  <c:v>110.39999999999999</c:v>
                </c:pt>
                <c:pt idx="93">
                  <c:v>111.60000000000001</c:v>
                </c:pt>
                <c:pt idx="94">
                  <c:v>112.79999999999998</c:v>
                </c:pt>
                <c:pt idx="95">
                  <c:v>113.99999999999999</c:v>
                </c:pt>
                <c:pt idx="96">
                  <c:v>115.2</c:v>
                </c:pt>
                <c:pt idx="97">
                  <c:v>116.39999999999999</c:v>
                </c:pt>
                <c:pt idx="98">
                  <c:v>117.6</c:v>
                </c:pt>
                <c:pt idx="99">
                  <c:v>118.79999999999998</c:v>
                </c:pt>
                <c:pt idx="100">
                  <c:v>120</c:v>
                </c:pt>
              </c:numCache>
            </c:numRef>
          </c:xVal>
          <c:yVal>
            <c:numRef>
              <c:f>'PFM Efficiency'!$BJ$6:$BJ$106</c:f>
              <c:numCache>
                <c:formatCode>0.00</c:formatCode>
                <c:ptCount val="101"/>
                <c:pt idx="0">
                  <c:v>47.143854993629823</c:v>
                </c:pt>
                <c:pt idx="1">
                  <c:v>84.462030988011534</c:v>
                </c:pt>
                <c:pt idx="2">
                  <c:v>88.347522731946256</c:v>
                </c:pt>
                <c:pt idx="3">
                  <c:v>89.723560477667675</c:v>
                </c:pt>
                <c:pt idx="4">
                  <c:v>90.427928272599317</c:v>
                </c:pt>
                <c:pt idx="5">
                  <c:v>90.856002505810849</c:v>
                </c:pt>
                <c:pt idx="6">
                  <c:v>91.143744732156421</c:v>
                </c:pt>
                <c:pt idx="7">
                  <c:v>91.350479962854209</c:v>
                </c:pt>
                <c:pt idx="8">
                  <c:v>91.506224006568289</c:v>
                </c:pt>
                <c:pt idx="9">
                  <c:v>91.627793739029357</c:v>
                </c:pt>
                <c:pt idx="10">
                  <c:v>91.725343535721109</c:v>
                </c:pt>
                <c:pt idx="11">
                  <c:v>91.805367362427361</c:v>
                </c:pt>
                <c:pt idx="12">
                  <c:v>91.872211787054709</c:v>
                </c:pt>
                <c:pt idx="13">
                  <c:v>91.928895820277532</c:v>
                </c:pt>
                <c:pt idx="14">
                  <c:v>91.977581799582111</c:v>
                </c:pt>
                <c:pt idx="15">
                  <c:v>92.019859122876866</c:v>
                </c:pt>
                <c:pt idx="16">
                  <c:v>92.056922219446761</c:v>
                </c:pt>
                <c:pt idx="17">
                  <c:v>92.089686061935154</c:v>
                </c:pt>
                <c:pt idx="18">
                  <c:v>92.118863379516469</c:v>
                </c:pt>
                <c:pt idx="19">
                  <c:v>92.145017611092783</c:v>
                </c:pt>
                <c:pt idx="20">
                  <c:v>92.168600048761547</c:v>
                </c:pt>
                <c:pt idx="21">
                  <c:v>92.189976417374325</c:v>
                </c:pt>
                <c:pt idx="22">
                  <c:v>92.20944623676111</c:v>
                </c:pt>
                <c:pt idx="23">
                  <c:v>92.227257154029004</c:v>
                </c:pt>
                <c:pt idx="24">
                  <c:v>92.243615707125457</c:v>
                </c:pt>
                <c:pt idx="25">
                  <c:v>92.258695515072404</c:v>
                </c:pt>
                <c:pt idx="26">
                  <c:v>92.272643585130709</c:v>
                </c:pt>
                <c:pt idx="27">
                  <c:v>92.285585223360243</c:v>
                </c:pt>
                <c:pt idx="28">
                  <c:v>92.297627896528766</c:v>
                </c:pt>
                <c:pt idx="29">
                  <c:v>92.308864297653088</c:v>
                </c:pt>
                <c:pt idx="30">
                  <c:v>92.319374800396361</c:v>
                </c:pt>
                <c:pt idx="31">
                  <c:v>92.329229439893751</c:v>
                </c:pt>
                <c:pt idx="32">
                  <c:v>92.338489523289027</c:v>
                </c:pt>
                <c:pt idx="33">
                  <c:v>92.347208948299397</c:v>
                </c:pt>
                <c:pt idx="34">
                  <c:v>92.355435289750346</c:v>
                </c:pt>
                <c:pt idx="35">
                  <c:v>92.36321070035909</c:v>
                </c:pt>
                <c:pt idx="36">
                  <c:v>92.370572661788287</c:v>
                </c:pt>
                <c:pt idx="37">
                  <c:v>92.377554614223854</c:v>
                </c:pt>
                <c:pt idx="38">
                  <c:v>92.384186486797105</c:v>
                </c:pt>
                <c:pt idx="39">
                  <c:v>92.390495146604792</c:v>
                </c:pt>
                <c:pt idx="40">
                  <c:v>92.396504780537882</c:v>
                </c:pt>
                <c:pt idx="41">
                  <c:v>92.40223722136399</c:v>
                </c:pt>
                <c:pt idx="42">
                  <c:v>92.407712227333235</c:v>
                </c:pt>
                <c:pt idx="43">
                  <c:v>92.412947722856345</c:v>
                </c:pt>
                <c:pt idx="44">
                  <c:v>92.417960006434967</c:v>
                </c:pt>
                <c:pt idx="45">
                  <c:v>92.42276393092682</c:v>
                </c:pt>
                <c:pt idx="46">
                  <c:v>92.42737306034725</c:v>
                </c:pt>
                <c:pt idx="47">
                  <c:v>92.431799806694343</c:v>
                </c:pt>
                <c:pt idx="48">
                  <c:v>92.436055549705159</c:v>
                </c:pt>
                <c:pt idx="49">
                  <c:v>92.440150741976623</c:v>
                </c:pt>
                <c:pt idx="50">
                  <c:v>92.444095001495995</c:v>
                </c:pt>
                <c:pt idx="51">
                  <c:v>92.447897193306034</c:v>
                </c:pt>
                <c:pt idx="52">
                  <c:v>92.451565501764364</c:v>
                </c:pt>
                <c:pt idx="53">
                  <c:v>92.455107494637488</c:v>
                </c:pt>
                <c:pt idx="54">
                  <c:v>92.458530180085759</c:v>
                </c:pt>
                <c:pt idx="55">
                  <c:v>92.461840057442586</c:v>
                </c:pt>
                <c:pt idx="56">
                  <c:v>92.46504316256231</c:v>
                </c:pt>
                <c:pt idx="57">
                  <c:v>92.468145108402524</c:v>
                </c:pt>
                <c:pt idx="58">
                  <c:v>92.471151121415275</c:v>
                </c:pt>
                <c:pt idx="59">
                  <c:v>92.474066074243098</c:v>
                </c:pt>
                <c:pt idx="60">
                  <c:v>92.476894515150917</c:v>
                </c:pt>
                <c:pt idx="61">
                  <c:v>92.479640694567323</c:v>
                </c:pt>
                <c:pt idx="62">
                  <c:v>92.482308589061347</c:v>
                </c:pt>
                <c:pt idx="63">
                  <c:v>92.484901923038976</c:v>
                </c:pt>
                <c:pt idx="64">
                  <c:v>92.487424188408724</c:v>
                </c:pt>
                <c:pt idx="65">
                  <c:v>92.489878662434649</c:v>
                </c:pt>
                <c:pt idx="66">
                  <c:v>92.492268423968255</c:v>
                </c:pt>
                <c:pt idx="67">
                  <c:v>92.494596368229239</c:v>
                </c:pt>
                <c:pt idx="68">
                  <c:v>92.496865220283595</c:v>
                </c:pt>
                <c:pt idx="69">
                  <c:v>92.49907754735132</c:v>
                </c:pt>
                <c:pt idx="70">
                  <c:v>92.501235770060475</c:v>
                </c:pt>
                <c:pt idx="71">
                  <c:v>92.503342172751601</c:v>
                </c:pt>
                <c:pt idx="72">
                  <c:v>92.505398912924278</c:v>
                </c:pt>
                <c:pt idx="73">
                  <c:v>92.50740802990839</c:v>
                </c:pt>
                <c:pt idx="74">
                  <c:v>92.509371452833022</c:v>
                </c:pt>
                <c:pt idx="75">
                  <c:v>92.511291007958761</c:v>
                </c:pt>
                <c:pt idx="76">
                  <c:v>92.513168425431559</c:v>
                </c:pt>
                <c:pt idx="77">
                  <c:v>92.515005345511099</c:v>
                </c:pt>
                <c:pt idx="78">
                  <c:v>92.51680332432062</c:v>
                </c:pt>
                <c:pt idx="79">
                  <c:v>92.518563839160237</c:v>
                </c:pt>
                <c:pt idx="80">
                  <c:v>92.520288293422482</c:v>
                </c:pt>
                <c:pt idx="81">
                  <c:v>92.521978021143966</c:v>
                </c:pt>
                <c:pt idx="82">
                  <c:v>92.523634291224241</c:v>
                </c:pt>
                <c:pt idx="83">
                  <c:v>92.525258311340167</c:v>
                </c:pt>
                <c:pt idx="84">
                  <c:v>92.526851231580764</c:v>
                </c:pt>
                <c:pt idx="85">
                  <c:v>92.528414147825814</c:v>
                </c:pt>
                <c:pt idx="86">
                  <c:v>92.529948104888888</c:v>
                </c:pt>
                <c:pt idx="87">
                  <c:v>92.53145409944392</c:v>
                </c:pt>
                <c:pt idx="88">
                  <c:v>92.532933082752166</c:v>
                </c:pt>
                <c:pt idx="89">
                  <c:v>92.534385963205779</c:v>
                </c:pt>
                <c:pt idx="90">
                  <c:v>92.535813608701574</c:v>
                </c:pt>
                <c:pt idx="91">
                  <c:v>92.53721684885879</c:v>
                </c:pt>
                <c:pt idx="92">
                  <c:v>92.538596477091943</c:v>
                </c:pt>
                <c:pt idx="93">
                  <c:v>92.539953252550276</c:v>
                </c:pt>
                <c:pt idx="94">
                  <c:v>92.541287901933401</c:v>
                </c:pt>
                <c:pt idx="95">
                  <c:v>92.542601121192305</c:v>
                </c:pt>
                <c:pt idx="96">
                  <c:v>92.54389357712418</c:v>
                </c:pt>
                <c:pt idx="97">
                  <c:v>92.545165908868611</c:v>
                </c:pt>
                <c:pt idx="98">
                  <c:v>92.546418729312109</c:v>
                </c:pt>
                <c:pt idx="99">
                  <c:v>92.547652626407782</c:v>
                </c:pt>
                <c:pt idx="100">
                  <c:v>92.54886816441558</c:v>
                </c:pt>
              </c:numCache>
            </c:numRef>
          </c:yVal>
          <c:smooth val="0"/>
          <c:extLst>
            <c:ext xmlns:c16="http://schemas.microsoft.com/office/drawing/2014/chart" uri="{C3380CC4-5D6E-409C-BE32-E72D297353CC}">
              <c16:uniqueId val="{00000001-733B-4228-BB7F-12AEB8152476}"/>
            </c:ext>
          </c:extLst>
        </c:ser>
        <c:dLbls>
          <c:showLegendKey val="0"/>
          <c:showVal val="0"/>
          <c:showCatName val="0"/>
          <c:showSerName val="0"/>
          <c:showPercent val="0"/>
          <c:showBubbleSize val="0"/>
        </c:dLbls>
        <c:axId val="149924864"/>
        <c:axId val="149931136"/>
      </c:scatterChart>
      <c:valAx>
        <c:axId val="149924864"/>
        <c:scaling>
          <c:logBase val="10"/>
          <c:orientation val="minMax"/>
          <c:max val="100"/>
          <c:min val="0.1"/>
        </c:scaling>
        <c:delete val="0"/>
        <c:axPos val="b"/>
        <c:majorGridlines/>
        <c:minorGridlines/>
        <c:title>
          <c:tx>
            <c:rich>
              <a:bodyPr/>
              <a:lstStyle/>
              <a:p>
                <a:pPr>
                  <a:defRPr sz="1100" b="1" i="0" u="none" strike="noStrike" baseline="0">
                    <a:solidFill>
                      <a:srgbClr val="000000"/>
                    </a:solidFill>
                    <a:latin typeface="Arial"/>
                    <a:ea typeface="Arial"/>
                    <a:cs typeface="Arial"/>
                  </a:defRPr>
                </a:pPr>
                <a:r>
                  <a:rPr lang="en-US" sz="1100"/>
                  <a:t>Iout (mA)</a:t>
                </a:r>
              </a:p>
            </c:rich>
          </c:tx>
          <c:layout>
            <c:manualLayout>
              <c:xMode val="edge"/>
              <c:yMode val="edge"/>
              <c:x val="0.48181816967535696"/>
              <c:y val="0.94567406346934046"/>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1100" b="1" i="0" u="none" strike="noStrike" baseline="0">
                <a:solidFill>
                  <a:srgbClr val="000000"/>
                </a:solidFill>
                <a:latin typeface="Arial"/>
                <a:ea typeface="Arial"/>
                <a:cs typeface="Arial"/>
              </a:defRPr>
            </a:pPr>
            <a:endParaRPr lang="en-US"/>
          </a:p>
        </c:txPr>
        <c:crossAx val="149931136"/>
        <c:crossesAt val="1.0000000000000032E-4"/>
        <c:crossBetween val="midCat"/>
        <c:majorUnit val="10"/>
        <c:minorUnit val="10"/>
      </c:valAx>
      <c:valAx>
        <c:axId val="149931136"/>
        <c:scaling>
          <c:orientation val="minMax"/>
          <c:max val="100"/>
          <c:min val="60"/>
        </c:scaling>
        <c:delete val="0"/>
        <c:axPos val="l"/>
        <c:majorGridlines>
          <c:spPr>
            <a:ln w="3175">
              <a:solidFill>
                <a:srgbClr val="000000"/>
              </a:solidFill>
              <a:prstDash val="solid"/>
            </a:ln>
          </c:spPr>
        </c:majorGridlines>
        <c:minorGridlines/>
        <c:title>
          <c:tx>
            <c:rich>
              <a:bodyPr/>
              <a:lstStyle/>
              <a:p>
                <a:pPr>
                  <a:defRPr sz="1100" b="1" i="0" u="none" strike="noStrike" baseline="0">
                    <a:solidFill>
                      <a:srgbClr val="000000"/>
                    </a:solidFill>
                    <a:latin typeface="Arial"/>
                    <a:ea typeface="Arial"/>
                    <a:cs typeface="Arial"/>
                  </a:defRPr>
                </a:pPr>
                <a:r>
                  <a:rPr lang="en-US" sz="1100"/>
                  <a:t>Efficiency (%)</a:t>
                </a:r>
              </a:p>
            </c:rich>
          </c:tx>
          <c:layout>
            <c:manualLayout>
              <c:xMode val="edge"/>
              <c:yMode val="edge"/>
              <c:x val="6.493410398168315E-3"/>
              <c:y val="0.4019373479804476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100" b="1" i="0" u="none" strike="noStrike" baseline="0">
                <a:solidFill>
                  <a:srgbClr val="000000"/>
                </a:solidFill>
                <a:latin typeface="Arial"/>
                <a:ea typeface="Arial"/>
                <a:cs typeface="Arial"/>
              </a:defRPr>
            </a:pPr>
            <a:endParaRPr lang="en-US"/>
          </a:p>
        </c:txPr>
        <c:crossAx val="149924864"/>
        <c:crossesAt val="1.0000000000000029E-4"/>
        <c:crossBetween val="midCat"/>
        <c:majorUnit val="5"/>
        <c:minorUnit val="5"/>
      </c:valAx>
      <c:spPr>
        <a:solidFill>
          <a:schemeClr val="bg1">
            <a:lumMod val="95000"/>
          </a:schemeClr>
        </a:solidFill>
        <a:ln w="38100">
          <a:solidFill>
            <a:srgbClr val="808080"/>
          </a:solidFill>
          <a:prstDash val="solid"/>
        </a:ln>
      </c:spPr>
    </c:plotArea>
    <c:legend>
      <c:legendPos val="r"/>
      <c:layout>
        <c:manualLayout>
          <c:xMode val="edge"/>
          <c:yMode val="edge"/>
          <c:x val="0.78914731631700463"/>
          <c:y val="0.77083225684622314"/>
          <c:w val="0.15539326668135944"/>
          <c:h val="9.5379070439161509E-2"/>
        </c:manualLayout>
      </c:layout>
      <c:overlay val="0"/>
      <c:spPr>
        <a:solidFill>
          <a:srgbClr val="FFFFFF"/>
        </a:solidFill>
        <a:ln w="3175">
          <a:solidFill>
            <a:srgbClr val="000000"/>
          </a:solidFill>
          <a:prstDash val="solid"/>
        </a:ln>
      </c:spPr>
      <c:txPr>
        <a:bodyPr/>
        <a:lstStyle/>
        <a:p>
          <a:pPr>
            <a:defRPr sz="9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noFill/>
      <a:prstDash val="solid"/>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000000000000144" r="0.75000000000000144"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P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sz="1800"/>
              <a:t>Breakdown of </a:t>
            </a:r>
            <a:r>
              <a:rPr lang="en-US" sz="1800">
                <a:solidFill>
                  <a:srgbClr val="FF0000"/>
                </a:solidFill>
              </a:rPr>
              <a:t>PFM</a:t>
            </a:r>
            <a:r>
              <a:rPr lang="en-US" sz="1800"/>
              <a:t> Efficiency Losses vs I</a:t>
            </a:r>
            <a:r>
              <a:rPr lang="en-US" sz="1800" baseline="-25000"/>
              <a:t>OUT</a:t>
            </a:r>
          </a:p>
        </c:rich>
      </c:tx>
      <c:layout>
        <c:manualLayout>
          <c:xMode val="edge"/>
          <c:yMode val="edge"/>
          <c:x val="0.21668095607596721"/>
          <c:y val="3.0815438913941871E-2"/>
        </c:manualLayout>
      </c:layout>
      <c:overlay val="0"/>
      <c:spPr>
        <a:noFill/>
        <a:ln w="25400">
          <a:noFill/>
        </a:ln>
      </c:spPr>
    </c:title>
    <c:autoTitleDeleted val="0"/>
    <c:plotArea>
      <c:layout>
        <c:manualLayout>
          <c:layoutTarget val="inner"/>
          <c:xMode val="edge"/>
          <c:yMode val="edge"/>
          <c:x val="0.18496430825131752"/>
          <c:y val="0.14694417652807096"/>
          <c:w val="0.46181411156941843"/>
          <c:h val="0.69570915435856573"/>
        </c:manualLayout>
      </c:layout>
      <c:areaChart>
        <c:grouping val="percentStacked"/>
        <c:varyColors val="0"/>
        <c:ser>
          <c:idx val="1"/>
          <c:order val="0"/>
          <c:tx>
            <c:strRef>
              <c:f>'PFM Efficiency'!$BD$5</c:f>
              <c:strCache>
                <c:ptCount val="1"/>
                <c:pt idx="0">
                  <c:v>Cin Cout ESR %</c:v>
                </c:pt>
              </c:strCache>
            </c:strRef>
          </c:tx>
          <c:spPr>
            <a:solidFill>
              <a:srgbClr val="FFFF00"/>
            </a:solidFill>
            <a:ln w="12700">
              <a:solidFill>
                <a:srgbClr val="000000"/>
              </a:solidFill>
              <a:prstDash val="solid"/>
            </a:ln>
          </c:spPr>
          <c:val>
            <c:numRef>
              <c:f>'PFM Efficiency'!$BD$6:$BD$106</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DC46-4A51-89FE-3556DD2BE0E9}"/>
            </c:ext>
          </c:extLst>
        </c:ser>
        <c:ser>
          <c:idx val="3"/>
          <c:order val="1"/>
          <c:tx>
            <c:strRef>
              <c:f>'PFM Efficiency'!$BA$5</c:f>
              <c:strCache>
                <c:ptCount val="1"/>
                <c:pt idx="0">
                  <c:v>Low-side MOSFET Deadtime Loss %</c:v>
                </c:pt>
              </c:strCache>
            </c:strRef>
          </c:tx>
          <c:spPr>
            <a:solidFill>
              <a:srgbClr val="666699"/>
            </a:solidFill>
            <a:ln w="12700">
              <a:solidFill>
                <a:srgbClr val="000000"/>
              </a:solidFill>
              <a:prstDash val="solid"/>
            </a:ln>
          </c:spPr>
          <c:val>
            <c:numRef>
              <c:f>'PFM Efficiency'!$BA$6:$BA$106</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DC46-4A51-89FE-3556DD2BE0E9}"/>
            </c:ext>
          </c:extLst>
        </c:ser>
        <c:ser>
          <c:idx val="6"/>
          <c:order val="2"/>
          <c:tx>
            <c:strRef>
              <c:f>'PFM Efficiency'!$AV$5</c:f>
              <c:strCache>
                <c:ptCount val="1"/>
                <c:pt idx="0">
                  <c:v>High-side MOSFET Rdson %</c:v>
                </c:pt>
              </c:strCache>
            </c:strRef>
          </c:tx>
          <c:spPr>
            <a:solidFill>
              <a:srgbClr val="FF0000"/>
            </a:solidFill>
            <a:ln w="12700">
              <a:solidFill>
                <a:srgbClr val="000000"/>
              </a:solidFill>
              <a:prstDash val="solid"/>
            </a:ln>
          </c:spPr>
          <c:val>
            <c:numRef>
              <c:f>'PFM Efficiency'!$AV$6:$AV$106</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2-DC46-4A51-89FE-3556DD2BE0E9}"/>
            </c:ext>
          </c:extLst>
        </c:ser>
        <c:ser>
          <c:idx val="7"/>
          <c:order val="3"/>
          <c:tx>
            <c:strRef>
              <c:f>'PFM Efficiency'!$AW$5</c:f>
              <c:strCache>
                <c:ptCount val="1"/>
                <c:pt idx="0">
                  <c:v>Low-side MOSFET Rdson %</c:v>
                </c:pt>
              </c:strCache>
            </c:strRef>
          </c:tx>
          <c:spPr>
            <a:solidFill>
              <a:srgbClr val="FF6600"/>
            </a:solidFill>
            <a:ln w="12700">
              <a:solidFill>
                <a:srgbClr val="000000"/>
              </a:solidFill>
              <a:prstDash val="solid"/>
            </a:ln>
          </c:spPr>
          <c:val>
            <c:numRef>
              <c:f>'PFM Efficiency'!$AW$6:$AW$106</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3-DC46-4A51-89FE-3556DD2BE0E9}"/>
            </c:ext>
          </c:extLst>
        </c:ser>
        <c:ser>
          <c:idx val="4"/>
          <c:order val="4"/>
          <c:tx>
            <c:strRef>
              <c:f>'PFM Efficiency'!$BC$5</c:f>
              <c:strCache>
                <c:ptCount val="1"/>
                <c:pt idx="0">
                  <c:v>Inductor Core Loss %</c:v>
                </c:pt>
              </c:strCache>
            </c:strRef>
          </c:tx>
          <c:spPr>
            <a:solidFill>
              <a:srgbClr val="99CC00"/>
            </a:solidFill>
            <a:ln w="12700">
              <a:solidFill>
                <a:srgbClr val="000000"/>
              </a:solidFill>
              <a:prstDash val="solid"/>
            </a:ln>
          </c:spPr>
          <c:val>
            <c:numRef>
              <c:f>'PFM Efficiency'!$BC$6:$BC$106</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4-DC46-4A51-89FE-3556DD2BE0E9}"/>
            </c:ext>
          </c:extLst>
        </c:ser>
        <c:ser>
          <c:idx val="8"/>
          <c:order val="5"/>
          <c:tx>
            <c:strRef>
              <c:f>'PFM Efficiency'!$BB$5</c:f>
              <c:strCache>
                <c:ptCount val="1"/>
                <c:pt idx="0">
                  <c:v>Inductor Cu Loss %</c:v>
                </c:pt>
              </c:strCache>
            </c:strRef>
          </c:tx>
          <c:spPr>
            <a:solidFill>
              <a:srgbClr val="00FF00"/>
            </a:solidFill>
            <a:ln w="12700">
              <a:solidFill>
                <a:srgbClr val="000000"/>
              </a:solidFill>
              <a:prstDash val="solid"/>
            </a:ln>
          </c:spPr>
          <c:val>
            <c:numRef>
              <c:f>'PFM Efficiency'!$BB$6:$BB$106</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5-DC46-4A51-89FE-3556DD2BE0E9}"/>
            </c:ext>
          </c:extLst>
        </c:ser>
        <c:ser>
          <c:idx val="2"/>
          <c:order val="6"/>
          <c:tx>
            <c:strRef>
              <c:f>'PFM Efficiency'!$AX$5</c:f>
              <c:strCache>
                <c:ptCount val="1"/>
                <c:pt idx="0">
                  <c:v>Gate Drive (Qg) Loss from Vin %</c:v>
                </c:pt>
              </c:strCache>
            </c:strRef>
          </c:tx>
          <c:spPr>
            <a:solidFill>
              <a:srgbClr val="00FFFF"/>
            </a:solidFill>
            <a:ln w="12700">
              <a:solidFill>
                <a:srgbClr val="000000"/>
              </a:solidFill>
              <a:prstDash val="solid"/>
            </a:ln>
          </c:spPr>
          <c:val>
            <c:numRef>
              <c:f>'PFM Efficiency'!$AX$6:$AX$106</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6-DC46-4A51-89FE-3556DD2BE0E9}"/>
            </c:ext>
          </c:extLst>
        </c:ser>
        <c:ser>
          <c:idx val="5"/>
          <c:order val="7"/>
          <c:tx>
            <c:strRef>
              <c:f>'PFM Efficiency'!$AY$5</c:f>
              <c:strCache>
                <c:ptCount val="1"/>
                <c:pt idx="0">
                  <c:v>High-side MOSFET Switching Loss %</c:v>
                </c:pt>
              </c:strCache>
            </c:strRef>
          </c:tx>
          <c:spPr>
            <a:solidFill>
              <a:srgbClr val="0000FF"/>
            </a:solidFill>
            <a:ln w="12700">
              <a:solidFill>
                <a:srgbClr val="000000"/>
              </a:solidFill>
              <a:prstDash val="solid"/>
            </a:ln>
          </c:spPr>
          <c:val>
            <c:numRef>
              <c:f>'PFM Efficiency'!$AY$6:$AY$106</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7-DC46-4A51-89FE-3556DD2BE0E9}"/>
            </c:ext>
          </c:extLst>
        </c:ser>
        <c:ser>
          <c:idx val="10"/>
          <c:order val="8"/>
          <c:tx>
            <c:strRef>
              <c:f>'PFM Efficiency'!$AZ$5</c:f>
              <c:strCache>
                <c:ptCount val="1"/>
                <c:pt idx="0">
                  <c:v>Leakage Loss %</c:v>
                </c:pt>
              </c:strCache>
            </c:strRef>
          </c:tx>
          <c:spPr>
            <a:solidFill>
              <a:srgbClr val="FFFF00"/>
            </a:solidFill>
            <a:ln w="12700">
              <a:solidFill>
                <a:srgbClr val="000000"/>
              </a:solidFill>
              <a:prstDash val="solid"/>
            </a:ln>
          </c:spPr>
          <c:val>
            <c:numRef>
              <c:f>'PFM Efficiency'!$AZ$6:$AZ$106</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8-DC46-4A51-89FE-3556DD2BE0E9}"/>
            </c:ext>
          </c:extLst>
        </c:ser>
        <c:ser>
          <c:idx val="0"/>
          <c:order val="9"/>
          <c:tx>
            <c:strRef>
              <c:f>'PFM Efficiency'!$BE$5</c:f>
              <c:strCache>
                <c:ptCount val="1"/>
                <c:pt idx="0">
                  <c:v>Quiescent Current Loss %</c:v>
                </c:pt>
              </c:strCache>
            </c:strRef>
          </c:tx>
          <c:val>
            <c:numRef>
              <c:f>'PFM Efficiency'!$BE$6:$BE$106</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9-DC46-4A51-89FE-3556DD2BE0E9}"/>
            </c:ext>
          </c:extLst>
        </c:ser>
        <c:ser>
          <c:idx val="9"/>
          <c:order val="10"/>
          <c:tx>
            <c:strRef>
              <c:f>'PFM Efficiency'!$BG$5</c:f>
              <c:strCache>
                <c:ptCount val="1"/>
                <c:pt idx="0">
                  <c:v>Overall Eff (%)</c:v>
                </c:pt>
              </c:strCache>
            </c:strRef>
          </c:tx>
          <c:spPr>
            <a:solidFill>
              <a:srgbClr val="000000"/>
            </a:solidFill>
            <a:ln w="12700">
              <a:solidFill>
                <a:srgbClr val="000000"/>
              </a:solidFill>
              <a:prstDash val="solid"/>
            </a:ln>
          </c:spPr>
          <c:val>
            <c:numRef>
              <c:f>'PFM Efficiency'!$BG$6:$BG$106</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A-DC46-4A51-89FE-3556DD2BE0E9}"/>
            </c:ext>
          </c:extLst>
        </c:ser>
        <c:dLbls>
          <c:showLegendKey val="0"/>
          <c:showVal val="0"/>
          <c:showCatName val="0"/>
          <c:showSerName val="0"/>
          <c:showPercent val="0"/>
          <c:showBubbleSize val="0"/>
        </c:dLbls>
        <c:axId val="149281792"/>
        <c:axId val="149288064"/>
      </c:areaChart>
      <c:catAx>
        <c:axId val="149281792"/>
        <c:scaling>
          <c:orientation val="minMax"/>
        </c:scaling>
        <c:delete val="0"/>
        <c:axPos val="b"/>
        <c:majorGridlines>
          <c:spPr>
            <a:ln w="3175">
              <a:solidFill>
                <a:srgbClr val="000000"/>
              </a:solidFill>
              <a:prstDash val="solid"/>
            </a:ln>
          </c:spPr>
        </c:majorGridlines>
        <c:title>
          <c:tx>
            <c:rich>
              <a:bodyPr/>
              <a:lstStyle/>
              <a:p>
                <a:pPr>
                  <a:defRPr sz="1800" b="1" i="0" u="none" strike="noStrike" baseline="0">
                    <a:solidFill>
                      <a:srgbClr val="000000"/>
                    </a:solidFill>
                    <a:latin typeface="Arial"/>
                    <a:ea typeface="Arial"/>
                    <a:cs typeface="Arial"/>
                  </a:defRPr>
                </a:pPr>
                <a:r>
                  <a:rPr lang="en-US" sz="1800"/>
                  <a:t>I</a:t>
                </a:r>
                <a:r>
                  <a:rPr lang="en-US" sz="1800" baseline="-25000"/>
                  <a:t>OUT</a:t>
                </a:r>
                <a:r>
                  <a:rPr lang="en-US" sz="1800"/>
                  <a:t> (log)</a:t>
                </a:r>
              </a:p>
            </c:rich>
          </c:tx>
          <c:layout>
            <c:manualLayout>
              <c:xMode val="edge"/>
              <c:yMode val="edge"/>
              <c:x val="0.38631946821864677"/>
              <c:y val="0.88669145261689719"/>
            </c:manualLayout>
          </c:layout>
          <c:overlay val="0"/>
          <c:spPr>
            <a:noFill/>
            <a:ln w="25400">
              <a:noFill/>
            </a:ln>
          </c:spPr>
        </c:title>
        <c:numFmt formatCode="#,##0" sourceLinked="0"/>
        <c:majorTickMark val="cross"/>
        <c:minorTickMark val="none"/>
        <c:tickLblPos val="none"/>
        <c:spPr>
          <a:solidFill>
            <a:srgbClr val="FFFFFF"/>
          </a:solidFill>
          <a:ln w="3175">
            <a:solidFill>
              <a:srgbClr val="000000"/>
            </a:solidFill>
            <a:prstDash val="solid"/>
          </a:ln>
        </c:spPr>
        <c:txPr>
          <a:bodyPr rot="-5400000" vert="horz"/>
          <a:lstStyle/>
          <a:p>
            <a:pPr>
              <a:defRPr sz="1725" b="0" i="0" u="none" strike="noStrike" baseline="0">
                <a:solidFill>
                  <a:srgbClr val="000000"/>
                </a:solidFill>
                <a:latin typeface="Arial"/>
                <a:ea typeface="Arial"/>
                <a:cs typeface="Arial"/>
              </a:defRPr>
            </a:pPr>
            <a:endParaRPr lang="en-US"/>
          </a:p>
        </c:txPr>
        <c:crossAx val="149288064"/>
        <c:crosses val="autoZero"/>
        <c:auto val="1"/>
        <c:lblAlgn val="ctr"/>
        <c:lblOffset val="100"/>
        <c:tickLblSkip val="10"/>
        <c:tickMarkSkip val="10"/>
        <c:noMultiLvlLbl val="0"/>
      </c:catAx>
      <c:valAx>
        <c:axId val="149288064"/>
        <c:scaling>
          <c:orientation val="minMax"/>
          <c:max val="0.2"/>
        </c:scaling>
        <c:delete val="0"/>
        <c:axPos val="l"/>
        <c:majorGridlines>
          <c:spPr>
            <a:ln w="3175">
              <a:solidFill>
                <a:srgbClr val="000000"/>
              </a:solidFill>
              <a:prstDash val="solid"/>
            </a:ln>
          </c:spPr>
        </c:majorGridlines>
        <c:title>
          <c:tx>
            <c:rich>
              <a:bodyPr/>
              <a:lstStyle/>
              <a:p>
                <a:pPr>
                  <a:defRPr sz="1800" b="1" i="0" u="none" strike="noStrike" baseline="0">
                    <a:solidFill>
                      <a:srgbClr val="000000"/>
                    </a:solidFill>
                    <a:latin typeface="Arial"/>
                    <a:ea typeface="Arial"/>
                    <a:cs typeface="Arial"/>
                  </a:defRPr>
                </a:pPr>
                <a:r>
                  <a:rPr lang="en-US" sz="1800"/>
                  <a:t>Efficiency (%)</a:t>
                </a:r>
              </a:p>
            </c:rich>
          </c:tx>
          <c:layout>
            <c:manualLayout>
              <c:xMode val="edge"/>
              <c:yMode val="edge"/>
              <c:x val="8.9796428919729568E-2"/>
              <c:y val="0.3456705164996208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725" b="0" i="0" u="none" strike="noStrike" baseline="0">
                <a:solidFill>
                  <a:srgbClr val="000000"/>
                </a:solidFill>
                <a:latin typeface="Arial"/>
                <a:ea typeface="Arial"/>
                <a:cs typeface="Arial"/>
              </a:defRPr>
            </a:pPr>
            <a:endParaRPr lang="en-US"/>
          </a:p>
        </c:txPr>
        <c:crossAx val="149281792"/>
        <c:crosses val="autoZero"/>
        <c:crossBetween val="midCat"/>
        <c:majorUnit val="0.05"/>
      </c:valAx>
      <c:spPr>
        <a:solidFill>
          <a:srgbClr val="C0C0C0"/>
        </a:solidFill>
        <a:ln w="12700">
          <a:solidFill>
            <a:srgbClr val="808080"/>
          </a:solidFill>
          <a:prstDash val="solid"/>
        </a:ln>
      </c:spPr>
    </c:plotArea>
    <c:legend>
      <c:legendPos val="r"/>
      <c:layout>
        <c:manualLayout>
          <c:xMode val="edge"/>
          <c:yMode val="edge"/>
          <c:x val="0.69968832020997374"/>
          <c:y val="0.10033691928544838"/>
          <c:w val="0.2224131290653886"/>
          <c:h val="0.85864261581306089"/>
        </c:manualLayout>
      </c:layout>
      <c:overlay val="0"/>
      <c:spPr>
        <a:solidFill>
          <a:srgbClr val="FFFFFF"/>
        </a:solidFill>
        <a:ln w="3175">
          <a:solidFill>
            <a:srgbClr val="000000"/>
          </a:solidFill>
          <a:prstDash val="solid"/>
        </a:ln>
      </c:spPr>
      <c:txPr>
        <a:bodyPr/>
        <a:lstStyle/>
        <a:p>
          <a:pPr>
            <a:defRPr sz="1335" b="0" i="0" u="none" strike="noStrike" baseline="0">
              <a:solidFill>
                <a:srgbClr val="000000"/>
              </a:solidFill>
              <a:latin typeface="Arial"/>
              <a:ea typeface="Arial"/>
              <a:cs typeface="Arial"/>
            </a:defRPr>
          </a:pPr>
          <a:endParaRPr lang="en-US"/>
        </a:p>
      </c:txPr>
    </c:legend>
    <c:plotVisOnly val="1"/>
    <c:dispBlanksAs val="zero"/>
    <c:showDLblsOverMax val="0"/>
  </c:chart>
  <c:spPr>
    <a:solidFill>
      <a:srgbClr val="FFFFFF"/>
    </a:solidFill>
    <a:ln w="3175">
      <a:solidFill>
        <a:srgbClr val="000000"/>
      </a:solidFill>
      <a:prstDash val="solid"/>
    </a:ln>
  </c:spPr>
  <c:txPr>
    <a:bodyPr/>
    <a:lstStyle/>
    <a:p>
      <a:pPr>
        <a:defRPr sz="1725" b="0" i="0" u="none" strike="noStrike" baseline="0">
          <a:solidFill>
            <a:srgbClr val="000000"/>
          </a:solidFill>
          <a:latin typeface="Arial"/>
          <a:ea typeface="Arial"/>
          <a:cs typeface="Arial"/>
        </a:defRPr>
      </a:pPr>
      <a:endParaRPr lang="en-US"/>
    </a:p>
  </c:txPr>
  <c:printSettings>
    <c:headerFooter alignWithMargins="0"/>
    <c:pageMargins b="1" l="0.75000000000000144" r="0.75000000000000144" t="1" header="0.5" footer="0.5"/>
    <c:pageSetup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P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sz="1200"/>
              <a:t>Power</a:t>
            </a:r>
            <a:r>
              <a:rPr lang="en-US" sz="1200" baseline="0"/>
              <a:t> Losses</a:t>
            </a:r>
            <a:endParaRPr lang="en-US" sz="1200"/>
          </a:p>
        </c:rich>
      </c:tx>
      <c:layout>
        <c:manualLayout>
          <c:xMode val="edge"/>
          <c:yMode val="edge"/>
          <c:x val="0.4514301476129135"/>
          <c:y val="4.1042421157847647E-2"/>
        </c:manualLayout>
      </c:layout>
      <c:overlay val="0"/>
      <c:spPr>
        <a:noFill/>
        <a:ln w="25400">
          <a:noFill/>
        </a:ln>
      </c:spPr>
    </c:title>
    <c:autoTitleDeleted val="0"/>
    <c:plotArea>
      <c:layout>
        <c:manualLayout>
          <c:layoutTarget val="inner"/>
          <c:xMode val="edge"/>
          <c:yMode val="edge"/>
          <c:x val="0.11549893842887474"/>
          <c:y val="0.12692138023914851"/>
          <c:w val="0.81825902335456624"/>
          <c:h val="0.73598262282121851"/>
        </c:manualLayout>
      </c:layout>
      <c:scatterChart>
        <c:scatterStyle val="lineMarker"/>
        <c:varyColors val="0"/>
        <c:ser>
          <c:idx val="2"/>
          <c:order val="0"/>
          <c:tx>
            <c:strRef>
              <c:f>'PFM Efficiency'!$AA$4</c:f>
              <c:strCache>
                <c:ptCount val="1"/>
                <c:pt idx="0">
                  <c:v>High-side MOSFET Losses </c:v>
                </c:pt>
              </c:strCache>
            </c:strRef>
          </c:tx>
          <c:spPr>
            <a:ln w="25400">
              <a:solidFill>
                <a:srgbClr val="000080"/>
              </a:solidFill>
              <a:prstDash val="solid"/>
            </a:ln>
          </c:spPr>
          <c:marker>
            <c:symbol val="none"/>
          </c:marker>
          <c:xVal>
            <c:numRef>
              <c:f>'PFM Efficiency'!$BI$6:$BI$106</c:f>
              <c:numCache>
                <c:formatCode>0.00</c:formatCode>
                <c:ptCount val="101"/>
                <c:pt idx="0">
                  <c:v>0.12000000000000001</c:v>
                </c:pt>
                <c:pt idx="1">
                  <c:v>1.2</c:v>
                </c:pt>
                <c:pt idx="2">
                  <c:v>2.4</c:v>
                </c:pt>
                <c:pt idx="3">
                  <c:v>3.6</c:v>
                </c:pt>
                <c:pt idx="4">
                  <c:v>4.8</c:v>
                </c:pt>
                <c:pt idx="5">
                  <c:v>6</c:v>
                </c:pt>
                <c:pt idx="6">
                  <c:v>7.2</c:v>
                </c:pt>
                <c:pt idx="7">
                  <c:v>8.4</c:v>
                </c:pt>
                <c:pt idx="8">
                  <c:v>9.6</c:v>
                </c:pt>
                <c:pt idx="9">
                  <c:v>10.799999999999999</c:v>
                </c:pt>
                <c:pt idx="10">
                  <c:v>12</c:v>
                </c:pt>
                <c:pt idx="11">
                  <c:v>13.2</c:v>
                </c:pt>
                <c:pt idx="12">
                  <c:v>14.4</c:v>
                </c:pt>
                <c:pt idx="13">
                  <c:v>15.6</c:v>
                </c:pt>
                <c:pt idx="14">
                  <c:v>16.8</c:v>
                </c:pt>
                <c:pt idx="15">
                  <c:v>18</c:v>
                </c:pt>
                <c:pt idx="16">
                  <c:v>19.2</c:v>
                </c:pt>
                <c:pt idx="17">
                  <c:v>20.400000000000002</c:v>
                </c:pt>
                <c:pt idx="18">
                  <c:v>21.599999999999998</c:v>
                </c:pt>
                <c:pt idx="19">
                  <c:v>22.8</c:v>
                </c:pt>
                <c:pt idx="20">
                  <c:v>24</c:v>
                </c:pt>
                <c:pt idx="21">
                  <c:v>25.199999999999996</c:v>
                </c:pt>
                <c:pt idx="22">
                  <c:v>26.4</c:v>
                </c:pt>
                <c:pt idx="23">
                  <c:v>27.599999999999998</c:v>
                </c:pt>
                <c:pt idx="24">
                  <c:v>28.8</c:v>
                </c:pt>
                <c:pt idx="25">
                  <c:v>30</c:v>
                </c:pt>
                <c:pt idx="26">
                  <c:v>31.2</c:v>
                </c:pt>
                <c:pt idx="27">
                  <c:v>32.4</c:v>
                </c:pt>
                <c:pt idx="28">
                  <c:v>33.6</c:v>
                </c:pt>
                <c:pt idx="29">
                  <c:v>34.799999999999997</c:v>
                </c:pt>
                <c:pt idx="30">
                  <c:v>36</c:v>
                </c:pt>
                <c:pt idx="31">
                  <c:v>37.199999999999996</c:v>
                </c:pt>
                <c:pt idx="32">
                  <c:v>38.4</c:v>
                </c:pt>
                <c:pt idx="33">
                  <c:v>39.6</c:v>
                </c:pt>
                <c:pt idx="34">
                  <c:v>40.800000000000004</c:v>
                </c:pt>
                <c:pt idx="35">
                  <c:v>41.999999999999993</c:v>
                </c:pt>
                <c:pt idx="36">
                  <c:v>43.199999999999996</c:v>
                </c:pt>
                <c:pt idx="37">
                  <c:v>44.399999999999991</c:v>
                </c:pt>
                <c:pt idx="38">
                  <c:v>45.6</c:v>
                </c:pt>
                <c:pt idx="39">
                  <c:v>46.800000000000004</c:v>
                </c:pt>
                <c:pt idx="40">
                  <c:v>48</c:v>
                </c:pt>
                <c:pt idx="41">
                  <c:v>49.199999999999996</c:v>
                </c:pt>
                <c:pt idx="42">
                  <c:v>50.399999999999991</c:v>
                </c:pt>
                <c:pt idx="43">
                  <c:v>51.6</c:v>
                </c:pt>
                <c:pt idx="44">
                  <c:v>52.8</c:v>
                </c:pt>
                <c:pt idx="45">
                  <c:v>54</c:v>
                </c:pt>
                <c:pt idx="46">
                  <c:v>55.199999999999996</c:v>
                </c:pt>
                <c:pt idx="47">
                  <c:v>56.399999999999991</c:v>
                </c:pt>
                <c:pt idx="48">
                  <c:v>57.6</c:v>
                </c:pt>
                <c:pt idx="49">
                  <c:v>58.8</c:v>
                </c:pt>
                <c:pt idx="50">
                  <c:v>60</c:v>
                </c:pt>
                <c:pt idx="51">
                  <c:v>61.199999999999996</c:v>
                </c:pt>
                <c:pt idx="52">
                  <c:v>62.4</c:v>
                </c:pt>
                <c:pt idx="53">
                  <c:v>63.6</c:v>
                </c:pt>
                <c:pt idx="54">
                  <c:v>64.8</c:v>
                </c:pt>
                <c:pt idx="55">
                  <c:v>66</c:v>
                </c:pt>
                <c:pt idx="56">
                  <c:v>67.2</c:v>
                </c:pt>
                <c:pt idx="57">
                  <c:v>68.399999999999991</c:v>
                </c:pt>
                <c:pt idx="58">
                  <c:v>69.599999999999994</c:v>
                </c:pt>
                <c:pt idx="59">
                  <c:v>70.799999999999983</c:v>
                </c:pt>
                <c:pt idx="60">
                  <c:v>72</c:v>
                </c:pt>
                <c:pt idx="61">
                  <c:v>73.2</c:v>
                </c:pt>
                <c:pt idx="62">
                  <c:v>74.399999999999991</c:v>
                </c:pt>
                <c:pt idx="63">
                  <c:v>75.599999999999994</c:v>
                </c:pt>
                <c:pt idx="64">
                  <c:v>76.8</c:v>
                </c:pt>
                <c:pt idx="65">
                  <c:v>78</c:v>
                </c:pt>
                <c:pt idx="66">
                  <c:v>79.2</c:v>
                </c:pt>
                <c:pt idx="67">
                  <c:v>80.400000000000006</c:v>
                </c:pt>
                <c:pt idx="68">
                  <c:v>81.600000000000009</c:v>
                </c:pt>
                <c:pt idx="69">
                  <c:v>82.799999999999983</c:v>
                </c:pt>
                <c:pt idx="70">
                  <c:v>83.999999999999986</c:v>
                </c:pt>
                <c:pt idx="71">
                  <c:v>85.2</c:v>
                </c:pt>
                <c:pt idx="72">
                  <c:v>86.399999999999991</c:v>
                </c:pt>
                <c:pt idx="73">
                  <c:v>87.6</c:v>
                </c:pt>
                <c:pt idx="74">
                  <c:v>88.799999999999983</c:v>
                </c:pt>
                <c:pt idx="75">
                  <c:v>90</c:v>
                </c:pt>
                <c:pt idx="76">
                  <c:v>91.2</c:v>
                </c:pt>
                <c:pt idx="77">
                  <c:v>92.399999999999991</c:v>
                </c:pt>
                <c:pt idx="78">
                  <c:v>93.600000000000009</c:v>
                </c:pt>
                <c:pt idx="79">
                  <c:v>94.8</c:v>
                </c:pt>
                <c:pt idx="80">
                  <c:v>96</c:v>
                </c:pt>
                <c:pt idx="81">
                  <c:v>97.2</c:v>
                </c:pt>
                <c:pt idx="82">
                  <c:v>98.399999999999991</c:v>
                </c:pt>
                <c:pt idx="83">
                  <c:v>99.6</c:v>
                </c:pt>
                <c:pt idx="84">
                  <c:v>100.79999999999998</c:v>
                </c:pt>
                <c:pt idx="85">
                  <c:v>102</c:v>
                </c:pt>
                <c:pt idx="86">
                  <c:v>103.2</c:v>
                </c:pt>
                <c:pt idx="87">
                  <c:v>104.39999999999999</c:v>
                </c:pt>
                <c:pt idx="88">
                  <c:v>105.6</c:v>
                </c:pt>
                <c:pt idx="89">
                  <c:v>106.8</c:v>
                </c:pt>
                <c:pt idx="90">
                  <c:v>108</c:v>
                </c:pt>
                <c:pt idx="91">
                  <c:v>109.2</c:v>
                </c:pt>
                <c:pt idx="92">
                  <c:v>110.39999999999999</c:v>
                </c:pt>
                <c:pt idx="93">
                  <c:v>111.60000000000001</c:v>
                </c:pt>
                <c:pt idx="94">
                  <c:v>112.79999999999998</c:v>
                </c:pt>
                <c:pt idx="95">
                  <c:v>113.99999999999999</c:v>
                </c:pt>
                <c:pt idx="96">
                  <c:v>115.2</c:v>
                </c:pt>
                <c:pt idx="97">
                  <c:v>116.39999999999999</c:v>
                </c:pt>
                <c:pt idx="98">
                  <c:v>117.6</c:v>
                </c:pt>
                <c:pt idx="99">
                  <c:v>118.79999999999998</c:v>
                </c:pt>
                <c:pt idx="100">
                  <c:v>120</c:v>
                </c:pt>
              </c:numCache>
            </c:numRef>
          </c:xVal>
          <c:yVal>
            <c:numRef>
              <c:f>'PFM Efficiency'!$AH$6:$AH$106</c:f>
              <c:numCache>
                <c:formatCode>0.0000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extLst>
            <c:ext xmlns:c16="http://schemas.microsoft.com/office/drawing/2014/chart" uri="{C3380CC4-5D6E-409C-BE32-E72D297353CC}">
              <c16:uniqueId val="{00000000-7C68-41AD-A324-B9166BFDFE12}"/>
            </c:ext>
          </c:extLst>
        </c:ser>
        <c:ser>
          <c:idx val="3"/>
          <c:order val="1"/>
          <c:tx>
            <c:strRef>
              <c:f>'PFM Efficiency'!$AI$4</c:f>
              <c:strCache>
                <c:ptCount val="1"/>
                <c:pt idx="0">
                  <c:v>Low-side MOSFET Losses </c:v>
                </c:pt>
              </c:strCache>
            </c:strRef>
          </c:tx>
          <c:spPr>
            <a:ln w="25400">
              <a:solidFill>
                <a:srgbClr val="FF0000"/>
              </a:solidFill>
              <a:prstDash val="dash"/>
            </a:ln>
          </c:spPr>
          <c:marker>
            <c:symbol val="none"/>
          </c:marker>
          <c:xVal>
            <c:numRef>
              <c:f>'PFM Efficiency'!$BI$6:$BI$106</c:f>
              <c:numCache>
                <c:formatCode>0.00</c:formatCode>
                <c:ptCount val="101"/>
                <c:pt idx="0">
                  <c:v>0.12000000000000001</c:v>
                </c:pt>
                <c:pt idx="1">
                  <c:v>1.2</c:v>
                </c:pt>
                <c:pt idx="2">
                  <c:v>2.4</c:v>
                </c:pt>
                <c:pt idx="3">
                  <c:v>3.6</c:v>
                </c:pt>
                <c:pt idx="4">
                  <c:v>4.8</c:v>
                </c:pt>
                <c:pt idx="5">
                  <c:v>6</c:v>
                </c:pt>
                <c:pt idx="6">
                  <c:v>7.2</c:v>
                </c:pt>
                <c:pt idx="7">
                  <c:v>8.4</c:v>
                </c:pt>
                <c:pt idx="8">
                  <c:v>9.6</c:v>
                </c:pt>
                <c:pt idx="9">
                  <c:v>10.799999999999999</c:v>
                </c:pt>
                <c:pt idx="10">
                  <c:v>12</c:v>
                </c:pt>
                <c:pt idx="11">
                  <c:v>13.2</c:v>
                </c:pt>
                <c:pt idx="12">
                  <c:v>14.4</c:v>
                </c:pt>
                <c:pt idx="13">
                  <c:v>15.6</c:v>
                </c:pt>
                <c:pt idx="14">
                  <c:v>16.8</c:v>
                </c:pt>
                <c:pt idx="15">
                  <c:v>18</c:v>
                </c:pt>
                <c:pt idx="16">
                  <c:v>19.2</c:v>
                </c:pt>
                <c:pt idx="17">
                  <c:v>20.400000000000002</c:v>
                </c:pt>
                <c:pt idx="18">
                  <c:v>21.599999999999998</c:v>
                </c:pt>
                <c:pt idx="19">
                  <c:v>22.8</c:v>
                </c:pt>
                <c:pt idx="20">
                  <c:v>24</c:v>
                </c:pt>
                <c:pt idx="21">
                  <c:v>25.199999999999996</c:v>
                </c:pt>
                <c:pt idx="22">
                  <c:v>26.4</c:v>
                </c:pt>
                <c:pt idx="23">
                  <c:v>27.599999999999998</c:v>
                </c:pt>
                <c:pt idx="24">
                  <c:v>28.8</c:v>
                </c:pt>
                <c:pt idx="25">
                  <c:v>30</c:v>
                </c:pt>
                <c:pt idx="26">
                  <c:v>31.2</c:v>
                </c:pt>
                <c:pt idx="27">
                  <c:v>32.4</c:v>
                </c:pt>
                <c:pt idx="28">
                  <c:v>33.6</c:v>
                </c:pt>
                <c:pt idx="29">
                  <c:v>34.799999999999997</c:v>
                </c:pt>
                <c:pt idx="30">
                  <c:v>36</c:v>
                </c:pt>
                <c:pt idx="31">
                  <c:v>37.199999999999996</c:v>
                </c:pt>
                <c:pt idx="32">
                  <c:v>38.4</c:v>
                </c:pt>
                <c:pt idx="33">
                  <c:v>39.6</c:v>
                </c:pt>
                <c:pt idx="34">
                  <c:v>40.800000000000004</c:v>
                </c:pt>
                <c:pt idx="35">
                  <c:v>41.999999999999993</c:v>
                </c:pt>
                <c:pt idx="36">
                  <c:v>43.199999999999996</c:v>
                </c:pt>
                <c:pt idx="37">
                  <c:v>44.399999999999991</c:v>
                </c:pt>
                <c:pt idx="38">
                  <c:v>45.6</c:v>
                </c:pt>
                <c:pt idx="39">
                  <c:v>46.800000000000004</c:v>
                </c:pt>
                <c:pt idx="40">
                  <c:v>48</c:v>
                </c:pt>
                <c:pt idx="41">
                  <c:v>49.199999999999996</c:v>
                </c:pt>
                <c:pt idx="42">
                  <c:v>50.399999999999991</c:v>
                </c:pt>
                <c:pt idx="43">
                  <c:v>51.6</c:v>
                </c:pt>
                <c:pt idx="44">
                  <c:v>52.8</c:v>
                </c:pt>
                <c:pt idx="45">
                  <c:v>54</c:v>
                </c:pt>
                <c:pt idx="46">
                  <c:v>55.199999999999996</c:v>
                </c:pt>
                <c:pt idx="47">
                  <c:v>56.399999999999991</c:v>
                </c:pt>
                <c:pt idx="48">
                  <c:v>57.6</c:v>
                </c:pt>
                <c:pt idx="49">
                  <c:v>58.8</c:v>
                </c:pt>
                <c:pt idx="50">
                  <c:v>60</c:v>
                </c:pt>
                <c:pt idx="51">
                  <c:v>61.199999999999996</c:v>
                </c:pt>
                <c:pt idx="52">
                  <c:v>62.4</c:v>
                </c:pt>
                <c:pt idx="53">
                  <c:v>63.6</c:v>
                </c:pt>
                <c:pt idx="54">
                  <c:v>64.8</c:v>
                </c:pt>
                <c:pt idx="55">
                  <c:v>66</c:v>
                </c:pt>
                <c:pt idx="56">
                  <c:v>67.2</c:v>
                </c:pt>
                <c:pt idx="57">
                  <c:v>68.399999999999991</c:v>
                </c:pt>
                <c:pt idx="58">
                  <c:v>69.599999999999994</c:v>
                </c:pt>
                <c:pt idx="59">
                  <c:v>70.799999999999983</c:v>
                </c:pt>
                <c:pt idx="60">
                  <c:v>72</c:v>
                </c:pt>
                <c:pt idx="61">
                  <c:v>73.2</c:v>
                </c:pt>
                <c:pt idx="62">
                  <c:v>74.399999999999991</c:v>
                </c:pt>
                <c:pt idx="63">
                  <c:v>75.599999999999994</c:v>
                </c:pt>
                <c:pt idx="64">
                  <c:v>76.8</c:v>
                </c:pt>
                <c:pt idx="65">
                  <c:v>78</c:v>
                </c:pt>
                <c:pt idx="66">
                  <c:v>79.2</c:v>
                </c:pt>
                <c:pt idx="67">
                  <c:v>80.400000000000006</c:v>
                </c:pt>
                <c:pt idx="68">
                  <c:v>81.600000000000009</c:v>
                </c:pt>
                <c:pt idx="69">
                  <c:v>82.799999999999983</c:v>
                </c:pt>
                <c:pt idx="70">
                  <c:v>83.999999999999986</c:v>
                </c:pt>
                <c:pt idx="71">
                  <c:v>85.2</c:v>
                </c:pt>
                <c:pt idx="72">
                  <c:v>86.399999999999991</c:v>
                </c:pt>
                <c:pt idx="73">
                  <c:v>87.6</c:v>
                </c:pt>
                <c:pt idx="74">
                  <c:v>88.799999999999983</c:v>
                </c:pt>
                <c:pt idx="75">
                  <c:v>90</c:v>
                </c:pt>
                <c:pt idx="76">
                  <c:v>91.2</c:v>
                </c:pt>
                <c:pt idx="77">
                  <c:v>92.399999999999991</c:v>
                </c:pt>
                <c:pt idx="78">
                  <c:v>93.600000000000009</c:v>
                </c:pt>
                <c:pt idx="79">
                  <c:v>94.8</c:v>
                </c:pt>
                <c:pt idx="80">
                  <c:v>96</c:v>
                </c:pt>
                <c:pt idx="81">
                  <c:v>97.2</c:v>
                </c:pt>
                <c:pt idx="82">
                  <c:v>98.399999999999991</c:v>
                </c:pt>
                <c:pt idx="83">
                  <c:v>99.6</c:v>
                </c:pt>
                <c:pt idx="84">
                  <c:v>100.79999999999998</c:v>
                </c:pt>
                <c:pt idx="85">
                  <c:v>102</c:v>
                </c:pt>
                <c:pt idx="86">
                  <c:v>103.2</c:v>
                </c:pt>
                <c:pt idx="87">
                  <c:v>104.39999999999999</c:v>
                </c:pt>
                <c:pt idx="88">
                  <c:v>105.6</c:v>
                </c:pt>
                <c:pt idx="89">
                  <c:v>106.8</c:v>
                </c:pt>
                <c:pt idx="90">
                  <c:v>108</c:v>
                </c:pt>
                <c:pt idx="91">
                  <c:v>109.2</c:v>
                </c:pt>
                <c:pt idx="92">
                  <c:v>110.39999999999999</c:v>
                </c:pt>
                <c:pt idx="93">
                  <c:v>111.60000000000001</c:v>
                </c:pt>
                <c:pt idx="94">
                  <c:v>112.79999999999998</c:v>
                </c:pt>
                <c:pt idx="95">
                  <c:v>113.99999999999999</c:v>
                </c:pt>
                <c:pt idx="96">
                  <c:v>115.2</c:v>
                </c:pt>
                <c:pt idx="97">
                  <c:v>116.39999999999999</c:v>
                </c:pt>
                <c:pt idx="98">
                  <c:v>117.6</c:v>
                </c:pt>
                <c:pt idx="99">
                  <c:v>118.79999999999998</c:v>
                </c:pt>
                <c:pt idx="100">
                  <c:v>120</c:v>
                </c:pt>
              </c:numCache>
            </c:numRef>
          </c:xVal>
          <c:yVal>
            <c:numRef>
              <c:f>'PFM Efficiency'!$AN$6:$AN$106</c:f>
              <c:numCache>
                <c:formatCode>0.0000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extLst>
            <c:ext xmlns:c16="http://schemas.microsoft.com/office/drawing/2014/chart" uri="{C3380CC4-5D6E-409C-BE32-E72D297353CC}">
              <c16:uniqueId val="{00000001-7C68-41AD-A324-B9166BFDFE12}"/>
            </c:ext>
          </c:extLst>
        </c:ser>
        <c:ser>
          <c:idx val="0"/>
          <c:order val="2"/>
          <c:tx>
            <c:strRef>
              <c:f>'PFM Efficiency'!$Q$4</c:f>
              <c:strCache>
                <c:ptCount val="1"/>
                <c:pt idx="0">
                  <c:v>Inductor Loss</c:v>
                </c:pt>
              </c:strCache>
            </c:strRef>
          </c:tx>
          <c:spPr>
            <a:ln w="25400">
              <a:solidFill>
                <a:srgbClr val="00B050"/>
              </a:solidFill>
              <a:prstDash val="lgDash"/>
            </a:ln>
          </c:spPr>
          <c:marker>
            <c:symbol val="none"/>
          </c:marker>
          <c:xVal>
            <c:numRef>
              <c:f>'PFM Efficiency'!$BI$6:$BI$106</c:f>
              <c:numCache>
                <c:formatCode>0.00</c:formatCode>
                <c:ptCount val="101"/>
                <c:pt idx="0">
                  <c:v>0.12000000000000001</c:v>
                </c:pt>
                <c:pt idx="1">
                  <c:v>1.2</c:v>
                </c:pt>
                <c:pt idx="2">
                  <c:v>2.4</c:v>
                </c:pt>
                <c:pt idx="3">
                  <c:v>3.6</c:v>
                </c:pt>
                <c:pt idx="4">
                  <c:v>4.8</c:v>
                </c:pt>
                <c:pt idx="5">
                  <c:v>6</c:v>
                </c:pt>
                <c:pt idx="6">
                  <c:v>7.2</c:v>
                </c:pt>
                <c:pt idx="7">
                  <c:v>8.4</c:v>
                </c:pt>
                <c:pt idx="8">
                  <c:v>9.6</c:v>
                </c:pt>
                <c:pt idx="9">
                  <c:v>10.799999999999999</c:v>
                </c:pt>
                <c:pt idx="10">
                  <c:v>12</c:v>
                </c:pt>
                <c:pt idx="11">
                  <c:v>13.2</c:v>
                </c:pt>
                <c:pt idx="12">
                  <c:v>14.4</c:v>
                </c:pt>
                <c:pt idx="13">
                  <c:v>15.6</c:v>
                </c:pt>
                <c:pt idx="14">
                  <c:v>16.8</c:v>
                </c:pt>
                <c:pt idx="15">
                  <c:v>18</c:v>
                </c:pt>
                <c:pt idx="16">
                  <c:v>19.2</c:v>
                </c:pt>
                <c:pt idx="17">
                  <c:v>20.400000000000002</c:v>
                </c:pt>
                <c:pt idx="18">
                  <c:v>21.599999999999998</c:v>
                </c:pt>
                <c:pt idx="19">
                  <c:v>22.8</c:v>
                </c:pt>
                <c:pt idx="20">
                  <c:v>24</c:v>
                </c:pt>
                <c:pt idx="21">
                  <c:v>25.199999999999996</c:v>
                </c:pt>
                <c:pt idx="22">
                  <c:v>26.4</c:v>
                </c:pt>
                <c:pt idx="23">
                  <c:v>27.599999999999998</c:v>
                </c:pt>
                <c:pt idx="24">
                  <c:v>28.8</c:v>
                </c:pt>
                <c:pt idx="25">
                  <c:v>30</c:v>
                </c:pt>
                <c:pt idx="26">
                  <c:v>31.2</c:v>
                </c:pt>
                <c:pt idx="27">
                  <c:v>32.4</c:v>
                </c:pt>
                <c:pt idx="28">
                  <c:v>33.6</c:v>
                </c:pt>
                <c:pt idx="29">
                  <c:v>34.799999999999997</c:v>
                </c:pt>
                <c:pt idx="30">
                  <c:v>36</c:v>
                </c:pt>
                <c:pt idx="31">
                  <c:v>37.199999999999996</c:v>
                </c:pt>
                <c:pt idx="32">
                  <c:v>38.4</c:v>
                </c:pt>
                <c:pt idx="33">
                  <c:v>39.6</c:v>
                </c:pt>
                <c:pt idx="34">
                  <c:v>40.800000000000004</c:v>
                </c:pt>
                <c:pt idx="35">
                  <c:v>41.999999999999993</c:v>
                </c:pt>
                <c:pt idx="36">
                  <c:v>43.199999999999996</c:v>
                </c:pt>
                <c:pt idx="37">
                  <c:v>44.399999999999991</c:v>
                </c:pt>
                <c:pt idx="38">
                  <c:v>45.6</c:v>
                </c:pt>
                <c:pt idx="39">
                  <c:v>46.800000000000004</c:v>
                </c:pt>
                <c:pt idx="40">
                  <c:v>48</c:v>
                </c:pt>
                <c:pt idx="41">
                  <c:v>49.199999999999996</c:v>
                </c:pt>
                <c:pt idx="42">
                  <c:v>50.399999999999991</c:v>
                </c:pt>
                <c:pt idx="43">
                  <c:v>51.6</c:v>
                </c:pt>
                <c:pt idx="44">
                  <c:v>52.8</c:v>
                </c:pt>
                <c:pt idx="45">
                  <c:v>54</c:v>
                </c:pt>
                <c:pt idx="46">
                  <c:v>55.199999999999996</c:v>
                </c:pt>
                <c:pt idx="47">
                  <c:v>56.399999999999991</c:v>
                </c:pt>
                <c:pt idx="48">
                  <c:v>57.6</c:v>
                </c:pt>
                <c:pt idx="49">
                  <c:v>58.8</c:v>
                </c:pt>
                <c:pt idx="50">
                  <c:v>60</c:v>
                </c:pt>
                <c:pt idx="51">
                  <c:v>61.199999999999996</c:v>
                </c:pt>
                <c:pt idx="52">
                  <c:v>62.4</c:v>
                </c:pt>
                <c:pt idx="53">
                  <c:v>63.6</c:v>
                </c:pt>
                <c:pt idx="54">
                  <c:v>64.8</c:v>
                </c:pt>
                <c:pt idx="55">
                  <c:v>66</c:v>
                </c:pt>
                <c:pt idx="56">
                  <c:v>67.2</c:v>
                </c:pt>
                <c:pt idx="57">
                  <c:v>68.399999999999991</c:v>
                </c:pt>
                <c:pt idx="58">
                  <c:v>69.599999999999994</c:v>
                </c:pt>
                <c:pt idx="59">
                  <c:v>70.799999999999983</c:v>
                </c:pt>
                <c:pt idx="60">
                  <c:v>72</c:v>
                </c:pt>
                <c:pt idx="61">
                  <c:v>73.2</c:v>
                </c:pt>
                <c:pt idx="62">
                  <c:v>74.399999999999991</c:v>
                </c:pt>
                <c:pt idx="63">
                  <c:v>75.599999999999994</c:v>
                </c:pt>
                <c:pt idx="64">
                  <c:v>76.8</c:v>
                </c:pt>
                <c:pt idx="65">
                  <c:v>78</c:v>
                </c:pt>
                <c:pt idx="66">
                  <c:v>79.2</c:v>
                </c:pt>
                <c:pt idx="67">
                  <c:v>80.400000000000006</c:v>
                </c:pt>
                <c:pt idx="68">
                  <c:v>81.600000000000009</c:v>
                </c:pt>
                <c:pt idx="69">
                  <c:v>82.799999999999983</c:v>
                </c:pt>
                <c:pt idx="70">
                  <c:v>83.999999999999986</c:v>
                </c:pt>
                <c:pt idx="71">
                  <c:v>85.2</c:v>
                </c:pt>
                <c:pt idx="72">
                  <c:v>86.399999999999991</c:v>
                </c:pt>
                <c:pt idx="73">
                  <c:v>87.6</c:v>
                </c:pt>
                <c:pt idx="74">
                  <c:v>88.799999999999983</c:v>
                </c:pt>
                <c:pt idx="75">
                  <c:v>90</c:v>
                </c:pt>
                <c:pt idx="76">
                  <c:v>91.2</c:v>
                </c:pt>
                <c:pt idx="77">
                  <c:v>92.399999999999991</c:v>
                </c:pt>
                <c:pt idx="78">
                  <c:v>93.600000000000009</c:v>
                </c:pt>
                <c:pt idx="79">
                  <c:v>94.8</c:v>
                </c:pt>
                <c:pt idx="80">
                  <c:v>96</c:v>
                </c:pt>
                <c:pt idx="81">
                  <c:v>97.2</c:v>
                </c:pt>
                <c:pt idx="82">
                  <c:v>98.399999999999991</c:v>
                </c:pt>
                <c:pt idx="83">
                  <c:v>99.6</c:v>
                </c:pt>
                <c:pt idx="84">
                  <c:v>100.79999999999998</c:v>
                </c:pt>
                <c:pt idx="85">
                  <c:v>102</c:v>
                </c:pt>
                <c:pt idx="86">
                  <c:v>103.2</c:v>
                </c:pt>
                <c:pt idx="87">
                  <c:v>104.39999999999999</c:v>
                </c:pt>
                <c:pt idx="88">
                  <c:v>105.6</c:v>
                </c:pt>
                <c:pt idx="89">
                  <c:v>106.8</c:v>
                </c:pt>
                <c:pt idx="90">
                  <c:v>108</c:v>
                </c:pt>
                <c:pt idx="91">
                  <c:v>109.2</c:v>
                </c:pt>
                <c:pt idx="92">
                  <c:v>110.39999999999999</c:v>
                </c:pt>
                <c:pt idx="93">
                  <c:v>111.60000000000001</c:v>
                </c:pt>
                <c:pt idx="94">
                  <c:v>112.79999999999998</c:v>
                </c:pt>
                <c:pt idx="95">
                  <c:v>113.99999999999999</c:v>
                </c:pt>
                <c:pt idx="96">
                  <c:v>115.2</c:v>
                </c:pt>
                <c:pt idx="97">
                  <c:v>116.39999999999999</c:v>
                </c:pt>
                <c:pt idx="98">
                  <c:v>117.6</c:v>
                </c:pt>
                <c:pt idx="99">
                  <c:v>118.79999999999998</c:v>
                </c:pt>
                <c:pt idx="100">
                  <c:v>120</c:v>
                </c:pt>
              </c:numCache>
            </c:numRef>
          </c:xVal>
          <c:yVal>
            <c:numRef>
              <c:f>'PFM Efficiency'!$T$6:$T$106</c:f>
              <c:numCache>
                <c:formatCode>0.0000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extLst>
            <c:ext xmlns:c16="http://schemas.microsoft.com/office/drawing/2014/chart" uri="{C3380CC4-5D6E-409C-BE32-E72D297353CC}">
              <c16:uniqueId val="{00000002-7C68-41AD-A324-B9166BFDFE12}"/>
            </c:ext>
          </c:extLst>
        </c:ser>
        <c:dLbls>
          <c:showLegendKey val="0"/>
          <c:showVal val="0"/>
          <c:showCatName val="0"/>
          <c:showSerName val="0"/>
          <c:showPercent val="0"/>
          <c:showBubbleSize val="0"/>
        </c:dLbls>
        <c:axId val="149335424"/>
        <c:axId val="149345792"/>
      </c:scatterChart>
      <c:valAx>
        <c:axId val="149335424"/>
        <c:scaling>
          <c:orientation val="minMax"/>
          <c:min val="0"/>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a:t>Iout (mA)</a:t>
                </a:r>
              </a:p>
            </c:rich>
          </c:tx>
          <c:layout>
            <c:manualLayout>
              <c:xMode val="edge"/>
              <c:yMode val="edge"/>
              <c:x val="0.47898089171975677"/>
              <c:y val="0.92540407247482126"/>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49345792"/>
        <c:crosses val="autoZero"/>
        <c:crossBetween val="midCat"/>
      </c:valAx>
      <c:valAx>
        <c:axId val="149345792"/>
        <c:scaling>
          <c:orientation val="minMax"/>
        </c:scaling>
        <c:delete val="0"/>
        <c:axPos val="l"/>
        <c:majorGridlines>
          <c:spPr>
            <a:ln w="3175">
              <a:solidFill>
                <a:srgbClr val="000000"/>
              </a:solidFill>
              <a:prstDash val="solid"/>
            </a:ln>
          </c:spPr>
        </c:majorGridlines>
        <c:title>
          <c:tx>
            <c:rich>
              <a:bodyPr/>
              <a:lstStyle/>
              <a:p>
                <a:pPr>
                  <a:defRPr sz="1100" b="1" i="0" u="none" strike="noStrike" baseline="0">
                    <a:solidFill>
                      <a:srgbClr val="000000"/>
                    </a:solidFill>
                    <a:latin typeface="Arial"/>
                    <a:ea typeface="Arial"/>
                    <a:cs typeface="Arial"/>
                  </a:defRPr>
                </a:pPr>
                <a:r>
                  <a:rPr lang="en-US" sz="1100"/>
                  <a:t>Power Disipation (W)</a:t>
                </a:r>
              </a:p>
            </c:rich>
          </c:tx>
          <c:layout>
            <c:manualLayout>
              <c:xMode val="edge"/>
              <c:yMode val="edge"/>
              <c:x val="1.9108294020127224E-2"/>
              <c:y val="0.34886596058636199"/>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49335424"/>
        <c:crosses val="autoZero"/>
        <c:crossBetween val="midCat"/>
      </c:valAx>
      <c:spPr>
        <a:solidFill>
          <a:schemeClr val="bg1">
            <a:lumMod val="95000"/>
          </a:schemeClr>
        </a:solidFill>
        <a:ln w="12700">
          <a:solidFill>
            <a:srgbClr val="808080"/>
          </a:solidFill>
          <a:prstDash val="solid"/>
        </a:ln>
      </c:spPr>
    </c:plotArea>
    <c:legend>
      <c:legendPos val="r"/>
      <c:layout>
        <c:manualLayout>
          <c:xMode val="edge"/>
          <c:yMode val="edge"/>
          <c:x val="0.1387947067974212"/>
          <c:y val="0.18261309617634133"/>
          <c:w val="0.24873245123882812"/>
          <c:h val="0.14254009926779743"/>
        </c:manualLayout>
      </c:layout>
      <c:overlay val="0"/>
      <c:spPr>
        <a:solidFill>
          <a:srgbClr val="FFFFFF"/>
        </a:solidFill>
        <a:ln w="3175">
          <a:solidFill>
            <a:srgbClr val="000000"/>
          </a:solidFill>
          <a:prstDash val="solid"/>
        </a:ln>
      </c:spPr>
      <c:txPr>
        <a:bodyPr/>
        <a:lstStyle/>
        <a:p>
          <a:pPr>
            <a:defRPr sz="11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000000000000799" r="0.75000000000000799"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P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000000"/>
                </a:solidFill>
                <a:latin typeface="Arial"/>
                <a:ea typeface="Arial"/>
                <a:cs typeface="Arial"/>
              </a:defRPr>
            </a:pPr>
            <a:r>
              <a:rPr lang="en-US" sz="1400"/>
              <a:t>PFM Efficiency</a:t>
            </a:r>
            <a:r>
              <a:rPr lang="en-US" sz="1400" baseline="0"/>
              <a:t> </a:t>
            </a:r>
            <a:r>
              <a:rPr lang="en-US" sz="1400"/>
              <a:t>(linear scale)</a:t>
            </a:r>
          </a:p>
        </c:rich>
      </c:tx>
      <c:layout>
        <c:manualLayout>
          <c:xMode val="edge"/>
          <c:yMode val="edge"/>
          <c:x val="0.39174303593730181"/>
          <c:y val="3.0180964221577591E-2"/>
        </c:manualLayout>
      </c:layout>
      <c:overlay val="0"/>
      <c:spPr>
        <a:noFill/>
        <a:ln w="25400">
          <a:noFill/>
        </a:ln>
      </c:spPr>
    </c:title>
    <c:autoTitleDeleted val="0"/>
    <c:plotArea>
      <c:layout>
        <c:manualLayout>
          <c:layoutTarget val="inner"/>
          <c:xMode val="edge"/>
          <c:yMode val="edge"/>
          <c:x val="0.10666292925557973"/>
          <c:y val="0.11527039633828409"/>
          <c:w val="0.85836459439149781"/>
          <c:h val="0.76421691082177223"/>
        </c:manualLayout>
      </c:layout>
      <c:scatterChart>
        <c:scatterStyle val="lineMarker"/>
        <c:varyColors val="0"/>
        <c:ser>
          <c:idx val="0"/>
          <c:order val="0"/>
          <c:tx>
            <c:v>current</c:v>
          </c:tx>
          <c:spPr>
            <a:ln w="28575">
              <a:solidFill>
                <a:srgbClr val="000080"/>
              </a:solidFill>
              <a:prstDash val="solid"/>
            </a:ln>
          </c:spPr>
          <c:marker>
            <c:symbol val="none"/>
          </c:marker>
          <c:xVal>
            <c:numRef>
              <c:f>'PFM Efficiency'!$BI$6:$BI$106</c:f>
              <c:numCache>
                <c:formatCode>0.00</c:formatCode>
                <c:ptCount val="101"/>
                <c:pt idx="0">
                  <c:v>0.12000000000000001</c:v>
                </c:pt>
                <c:pt idx="1">
                  <c:v>1.2</c:v>
                </c:pt>
                <c:pt idx="2">
                  <c:v>2.4</c:v>
                </c:pt>
                <c:pt idx="3">
                  <c:v>3.6</c:v>
                </c:pt>
                <c:pt idx="4">
                  <c:v>4.8</c:v>
                </c:pt>
                <c:pt idx="5">
                  <c:v>6</c:v>
                </c:pt>
                <c:pt idx="6">
                  <c:v>7.2</c:v>
                </c:pt>
                <c:pt idx="7">
                  <c:v>8.4</c:v>
                </c:pt>
                <c:pt idx="8">
                  <c:v>9.6</c:v>
                </c:pt>
                <c:pt idx="9">
                  <c:v>10.799999999999999</c:v>
                </c:pt>
                <c:pt idx="10">
                  <c:v>12</c:v>
                </c:pt>
                <c:pt idx="11">
                  <c:v>13.2</c:v>
                </c:pt>
                <c:pt idx="12">
                  <c:v>14.4</c:v>
                </c:pt>
                <c:pt idx="13">
                  <c:v>15.6</c:v>
                </c:pt>
                <c:pt idx="14">
                  <c:v>16.8</c:v>
                </c:pt>
                <c:pt idx="15">
                  <c:v>18</c:v>
                </c:pt>
                <c:pt idx="16">
                  <c:v>19.2</c:v>
                </c:pt>
                <c:pt idx="17">
                  <c:v>20.400000000000002</c:v>
                </c:pt>
                <c:pt idx="18">
                  <c:v>21.599999999999998</c:v>
                </c:pt>
                <c:pt idx="19">
                  <c:v>22.8</c:v>
                </c:pt>
                <c:pt idx="20">
                  <c:v>24</c:v>
                </c:pt>
                <c:pt idx="21">
                  <c:v>25.199999999999996</c:v>
                </c:pt>
                <c:pt idx="22">
                  <c:v>26.4</c:v>
                </c:pt>
                <c:pt idx="23">
                  <c:v>27.599999999999998</c:v>
                </c:pt>
                <c:pt idx="24">
                  <c:v>28.8</c:v>
                </c:pt>
                <c:pt idx="25">
                  <c:v>30</c:v>
                </c:pt>
                <c:pt idx="26">
                  <c:v>31.2</c:v>
                </c:pt>
                <c:pt idx="27">
                  <c:v>32.4</c:v>
                </c:pt>
                <c:pt idx="28">
                  <c:v>33.6</c:v>
                </c:pt>
                <c:pt idx="29">
                  <c:v>34.799999999999997</c:v>
                </c:pt>
                <c:pt idx="30">
                  <c:v>36</c:v>
                </c:pt>
                <c:pt idx="31">
                  <c:v>37.199999999999996</c:v>
                </c:pt>
                <c:pt idx="32">
                  <c:v>38.4</c:v>
                </c:pt>
                <c:pt idx="33">
                  <c:v>39.6</c:v>
                </c:pt>
                <c:pt idx="34">
                  <c:v>40.800000000000004</c:v>
                </c:pt>
                <c:pt idx="35">
                  <c:v>41.999999999999993</c:v>
                </c:pt>
                <c:pt idx="36">
                  <c:v>43.199999999999996</c:v>
                </c:pt>
                <c:pt idx="37">
                  <c:v>44.399999999999991</c:v>
                </c:pt>
                <c:pt idx="38">
                  <c:v>45.6</c:v>
                </c:pt>
                <c:pt idx="39">
                  <c:v>46.800000000000004</c:v>
                </c:pt>
                <c:pt idx="40">
                  <c:v>48</c:v>
                </c:pt>
                <c:pt idx="41">
                  <c:v>49.199999999999996</c:v>
                </c:pt>
                <c:pt idx="42">
                  <c:v>50.399999999999991</c:v>
                </c:pt>
                <c:pt idx="43">
                  <c:v>51.6</c:v>
                </c:pt>
                <c:pt idx="44">
                  <c:v>52.8</c:v>
                </c:pt>
                <c:pt idx="45">
                  <c:v>54</c:v>
                </c:pt>
                <c:pt idx="46">
                  <c:v>55.199999999999996</c:v>
                </c:pt>
                <c:pt idx="47">
                  <c:v>56.399999999999991</c:v>
                </c:pt>
                <c:pt idx="48">
                  <c:v>57.6</c:v>
                </c:pt>
                <c:pt idx="49">
                  <c:v>58.8</c:v>
                </c:pt>
                <c:pt idx="50">
                  <c:v>60</c:v>
                </c:pt>
                <c:pt idx="51">
                  <c:v>61.199999999999996</c:v>
                </c:pt>
                <c:pt idx="52">
                  <c:v>62.4</c:v>
                </c:pt>
                <c:pt idx="53">
                  <c:v>63.6</c:v>
                </c:pt>
                <c:pt idx="54">
                  <c:v>64.8</c:v>
                </c:pt>
                <c:pt idx="55">
                  <c:v>66</c:v>
                </c:pt>
                <c:pt idx="56">
                  <c:v>67.2</c:v>
                </c:pt>
                <c:pt idx="57">
                  <c:v>68.399999999999991</c:v>
                </c:pt>
                <c:pt idx="58">
                  <c:v>69.599999999999994</c:v>
                </c:pt>
                <c:pt idx="59">
                  <c:v>70.799999999999983</c:v>
                </c:pt>
                <c:pt idx="60">
                  <c:v>72</c:v>
                </c:pt>
                <c:pt idx="61">
                  <c:v>73.2</c:v>
                </c:pt>
                <c:pt idx="62">
                  <c:v>74.399999999999991</c:v>
                </c:pt>
                <c:pt idx="63">
                  <c:v>75.599999999999994</c:v>
                </c:pt>
                <c:pt idx="64">
                  <c:v>76.8</c:v>
                </c:pt>
                <c:pt idx="65">
                  <c:v>78</c:v>
                </c:pt>
                <c:pt idx="66">
                  <c:v>79.2</c:v>
                </c:pt>
                <c:pt idx="67">
                  <c:v>80.400000000000006</c:v>
                </c:pt>
                <c:pt idx="68">
                  <c:v>81.600000000000009</c:v>
                </c:pt>
                <c:pt idx="69">
                  <c:v>82.799999999999983</c:v>
                </c:pt>
                <c:pt idx="70">
                  <c:v>83.999999999999986</c:v>
                </c:pt>
                <c:pt idx="71">
                  <c:v>85.2</c:v>
                </c:pt>
                <c:pt idx="72">
                  <c:v>86.399999999999991</c:v>
                </c:pt>
                <c:pt idx="73">
                  <c:v>87.6</c:v>
                </c:pt>
                <c:pt idx="74">
                  <c:v>88.799999999999983</c:v>
                </c:pt>
                <c:pt idx="75">
                  <c:v>90</c:v>
                </c:pt>
                <c:pt idx="76">
                  <c:v>91.2</c:v>
                </c:pt>
                <c:pt idx="77">
                  <c:v>92.399999999999991</c:v>
                </c:pt>
                <c:pt idx="78">
                  <c:v>93.600000000000009</c:v>
                </c:pt>
                <c:pt idx="79">
                  <c:v>94.8</c:v>
                </c:pt>
                <c:pt idx="80">
                  <c:v>96</c:v>
                </c:pt>
                <c:pt idx="81">
                  <c:v>97.2</c:v>
                </c:pt>
                <c:pt idx="82">
                  <c:v>98.399999999999991</c:v>
                </c:pt>
                <c:pt idx="83">
                  <c:v>99.6</c:v>
                </c:pt>
                <c:pt idx="84">
                  <c:v>100.79999999999998</c:v>
                </c:pt>
                <c:pt idx="85">
                  <c:v>102</c:v>
                </c:pt>
                <c:pt idx="86">
                  <c:v>103.2</c:v>
                </c:pt>
                <c:pt idx="87">
                  <c:v>104.39999999999999</c:v>
                </c:pt>
                <c:pt idx="88">
                  <c:v>105.6</c:v>
                </c:pt>
                <c:pt idx="89">
                  <c:v>106.8</c:v>
                </c:pt>
                <c:pt idx="90">
                  <c:v>108</c:v>
                </c:pt>
                <c:pt idx="91">
                  <c:v>109.2</c:v>
                </c:pt>
                <c:pt idx="92">
                  <c:v>110.39999999999999</c:v>
                </c:pt>
                <c:pt idx="93">
                  <c:v>111.60000000000001</c:v>
                </c:pt>
                <c:pt idx="94">
                  <c:v>112.79999999999998</c:v>
                </c:pt>
                <c:pt idx="95">
                  <c:v>113.99999999999999</c:v>
                </c:pt>
                <c:pt idx="96">
                  <c:v>115.2</c:v>
                </c:pt>
                <c:pt idx="97">
                  <c:v>116.39999999999999</c:v>
                </c:pt>
                <c:pt idx="98">
                  <c:v>117.6</c:v>
                </c:pt>
                <c:pt idx="99">
                  <c:v>118.79999999999998</c:v>
                </c:pt>
                <c:pt idx="100">
                  <c:v>120</c:v>
                </c:pt>
              </c:numCache>
            </c:numRef>
          </c:xVal>
          <c:yVal>
            <c:numRef>
              <c:f>'PFM Efficiency'!$BH$6:$BH$106</c:f>
              <c:numCache>
                <c:formatCode>0.000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extLst>
            <c:ext xmlns:c16="http://schemas.microsoft.com/office/drawing/2014/chart" uri="{C3380CC4-5D6E-409C-BE32-E72D297353CC}">
              <c16:uniqueId val="{00000000-6567-44B4-8B5E-FA67D1BB589A}"/>
            </c:ext>
          </c:extLst>
        </c:ser>
        <c:ser>
          <c:idx val="1"/>
          <c:order val="1"/>
          <c:tx>
            <c:v>previous</c:v>
          </c:tx>
          <c:spPr>
            <a:ln>
              <a:prstDash val="sysDash"/>
            </a:ln>
          </c:spPr>
          <c:marker>
            <c:symbol val="none"/>
          </c:marker>
          <c:xVal>
            <c:numRef>
              <c:f>'PFM Efficiency'!$BI$6:$BI$106</c:f>
              <c:numCache>
                <c:formatCode>0.00</c:formatCode>
                <c:ptCount val="101"/>
                <c:pt idx="0">
                  <c:v>0.12000000000000001</c:v>
                </c:pt>
                <c:pt idx="1">
                  <c:v>1.2</c:v>
                </c:pt>
                <c:pt idx="2">
                  <c:v>2.4</c:v>
                </c:pt>
                <c:pt idx="3">
                  <c:v>3.6</c:v>
                </c:pt>
                <c:pt idx="4">
                  <c:v>4.8</c:v>
                </c:pt>
                <c:pt idx="5">
                  <c:v>6</c:v>
                </c:pt>
                <c:pt idx="6">
                  <c:v>7.2</c:v>
                </c:pt>
                <c:pt idx="7">
                  <c:v>8.4</c:v>
                </c:pt>
                <c:pt idx="8">
                  <c:v>9.6</c:v>
                </c:pt>
                <c:pt idx="9">
                  <c:v>10.799999999999999</c:v>
                </c:pt>
                <c:pt idx="10">
                  <c:v>12</c:v>
                </c:pt>
                <c:pt idx="11">
                  <c:v>13.2</c:v>
                </c:pt>
                <c:pt idx="12">
                  <c:v>14.4</c:v>
                </c:pt>
                <c:pt idx="13">
                  <c:v>15.6</c:v>
                </c:pt>
                <c:pt idx="14">
                  <c:v>16.8</c:v>
                </c:pt>
                <c:pt idx="15">
                  <c:v>18</c:v>
                </c:pt>
                <c:pt idx="16">
                  <c:v>19.2</c:v>
                </c:pt>
                <c:pt idx="17">
                  <c:v>20.400000000000002</c:v>
                </c:pt>
                <c:pt idx="18">
                  <c:v>21.599999999999998</c:v>
                </c:pt>
                <c:pt idx="19">
                  <c:v>22.8</c:v>
                </c:pt>
                <c:pt idx="20">
                  <c:v>24</c:v>
                </c:pt>
                <c:pt idx="21">
                  <c:v>25.199999999999996</c:v>
                </c:pt>
                <c:pt idx="22">
                  <c:v>26.4</c:v>
                </c:pt>
                <c:pt idx="23">
                  <c:v>27.599999999999998</c:v>
                </c:pt>
                <c:pt idx="24">
                  <c:v>28.8</c:v>
                </c:pt>
                <c:pt idx="25">
                  <c:v>30</c:v>
                </c:pt>
                <c:pt idx="26">
                  <c:v>31.2</c:v>
                </c:pt>
                <c:pt idx="27">
                  <c:v>32.4</c:v>
                </c:pt>
                <c:pt idx="28">
                  <c:v>33.6</c:v>
                </c:pt>
                <c:pt idx="29">
                  <c:v>34.799999999999997</c:v>
                </c:pt>
                <c:pt idx="30">
                  <c:v>36</c:v>
                </c:pt>
                <c:pt idx="31">
                  <c:v>37.199999999999996</c:v>
                </c:pt>
                <c:pt idx="32">
                  <c:v>38.4</c:v>
                </c:pt>
                <c:pt idx="33">
                  <c:v>39.6</c:v>
                </c:pt>
                <c:pt idx="34">
                  <c:v>40.800000000000004</c:v>
                </c:pt>
                <c:pt idx="35">
                  <c:v>41.999999999999993</c:v>
                </c:pt>
                <c:pt idx="36">
                  <c:v>43.199999999999996</c:v>
                </c:pt>
                <c:pt idx="37">
                  <c:v>44.399999999999991</c:v>
                </c:pt>
                <c:pt idx="38">
                  <c:v>45.6</c:v>
                </c:pt>
                <c:pt idx="39">
                  <c:v>46.800000000000004</c:v>
                </c:pt>
                <c:pt idx="40">
                  <c:v>48</c:v>
                </c:pt>
                <c:pt idx="41">
                  <c:v>49.199999999999996</c:v>
                </c:pt>
                <c:pt idx="42">
                  <c:v>50.399999999999991</c:v>
                </c:pt>
                <c:pt idx="43">
                  <c:v>51.6</c:v>
                </c:pt>
                <c:pt idx="44">
                  <c:v>52.8</c:v>
                </c:pt>
                <c:pt idx="45">
                  <c:v>54</c:v>
                </c:pt>
                <c:pt idx="46">
                  <c:v>55.199999999999996</c:v>
                </c:pt>
                <c:pt idx="47">
                  <c:v>56.399999999999991</c:v>
                </c:pt>
                <c:pt idx="48">
                  <c:v>57.6</c:v>
                </c:pt>
                <c:pt idx="49">
                  <c:v>58.8</c:v>
                </c:pt>
                <c:pt idx="50">
                  <c:v>60</c:v>
                </c:pt>
                <c:pt idx="51">
                  <c:v>61.199999999999996</c:v>
                </c:pt>
                <c:pt idx="52">
                  <c:v>62.4</c:v>
                </c:pt>
                <c:pt idx="53">
                  <c:v>63.6</c:v>
                </c:pt>
                <c:pt idx="54">
                  <c:v>64.8</c:v>
                </c:pt>
                <c:pt idx="55">
                  <c:v>66</c:v>
                </c:pt>
                <c:pt idx="56">
                  <c:v>67.2</c:v>
                </c:pt>
                <c:pt idx="57">
                  <c:v>68.399999999999991</c:v>
                </c:pt>
                <c:pt idx="58">
                  <c:v>69.599999999999994</c:v>
                </c:pt>
                <c:pt idx="59">
                  <c:v>70.799999999999983</c:v>
                </c:pt>
                <c:pt idx="60">
                  <c:v>72</c:v>
                </c:pt>
                <c:pt idx="61">
                  <c:v>73.2</c:v>
                </c:pt>
                <c:pt idx="62">
                  <c:v>74.399999999999991</c:v>
                </c:pt>
                <c:pt idx="63">
                  <c:v>75.599999999999994</c:v>
                </c:pt>
                <c:pt idx="64">
                  <c:v>76.8</c:v>
                </c:pt>
                <c:pt idx="65">
                  <c:v>78</c:v>
                </c:pt>
                <c:pt idx="66">
                  <c:v>79.2</c:v>
                </c:pt>
                <c:pt idx="67">
                  <c:v>80.400000000000006</c:v>
                </c:pt>
                <c:pt idx="68">
                  <c:v>81.600000000000009</c:v>
                </c:pt>
                <c:pt idx="69">
                  <c:v>82.799999999999983</c:v>
                </c:pt>
                <c:pt idx="70">
                  <c:v>83.999999999999986</c:v>
                </c:pt>
                <c:pt idx="71">
                  <c:v>85.2</c:v>
                </c:pt>
                <c:pt idx="72">
                  <c:v>86.399999999999991</c:v>
                </c:pt>
                <c:pt idx="73">
                  <c:v>87.6</c:v>
                </c:pt>
                <c:pt idx="74">
                  <c:v>88.799999999999983</c:v>
                </c:pt>
                <c:pt idx="75">
                  <c:v>90</c:v>
                </c:pt>
                <c:pt idx="76">
                  <c:v>91.2</c:v>
                </c:pt>
                <c:pt idx="77">
                  <c:v>92.399999999999991</c:v>
                </c:pt>
                <c:pt idx="78">
                  <c:v>93.600000000000009</c:v>
                </c:pt>
                <c:pt idx="79">
                  <c:v>94.8</c:v>
                </c:pt>
                <c:pt idx="80">
                  <c:v>96</c:v>
                </c:pt>
                <c:pt idx="81">
                  <c:v>97.2</c:v>
                </c:pt>
                <c:pt idx="82">
                  <c:v>98.399999999999991</c:v>
                </c:pt>
                <c:pt idx="83">
                  <c:v>99.6</c:v>
                </c:pt>
                <c:pt idx="84">
                  <c:v>100.79999999999998</c:v>
                </c:pt>
                <c:pt idx="85">
                  <c:v>102</c:v>
                </c:pt>
                <c:pt idx="86">
                  <c:v>103.2</c:v>
                </c:pt>
                <c:pt idx="87">
                  <c:v>104.39999999999999</c:v>
                </c:pt>
                <c:pt idx="88">
                  <c:v>105.6</c:v>
                </c:pt>
                <c:pt idx="89">
                  <c:v>106.8</c:v>
                </c:pt>
                <c:pt idx="90">
                  <c:v>108</c:v>
                </c:pt>
                <c:pt idx="91">
                  <c:v>109.2</c:v>
                </c:pt>
                <c:pt idx="92">
                  <c:v>110.39999999999999</c:v>
                </c:pt>
                <c:pt idx="93">
                  <c:v>111.60000000000001</c:v>
                </c:pt>
                <c:pt idx="94">
                  <c:v>112.79999999999998</c:v>
                </c:pt>
                <c:pt idx="95">
                  <c:v>113.99999999999999</c:v>
                </c:pt>
                <c:pt idx="96">
                  <c:v>115.2</c:v>
                </c:pt>
                <c:pt idx="97">
                  <c:v>116.39999999999999</c:v>
                </c:pt>
                <c:pt idx="98">
                  <c:v>117.6</c:v>
                </c:pt>
                <c:pt idx="99">
                  <c:v>118.79999999999998</c:v>
                </c:pt>
                <c:pt idx="100">
                  <c:v>120</c:v>
                </c:pt>
              </c:numCache>
            </c:numRef>
          </c:xVal>
          <c:yVal>
            <c:numRef>
              <c:f>'PFM Efficiency'!$BJ$6:$BJ$106</c:f>
              <c:numCache>
                <c:formatCode>0.00</c:formatCode>
                <c:ptCount val="101"/>
                <c:pt idx="0">
                  <c:v>47.143854993629823</c:v>
                </c:pt>
                <c:pt idx="1">
                  <c:v>84.462030988011534</c:v>
                </c:pt>
                <c:pt idx="2">
                  <c:v>88.347522731946256</c:v>
                </c:pt>
                <c:pt idx="3">
                  <c:v>89.723560477667675</c:v>
                </c:pt>
                <c:pt idx="4">
                  <c:v>90.427928272599317</c:v>
                </c:pt>
                <c:pt idx="5">
                  <c:v>90.856002505810849</c:v>
                </c:pt>
                <c:pt idx="6">
                  <c:v>91.143744732156421</c:v>
                </c:pt>
                <c:pt idx="7">
                  <c:v>91.350479962854209</c:v>
                </c:pt>
                <c:pt idx="8">
                  <c:v>91.506224006568289</c:v>
                </c:pt>
                <c:pt idx="9">
                  <c:v>91.627793739029357</c:v>
                </c:pt>
                <c:pt idx="10">
                  <c:v>91.725343535721109</c:v>
                </c:pt>
                <c:pt idx="11">
                  <c:v>91.805367362427361</c:v>
                </c:pt>
                <c:pt idx="12">
                  <c:v>91.872211787054709</c:v>
                </c:pt>
                <c:pt idx="13">
                  <c:v>91.928895820277532</c:v>
                </c:pt>
                <c:pt idx="14">
                  <c:v>91.977581799582111</c:v>
                </c:pt>
                <c:pt idx="15">
                  <c:v>92.019859122876866</c:v>
                </c:pt>
                <c:pt idx="16">
                  <c:v>92.056922219446761</c:v>
                </c:pt>
                <c:pt idx="17">
                  <c:v>92.089686061935154</c:v>
                </c:pt>
                <c:pt idx="18">
                  <c:v>92.118863379516469</c:v>
                </c:pt>
                <c:pt idx="19">
                  <c:v>92.145017611092783</c:v>
                </c:pt>
                <c:pt idx="20">
                  <c:v>92.168600048761547</c:v>
                </c:pt>
                <c:pt idx="21">
                  <c:v>92.189976417374325</c:v>
                </c:pt>
                <c:pt idx="22">
                  <c:v>92.20944623676111</c:v>
                </c:pt>
                <c:pt idx="23">
                  <c:v>92.227257154029004</c:v>
                </c:pt>
                <c:pt idx="24">
                  <c:v>92.243615707125457</c:v>
                </c:pt>
                <c:pt idx="25">
                  <c:v>92.258695515072404</c:v>
                </c:pt>
                <c:pt idx="26">
                  <c:v>92.272643585130709</c:v>
                </c:pt>
                <c:pt idx="27">
                  <c:v>92.285585223360243</c:v>
                </c:pt>
                <c:pt idx="28">
                  <c:v>92.297627896528766</c:v>
                </c:pt>
                <c:pt idx="29">
                  <c:v>92.308864297653088</c:v>
                </c:pt>
                <c:pt idx="30">
                  <c:v>92.319374800396361</c:v>
                </c:pt>
                <c:pt idx="31">
                  <c:v>92.329229439893751</c:v>
                </c:pt>
                <c:pt idx="32">
                  <c:v>92.338489523289027</c:v>
                </c:pt>
                <c:pt idx="33">
                  <c:v>92.347208948299397</c:v>
                </c:pt>
                <c:pt idx="34">
                  <c:v>92.355435289750346</c:v>
                </c:pt>
                <c:pt idx="35">
                  <c:v>92.36321070035909</c:v>
                </c:pt>
                <c:pt idx="36">
                  <c:v>92.370572661788287</c:v>
                </c:pt>
                <c:pt idx="37">
                  <c:v>92.377554614223854</c:v>
                </c:pt>
                <c:pt idx="38">
                  <c:v>92.384186486797105</c:v>
                </c:pt>
                <c:pt idx="39">
                  <c:v>92.390495146604792</c:v>
                </c:pt>
                <c:pt idx="40">
                  <c:v>92.396504780537882</c:v>
                </c:pt>
                <c:pt idx="41">
                  <c:v>92.40223722136399</c:v>
                </c:pt>
                <c:pt idx="42">
                  <c:v>92.407712227333235</c:v>
                </c:pt>
                <c:pt idx="43">
                  <c:v>92.412947722856345</c:v>
                </c:pt>
                <c:pt idx="44">
                  <c:v>92.417960006434967</c:v>
                </c:pt>
                <c:pt idx="45">
                  <c:v>92.42276393092682</c:v>
                </c:pt>
                <c:pt idx="46">
                  <c:v>92.42737306034725</c:v>
                </c:pt>
                <c:pt idx="47">
                  <c:v>92.431799806694343</c:v>
                </c:pt>
                <c:pt idx="48">
                  <c:v>92.436055549705159</c:v>
                </c:pt>
                <c:pt idx="49">
                  <c:v>92.440150741976623</c:v>
                </c:pt>
                <c:pt idx="50">
                  <c:v>92.444095001495995</c:v>
                </c:pt>
                <c:pt idx="51">
                  <c:v>92.447897193306034</c:v>
                </c:pt>
                <c:pt idx="52">
                  <c:v>92.451565501764364</c:v>
                </c:pt>
                <c:pt idx="53">
                  <c:v>92.455107494637488</c:v>
                </c:pt>
                <c:pt idx="54">
                  <c:v>92.458530180085759</c:v>
                </c:pt>
                <c:pt idx="55">
                  <c:v>92.461840057442586</c:v>
                </c:pt>
                <c:pt idx="56">
                  <c:v>92.46504316256231</c:v>
                </c:pt>
                <c:pt idx="57">
                  <c:v>92.468145108402524</c:v>
                </c:pt>
                <c:pt idx="58">
                  <c:v>92.471151121415275</c:v>
                </c:pt>
                <c:pt idx="59">
                  <c:v>92.474066074243098</c:v>
                </c:pt>
                <c:pt idx="60">
                  <c:v>92.476894515150917</c:v>
                </c:pt>
                <c:pt idx="61">
                  <c:v>92.479640694567323</c:v>
                </c:pt>
                <c:pt idx="62">
                  <c:v>92.482308589061347</c:v>
                </c:pt>
                <c:pt idx="63">
                  <c:v>92.484901923038976</c:v>
                </c:pt>
                <c:pt idx="64">
                  <c:v>92.487424188408724</c:v>
                </c:pt>
                <c:pt idx="65">
                  <c:v>92.489878662434649</c:v>
                </c:pt>
                <c:pt idx="66">
                  <c:v>92.492268423968255</c:v>
                </c:pt>
                <c:pt idx="67">
                  <c:v>92.494596368229239</c:v>
                </c:pt>
                <c:pt idx="68">
                  <c:v>92.496865220283595</c:v>
                </c:pt>
                <c:pt idx="69">
                  <c:v>92.49907754735132</c:v>
                </c:pt>
                <c:pt idx="70">
                  <c:v>92.501235770060475</c:v>
                </c:pt>
                <c:pt idx="71">
                  <c:v>92.503342172751601</c:v>
                </c:pt>
                <c:pt idx="72">
                  <c:v>92.505398912924278</c:v>
                </c:pt>
                <c:pt idx="73">
                  <c:v>92.50740802990839</c:v>
                </c:pt>
                <c:pt idx="74">
                  <c:v>92.509371452833022</c:v>
                </c:pt>
                <c:pt idx="75">
                  <c:v>92.511291007958761</c:v>
                </c:pt>
                <c:pt idx="76">
                  <c:v>92.513168425431559</c:v>
                </c:pt>
                <c:pt idx="77">
                  <c:v>92.515005345511099</c:v>
                </c:pt>
                <c:pt idx="78">
                  <c:v>92.51680332432062</c:v>
                </c:pt>
                <c:pt idx="79">
                  <c:v>92.518563839160237</c:v>
                </c:pt>
                <c:pt idx="80">
                  <c:v>92.520288293422482</c:v>
                </c:pt>
                <c:pt idx="81">
                  <c:v>92.521978021143966</c:v>
                </c:pt>
                <c:pt idx="82">
                  <c:v>92.523634291224241</c:v>
                </c:pt>
                <c:pt idx="83">
                  <c:v>92.525258311340167</c:v>
                </c:pt>
                <c:pt idx="84">
                  <c:v>92.526851231580764</c:v>
                </c:pt>
                <c:pt idx="85">
                  <c:v>92.528414147825814</c:v>
                </c:pt>
                <c:pt idx="86">
                  <c:v>92.529948104888888</c:v>
                </c:pt>
                <c:pt idx="87">
                  <c:v>92.53145409944392</c:v>
                </c:pt>
                <c:pt idx="88">
                  <c:v>92.532933082752166</c:v>
                </c:pt>
                <c:pt idx="89">
                  <c:v>92.534385963205779</c:v>
                </c:pt>
                <c:pt idx="90">
                  <c:v>92.535813608701574</c:v>
                </c:pt>
                <c:pt idx="91">
                  <c:v>92.53721684885879</c:v>
                </c:pt>
                <c:pt idx="92">
                  <c:v>92.538596477091943</c:v>
                </c:pt>
                <c:pt idx="93">
                  <c:v>92.539953252550276</c:v>
                </c:pt>
                <c:pt idx="94">
                  <c:v>92.541287901933401</c:v>
                </c:pt>
                <c:pt idx="95">
                  <c:v>92.542601121192305</c:v>
                </c:pt>
                <c:pt idx="96">
                  <c:v>92.54389357712418</c:v>
                </c:pt>
                <c:pt idx="97">
                  <c:v>92.545165908868611</c:v>
                </c:pt>
                <c:pt idx="98">
                  <c:v>92.546418729312109</c:v>
                </c:pt>
                <c:pt idx="99">
                  <c:v>92.547652626407782</c:v>
                </c:pt>
                <c:pt idx="100">
                  <c:v>92.54886816441558</c:v>
                </c:pt>
              </c:numCache>
            </c:numRef>
          </c:yVal>
          <c:smooth val="0"/>
          <c:extLst>
            <c:ext xmlns:c16="http://schemas.microsoft.com/office/drawing/2014/chart" uri="{C3380CC4-5D6E-409C-BE32-E72D297353CC}">
              <c16:uniqueId val="{00000001-6567-44B4-8B5E-FA67D1BB589A}"/>
            </c:ext>
          </c:extLst>
        </c:ser>
        <c:dLbls>
          <c:showLegendKey val="0"/>
          <c:showVal val="0"/>
          <c:showCatName val="0"/>
          <c:showSerName val="0"/>
          <c:showPercent val="0"/>
          <c:showBubbleSize val="0"/>
        </c:dLbls>
        <c:axId val="151463040"/>
        <c:axId val="151464960"/>
      </c:scatterChart>
      <c:valAx>
        <c:axId val="151463040"/>
        <c:scaling>
          <c:orientation val="minMax"/>
          <c:min val="0"/>
        </c:scaling>
        <c:delete val="0"/>
        <c:axPos val="b"/>
        <c:majorGridlines/>
        <c:minorGridlines/>
        <c:title>
          <c:tx>
            <c:rich>
              <a:bodyPr/>
              <a:lstStyle/>
              <a:p>
                <a:pPr>
                  <a:defRPr sz="1100" b="1" i="0" u="none" strike="noStrike" baseline="0">
                    <a:solidFill>
                      <a:srgbClr val="000000"/>
                    </a:solidFill>
                    <a:latin typeface="Arial"/>
                    <a:ea typeface="Arial"/>
                    <a:cs typeface="Arial"/>
                  </a:defRPr>
                </a:pPr>
                <a:r>
                  <a:rPr lang="en-US" sz="1100"/>
                  <a:t>Iout (mA)</a:t>
                </a:r>
              </a:p>
            </c:rich>
          </c:tx>
          <c:layout>
            <c:manualLayout>
              <c:xMode val="edge"/>
              <c:yMode val="edge"/>
              <c:x val="0.48181816967535718"/>
              <c:y val="0.9456740634693408"/>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1100" b="1" i="0" u="none" strike="noStrike" baseline="0">
                <a:solidFill>
                  <a:srgbClr val="000000"/>
                </a:solidFill>
                <a:latin typeface="Arial"/>
                <a:ea typeface="Arial"/>
                <a:cs typeface="Arial"/>
              </a:defRPr>
            </a:pPr>
            <a:endParaRPr lang="en-US"/>
          </a:p>
        </c:txPr>
        <c:crossAx val="151464960"/>
        <c:crossesAt val="1.000000000000004E-4"/>
        <c:crossBetween val="midCat"/>
      </c:valAx>
      <c:valAx>
        <c:axId val="151464960"/>
        <c:scaling>
          <c:orientation val="minMax"/>
          <c:max val="95"/>
          <c:min val="65"/>
        </c:scaling>
        <c:delete val="0"/>
        <c:axPos val="l"/>
        <c:majorGridlines>
          <c:spPr>
            <a:ln w="3175">
              <a:solidFill>
                <a:srgbClr val="000000"/>
              </a:solidFill>
              <a:prstDash val="solid"/>
            </a:ln>
          </c:spPr>
        </c:majorGridlines>
        <c:minorGridlines/>
        <c:title>
          <c:tx>
            <c:rich>
              <a:bodyPr/>
              <a:lstStyle/>
              <a:p>
                <a:pPr>
                  <a:defRPr sz="1100" b="1" i="0" u="none" strike="noStrike" baseline="0">
                    <a:solidFill>
                      <a:srgbClr val="000000"/>
                    </a:solidFill>
                    <a:latin typeface="Arial"/>
                    <a:ea typeface="Arial"/>
                    <a:cs typeface="Arial"/>
                  </a:defRPr>
                </a:pPr>
                <a:r>
                  <a:rPr lang="en-US" sz="1100"/>
                  <a:t>Efficiency (%)</a:t>
                </a:r>
              </a:p>
            </c:rich>
          </c:tx>
          <c:layout>
            <c:manualLayout>
              <c:xMode val="edge"/>
              <c:yMode val="edge"/>
              <c:x val="4.7203607527782432E-3"/>
              <c:y val="0.3571946291826809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100" b="1" i="0" u="none" strike="noStrike" baseline="0">
                <a:solidFill>
                  <a:srgbClr val="000000"/>
                </a:solidFill>
                <a:latin typeface="Arial"/>
                <a:ea typeface="Arial"/>
                <a:cs typeface="Arial"/>
              </a:defRPr>
            </a:pPr>
            <a:endParaRPr lang="en-US"/>
          </a:p>
        </c:txPr>
        <c:crossAx val="151463040"/>
        <c:crossesAt val="1.0000000000000036E-4"/>
        <c:crossBetween val="midCat"/>
        <c:majorUnit val="5"/>
        <c:minorUnit val="2.5"/>
      </c:valAx>
      <c:spPr>
        <a:solidFill>
          <a:schemeClr val="bg1">
            <a:lumMod val="95000"/>
          </a:schemeClr>
        </a:solidFill>
        <a:ln w="38100">
          <a:solidFill>
            <a:srgbClr val="808080"/>
          </a:solidFill>
          <a:prstDash val="solid"/>
        </a:ln>
      </c:spPr>
    </c:plotArea>
    <c:legend>
      <c:legendPos val="r"/>
      <c:layout>
        <c:manualLayout>
          <c:xMode val="edge"/>
          <c:yMode val="edge"/>
          <c:x val="0.78563452839671633"/>
          <c:y val="0.7469694027972531"/>
          <c:w val="0.15539326668135944"/>
          <c:h val="9.5379070439161509E-2"/>
        </c:manualLayout>
      </c:layout>
      <c:overlay val="0"/>
      <c:spPr>
        <a:solidFill>
          <a:srgbClr val="FFFFFF"/>
        </a:solidFill>
        <a:ln w="3175">
          <a:solidFill>
            <a:srgbClr val="000000"/>
          </a:solidFill>
          <a:prstDash val="solid"/>
        </a:ln>
      </c:spPr>
      <c:txPr>
        <a:bodyPr/>
        <a:lstStyle/>
        <a:p>
          <a:pPr>
            <a:defRPr sz="9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noFill/>
      <a:prstDash val="solid"/>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000000000000167" r="0.75000000000000167"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P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25" b="1" i="0" u="none" strike="noStrike" baseline="0">
                <a:solidFill>
                  <a:srgbClr val="000000"/>
                </a:solidFill>
                <a:latin typeface="Arial"/>
                <a:ea typeface="Arial"/>
                <a:cs typeface="Arial"/>
              </a:defRPr>
            </a:pPr>
            <a:r>
              <a:rPr lang="en-US"/>
              <a:t>Burst</a:t>
            </a:r>
            <a:r>
              <a:rPr lang="en-US" baseline="0"/>
              <a:t> Mode Frequency </a:t>
            </a:r>
            <a:r>
              <a:rPr lang="en-US"/>
              <a:t>vs. Output Current</a:t>
            </a:r>
          </a:p>
        </c:rich>
      </c:tx>
      <c:layout>
        <c:manualLayout>
          <c:xMode val="edge"/>
          <c:yMode val="edge"/>
          <c:x val="0.34724800176676945"/>
          <c:y val="3.6508881865404873E-2"/>
        </c:manualLayout>
      </c:layout>
      <c:overlay val="0"/>
      <c:spPr>
        <a:noFill/>
        <a:ln w="25400">
          <a:noFill/>
        </a:ln>
      </c:spPr>
    </c:title>
    <c:autoTitleDeleted val="0"/>
    <c:plotArea>
      <c:layout>
        <c:manualLayout>
          <c:layoutTarget val="inner"/>
          <c:xMode val="edge"/>
          <c:yMode val="edge"/>
          <c:x val="9.0605764978420322E-2"/>
          <c:y val="0.13615023474178403"/>
          <c:w val="0.87442181767902127"/>
          <c:h val="0.73644226026271076"/>
        </c:manualLayout>
      </c:layout>
      <c:scatterChart>
        <c:scatterStyle val="lineMarker"/>
        <c:varyColors val="0"/>
        <c:ser>
          <c:idx val="2"/>
          <c:order val="0"/>
          <c:tx>
            <c:strRef>
              <c:f>'PFM Efficiency'!$BL$5</c:f>
              <c:strCache>
                <c:ptCount val="1"/>
                <c:pt idx="0">
                  <c:v>Burst Mode Frequency (kHz)</c:v>
                </c:pt>
              </c:strCache>
            </c:strRef>
          </c:tx>
          <c:spPr>
            <a:ln w="25400">
              <a:solidFill>
                <a:srgbClr val="0070C0"/>
              </a:solidFill>
            </a:ln>
          </c:spPr>
          <c:marker>
            <c:symbol val="none"/>
          </c:marker>
          <c:xVal>
            <c:numRef>
              <c:f>'PFM Efficiency'!$BI$6:$BI$106</c:f>
              <c:numCache>
                <c:formatCode>0.00</c:formatCode>
                <c:ptCount val="101"/>
                <c:pt idx="0">
                  <c:v>0.12000000000000001</c:v>
                </c:pt>
                <c:pt idx="1">
                  <c:v>1.2</c:v>
                </c:pt>
                <c:pt idx="2">
                  <c:v>2.4</c:v>
                </c:pt>
                <c:pt idx="3">
                  <c:v>3.6</c:v>
                </c:pt>
                <c:pt idx="4">
                  <c:v>4.8</c:v>
                </c:pt>
                <c:pt idx="5">
                  <c:v>6</c:v>
                </c:pt>
                <c:pt idx="6">
                  <c:v>7.2</c:v>
                </c:pt>
                <c:pt idx="7">
                  <c:v>8.4</c:v>
                </c:pt>
                <c:pt idx="8">
                  <c:v>9.6</c:v>
                </c:pt>
                <c:pt idx="9">
                  <c:v>10.799999999999999</c:v>
                </c:pt>
                <c:pt idx="10">
                  <c:v>12</c:v>
                </c:pt>
                <c:pt idx="11">
                  <c:v>13.2</c:v>
                </c:pt>
                <c:pt idx="12">
                  <c:v>14.4</c:v>
                </c:pt>
                <c:pt idx="13">
                  <c:v>15.6</c:v>
                </c:pt>
                <c:pt idx="14">
                  <c:v>16.8</c:v>
                </c:pt>
                <c:pt idx="15">
                  <c:v>18</c:v>
                </c:pt>
                <c:pt idx="16">
                  <c:v>19.2</c:v>
                </c:pt>
                <c:pt idx="17">
                  <c:v>20.400000000000002</c:v>
                </c:pt>
                <c:pt idx="18">
                  <c:v>21.599999999999998</c:v>
                </c:pt>
                <c:pt idx="19">
                  <c:v>22.8</c:v>
                </c:pt>
                <c:pt idx="20">
                  <c:v>24</c:v>
                </c:pt>
                <c:pt idx="21">
                  <c:v>25.199999999999996</c:v>
                </c:pt>
                <c:pt idx="22">
                  <c:v>26.4</c:v>
                </c:pt>
                <c:pt idx="23">
                  <c:v>27.599999999999998</c:v>
                </c:pt>
                <c:pt idx="24">
                  <c:v>28.8</c:v>
                </c:pt>
                <c:pt idx="25">
                  <c:v>30</c:v>
                </c:pt>
                <c:pt idx="26">
                  <c:v>31.2</c:v>
                </c:pt>
                <c:pt idx="27">
                  <c:v>32.4</c:v>
                </c:pt>
                <c:pt idx="28">
                  <c:v>33.6</c:v>
                </c:pt>
                <c:pt idx="29">
                  <c:v>34.799999999999997</c:v>
                </c:pt>
                <c:pt idx="30">
                  <c:v>36</c:v>
                </c:pt>
                <c:pt idx="31">
                  <c:v>37.199999999999996</c:v>
                </c:pt>
                <c:pt idx="32">
                  <c:v>38.4</c:v>
                </c:pt>
                <c:pt idx="33">
                  <c:v>39.6</c:v>
                </c:pt>
                <c:pt idx="34">
                  <c:v>40.800000000000004</c:v>
                </c:pt>
                <c:pt idx="35">
                  <c:v>41.999999999999993</c:v>
                </c:pt>
                <c:pt idx="36">
                  <c:v>43.199999999999996</c:v>
                </c:pt>
                <c:pt idx="37">
                  <c:v>44.399999999999991</c:v>
                </c:pt>
                <c:pt idx="38">
                  <c:v>45.6</c:v>
                </c:pt>
                <c:pt idx="39">
                  <c:v>46.800000000000004</c:v>
                </c:pt>
                <c:pt idx="40">
                  <c:v>48</c:v>
                </c:pt>
                <c:pt idx="41">
                  <c:v>49.199999999999996</c:v>
                </c:pt>
                <c:pt idx="42">
                  <c:v>50.399999999999991</c:v>
                </c:pt>
                <c:pt idx="43">
                  <c:v>51.6</c:v>
                </c:pt>
                <c:pt idx="44">
                  <c:v>52.8</c:v>
                </c:pt>
                <c:pt idx="45">
                  <c:v>54</c:v>
                </c:pt>
                <c:pt idx="46">
                  <c:v>55.199999999999996</c:v>
                </c:pt>
                <c:pt idx="47">
                  <c:v>56.399999999999991</c:v>
                </c:pt>
                <c:pt idx="48">
                  <c:v>57.6</c:v>
                </c:pt>
                <c:pt idx="49">
                  <c:v>58.8</c:v>
                </c:pt>
                <c:pt idx="50">
                  <c:v>60</c:v>
                </c:pt>
                <c:pt idx="51">
                  <c:v>61.199999999999996</c:v>
                </c:pt>
                <c:pt idx="52">
                  <c:v>62.4</c:v>
                </c:pt>
                <c:pt idx="53">
                  <c:v>63.6</c:v>
                </c:pt>
                <c:pt idx="54">
                  <c:v>64.8</c:v>
                </c:pt>
                <c:pt idx="55">
                  <c:v>66</c:v>
                </c:pt>
                <c:pt idx="56">
                  <c:v>67.2</c:v>
                </c:pt>
                <c:pt idx="57">
                  <c:v>68.399999999999991</c:v>
                </c:pt>
                <c:pt idx="58">
                  <c:v>69.599999999999994</c:v>
                </c:pt>
                <c:pt idx="59">
                  <c:v>70.799999999999983</c:v>
                </c:pt>
                <c:pt idx="60">
                  <c:v>72</c:v>
                </c:pt>
                <c:pt idx="61">
                  <c:v>73.2</c:v>
                </c:pt>
                <c:pt idx="62">
                  <c:v>74.399999999999991</c:v>
                </c:pt>
                <c:pt idx="63">
                  <c:v>75.599999999999994</c:v>
                </c:pt>
                <c:pt idx="64">
                  <c:v>76.8</c:v>
                </c:pt>
                <c:pt idx="65">
                  <c:v>78</c:v>
                </c:pt>
                <c:pt idx="66">
                  <c:v>79.2</c:v>
                </c:pt>
                <c:pt idx="67">
                  <c:v>80.400000000000006</c:v>
                </c:pt>
                <c:pt idx="68">
                  <c:v>81.600000000000009</c:v>
                </c:pt>
                <c:pt idx="69">
                  <c:v>82.799999999999983</c:v>
                </c:pt>
                <c:pt idx="70">
                  <c:v>83.999999999999986</c:v>
                </c:pt>
                <c:pt idx="71">
                  <c:v>85.2</c:v>
                </c:pt>
                <c:pt idx="72">
                  <c:v>86.399999999999991</c:v>
                </c:pt>
                <c:pt idx="73">
                  <c:v>87.6</c:v>
                </c:pt>
                <c:pt idx="74">
                  <c:v>88.799999999999983</c:v>
                </c:pt>
                <c:pt idx="75">
                  <c:v>90</c:v>
                </c:pt>
                <c:pt idx="76">
                  <c:v>91.2</c:v>
                </c:pt>
                <c:pt idx="77">
                  <c:v>92.399999999999991</c:v>
                </c:pt>
                <c:pt idx="78">
                  <c:v>93.600000000000009</c:v>
                </c:pt>
                <c:pt idx="79">
                  <c:v>94.8</c:v>
                </c:pt>
                <c:pt idx="80">
                  <c:v>96</c:v>
                </c:pt>
                <c:pt idx="81">
                  <c:v>97.2</c:v>
                </c:pt>
                <c:pt idx="82">
                  <c:v>98.399999999999991</c:v>
                </c:pt>
                <c:pt idx="83">
                  <c:v>99.6</c:v>
                </c:pt>
                <c:pt idx="84">
                  <c:v>100.79999999999998</c:v>
                </c:pt>
                <c:pt idx="85">
                  <c:v>102</c:v>
                </c:pt>
                <c:pt idx="86">
                  <c:v>103.2</c:v>
                </c:pt>
                <c:pt idx="87">
                  <c:v>104.39999999999999</c:v>
                </c:pt>
                <c:pt idx="88">
                  <c:v>105.6</c:v>
                </c:pt>
                <c:pt idx="89">
                  <c:v>106.8</c:v>
                </c:pt>
                <c:pt idx="90">
                  <c:v>108</c:v>
                </c:pt>
                <c:pt idx="91">
                  <c:v>109.2</c:v>
                </c:pt>
                <c:pt idx="92">
                  <c:v>110.39999999999999</c:v>
                </c:pt>
                <c:pt idx="93">
                  <c:v>111.60000000000001</c:v>
                </c:pt>
                <c:pt idx="94">
                  <c:v>112.79999999999998</c:v>
                </c:pt>
                <c:pt idx="95">
                  <c:v>113.99999999999999</c:v>
                </c:pt>
                <c:pt idx="96">
                  <c:v>115.2</c:v>
                </c:pt>
                <c:pt idx="97">
                  <c:v>116.39999999999999</c:v>
                </c:pt>
                <c:pt idx="98">
                  <c:v>117.6</c:v>
                </c:pt>
                <c:pt idx="99">
                  <c:v>118.79999999999998</c:v>
                </c:pt>
                <c:pt idx="100">
                  <c:v>120</c:v>
                </c:pt>
              </c:numCache>
            </c:numRef>
          </c:xVal>
          <c:yVal>
            <c:numRef>
              <c:f>'PFM Efficiency'!$BL$6:$BL$106</c:f>
              <c:numCache>
                <c:formatCode>0.0</c:formatCode>
                <c:ptCount val="101"/>
                <c:pt idx="0">
                  <c:v>17.13727728426694</c:v>
                </c:pt>
                <c:pt idx="1">
                  <c:v>18.137277284266901</c:v>
                </c:pt>
                <c:pt idx="2">
                  <c:v>19.841529281164359</c:v>
                </c:pt>
                <c:pt idx="3">
                  <c:v>21.303960092010822</c:v>
                </c:pt>
                <c:pt idx="4">
                  <c:v>22.839218285921966</c:v>
                </c:pt>
                <c:pt idx="5">
                  <c:v>24.445889178539353</c:v>
                </c:pt>
                <c:pt idx="6">
                  <c:v>26.121791295441582</c:v>
                </c:pt>
                <c:pt idx="7">
                  <c:v>27.863940510836141</c:v>
                </c:pt>
                <c:pt idx="8">
                  <c:v>29.668530022158009</c:v>
                </c:pt>
                <c:pt idx="9">
                  <c:v>31.530928740731923</c:v>
                </c:pt>
                <c:pt idx="10">
                  <c:v>33.445700153587367</c:v>
                </c:pt>
                <c:pt idx="11">
                  <c:v>35.406642987935072</c:v>
                </c:pt>
                <c:pt idx="12">
                  <c:v>37.406854113512679</c:v>
                </c:pt>
                <c:pt idx="13">
                  <c:v>39.43881309499821</c:v>
                </c:pt>
                <c:pt idx="14">
                  <c:v>41.494486721232725</c:v>
                </c:pt>
                <c:pt idx="15">
                  <c:v>43.565450767835173</c:v>
                </c:pt>
                <c:pt idx="16">
                  <c:v>45.643025278963023</c:v>
                </c:pt>
                <c:pt idx="17">
                  <c:v>47.718418863865701</c:v>
                </c:pt>
                <c:pt idx="18">
                  <c:v>49.782876963860851</c:v>
                </c:pt>
                <c:pt idx="19">
                  <c:v>51.8278288042996</c:v>
                </c:pt>
                <c:pt idx="20">
                  <c:v>53.845027826144907</c:v>
                </c:pt>
                <c:pt idx="21">
                  <c:v>55.826680785579171</c:v>
                </c:pt>
                <c:pt idx="22">
                  <c:v>57.7655613816029</c:v>
                </c:pt>
                <c:pt idx="23">
                  <c:v>59.655105160909137</c:v>
                </c:pt>
                <c:pt idx="24">
                  <c:v>61.489483479942351</c:v>
                </c:pt>
                <c:pt idx="25">
                  <c:v>63.263655392098094</c:v>
                </c:pt>
                <c:pt idx="26">
                  <c:v>64.973397391543287</c:v>
                </c:pt>
                <c:pt idx="27">
                  <c:v>66.615311912313558</c:v>
                </c:pt>
                <c:pt idx="28">
                  <c:v>68.186816296537415</c:v>
                </c:pt>
                <c:pt idx="29">
                  <c:v>69.686114572778393</c:v>
                </c:pt>
                <c:pt idx="30">
                  <c:v>71.112154808729358</c:v>
                </c:pt>
                <c:pt idx="31">
                  <c:v>72.464575024486365</c:v>
                </c:pt>
                <c:pt idx="32">
                  <c:v>73.743640691099685</c:v>
                </c:pt>
                <c:pt idx="33">
                  <c:v>74.950176722447694</c:v>
                </c:pt>
                <c:pt idx="34">
                  <c:v>76.085496631192584</c:v>
                </c:pt>
                <c:pt idx="35">
                  <c:v>77.151331197989634</c:v>
                </c:pt>
                <c:pt idx="36">
                  <c:v>78.149758631970101</c:v>
                </c:pt>
                <c:pt idx="37">
                  <c:v>79.083137810464862</c:v>
                </c:pt>
                <c:pt idx="38">
                  <c:v>79.95404580207925</c:v>
                </c:pt>
                <c:pt idx="39">
                  <c:v>80.765220518524714</c:v>
                </c:pt>
                <c:pt idx="40">
                  <c:v>81.519509019961532</c:v>
                </c:pt>
                <c:pt idx="41">
                  <c:v>82.219821723483165</c:v>
                </c:pt>
                <c:pt idx="42">
                  <c:v>82.869092537697924</c:v>
                </c:pt>
                <c:pt idx="43">
                  <c:v>83.470244767533572</c:v>
                </c:pt>
                <c:pt idx="44">
                  <c:v>84.026162499271365</c:v>
                </c:pt>
                <c:pt idx="45">
                  <c:v>84.539667081645888</c:v>
                </c:pt>
                <c:pt idx="46">
                  <c:v>85.013498258999789</c:v>
                </c:pt>
                <c:pt idx="47">
                  <c:v>85.450299481057854</c:v>
                </c:pt>
                <c:pt idx="48">
                  <c:v>85.852606905132433</c:v>
                </c:pt>
                <c:pt idx="49">
                  <c:v>86.22284161520011</c:v>
                </c:pt>
                <c:pt idx="50">
                  <c:v>86.563304603609339</c:v>
                </c:pt>
                <c:pt idx="51">
                  <c:v>86.876174091204305</c:v>
                </c:pt>
                <c:pt idx="52">
                  <c:v>87.163504797093893</c:v>
                </c:pt>
                <c:pt idx="53">
                  <c:v>87.427228807536096</c:v>
                </c:pt>
                <c:pt idx="54">
                  <c:v>87.669157732427976</c:v>
                </c:pt>
                <c:pt idx="55">
                  <c:v>87.890985876194023</c:v>
                </c:pt>
                <c:pt idx="56">
                  <c:v>88.094294186393796</c:v>
                </c:pt>
                <c:pt idx="57">
                  <c:v>88.280554777425039</c:v>
                </c:pt>
                <c:pt idx="58">
                  <c:v>88.451135857864216</c:v>
                </c:pt>
                <c:pt idx="59">
                  <c:v>88.607306918069966</c:v>
                </c:pt>
                <c:pt idx="60">
                  <c:v>88.750244059636927</c:v>
                </c:pt>
                <c:pt idx="61">
                  <c:v>88.881035370214562</c:v>
                </c:pt>
                <c:pt idx="62">
                  <c:v>89.00068626625567</c:v>
                </c:pt>
                <c:pt idx="63">
                  <c:v>89.110124742644544</c:v>
                </c:pt>
                <c:pt idx="64">
                  <c:v>89.210206482112255</c:v>
                </c:pt>
                <c:pt idx="65">
                  <c:v>89.301719789125713</c:v>
                </c:pt>
                <c:pt idx="66">
                  <c:v>89.385390322784559</c:v>
                </c:pt>
                <c:pt idx="67">
                  <c:v>89.461885611413308</c:v>
                </c:pt>
                <c:pt idx="68">
                  <c:v>89.53181933822033</c:v>
                </c:pt>
                <c:pt idx="69">
                  <c:v>89.5957553928111</c:v>
                </c:pt>
                <c:pt idx="70">
                  <c:v>89.654211687682206</c:v>
                </c:pt>
                <c:pt idx="71">
                  <c:v>89.707663742243938</c:v>
                </c:pt>
                <c:pt idx="72">
                  <c:v>89.756548039575279</c:v>
                </c:pt>
                <c:pt idx="73">
                  <c:v>89.801265163129671</c:v>
                </c:pt>
                <c:pt idx="74">
                  <c:v>89.842182722097107</c:v>
                </c:pt>
                <c:pt idx="75">
                  <c:v>89.879638075182214</c:v>
                </c:pt>
                <c:pt idx="76">
                  <c:v>89.913940863261431</c:v>
                </c:pt>
                <c:pt idx="77">
                  <c:v>89.945375361806484</c:v>
                </c:pt>
                <c:pt idx="78">
                  <c:v>89.97420266416259</c:v>
                </c:pt>
                <c:pt idx="79">
                  <c:v>90.00066270680108</c:v>
                </c:pt>
                <c:pt idx="80">
                  <c:v>90.024976147565738</c:v>
                </c:pt>
                <c:pt idx="81">
                  <c:v>90.047346107738051</c:v>
                </c:pt>
                <c:pt idx="82">
                  <c:v>90.067959788482781</c:v>
                </c:pt>
                <c:pt idx="83">
                  <c:v>90.086989971926442</c:v>
                </c:pt>
                <c:pt idx="84">
                  <c:v>90.104596416780069</c:v>
                </c:pt>
                <c:pt idx="85">
                  <c:v>90.120927158053377</c:v>
                </c:pt>
                <c:pt idx="86">
                  <c:v>90.136119720016168</c:v>
                </c:pt>
                <c:pt idx="87">
                  <c:v>90.150302251128011</c:v>
                </c:pt>
                <c:pt idx="88">
                  <c:v>90.163594589142591</c:v>
                </c:pt>
                <c:pt idx="89">
                  <c:v>90.176109263921944</c:v>
                </c:pt>
                <c:pt idx="90">
                  <c:v>90.187952444546454</c:v>
                </c:pt>
                <c:pt idx="91">
                  <c:v>90.199224835859255</c:v>
                </c:pt>
                <c:pt idx="92">
                  <c:v>90.21002252728519</c:v>
                </c:pt>
                <c:pt idx="93">
                  <c:v>90.220437793026676</c:v>
                </c:pt>
                <c:pt idx="94">
                  <c:v>90.230559836610553</c:v>
                </c:pt>
                <c:pt idx="95">
                  <c:v>90.240475462699294</c:v>
                </c:pt>
                <c:pt idx="96">
                  <c:v>90.250269642615493</c:v>
                </c:pt>
                <c:pt idx="97">
                  <c:v>90.260025913237968</c:v>
                </c:pt>
                <c:pt idx="98">
                  <c:v>90.269826505675894</c:v>
                </c:pt>
                <c:pt idx="99">
                  <c:v>90.27975203107151</c:v>
                </c:pt>
                <c:pt idx="100">
                  <c:v>90.289880442384444</c:v>
                </c:pt>
              </c:numCache>
            </c:numRef>
          </c:yVal>
          <c:smooth val="0"/>
          <c:extLst>
            <c:ext xmlns:c16="http://schemas.microsoft.com/office/drawing/2014/chart" uri="{C3380CC4-5D6E-409C-BE32-E72D297353CC}">
              <c16:uniqueId val="{00000000-57EC-49D1-AFBF-E1EFA6E3BAF4}"/>
            </c:ext>
          </c:extLst>
        </c:ser>
        <c:dLbls>
          <c:showLegendKey val="0"/>
          <c:showVal val="0"/>
          <c:showCatName val="0"/>
          <c:showSerName val="0"/>
          <c:showPercent val="0"/>
          <c:showBubbleSize val="0"/>
        </c:dLbls>
        <c:axId val="151497728"/>
        <c:axId val="158475392"/>
      </c:scatterChart>
      <c:valAx>
        <c:axId val="151497728"/>
        <c:scaling>
          <c:orientation val="minMax"/>
        </c:scaling>
        <c:delete val="0"/>
        <c:axPos val="b"/>
        <c:majorGridlines/>
        <c:minorGridlines/>
        <c:title>
          <c:tx>
            <c:rich>
              <a:bodyPr/>
              <a:lstStyle/>
              <a:p>
                <a:pPr>
                  <a:defRPr sz="1100" b="1" i="0" u="none" strike="noStrike" baseline="0">
                    <a:solidFill>
                      <a:srgbClr val="000000"/>
                    </a:solidFill>
                    <a:latin typeface="Arial"/>
                    <a:ea typeface="Arial"/>
                    <a:cs typeface="Arial"/>
                  </a:defRPr>
                </a:pPr>
                <a:r>
                  <a:rPr lang="en-US" sz="1100"/>
                  <a:t>Iout (mA)</a:t>
                </a:r>
              </a:p>
            </c:rich>
          </c:tx>
          <c:layout>
            <c:manualLayout>
              <c:xMode val="edge"/>
              <c:yMode val="edge"/>
              <c:x val="0.48181813969344789"/>
              <c:y val="0.9456740634693409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58475392"/>
        <c:crossesAt val="1.000000000000004E-4"/>
        <c:crossBetween val="midCat"/>
        <c:minorUnit val="5"/>
      </c:valAx>
      <c:valAx>
        <c:axId val="158475392"/>
        <c:scaling>
          <c:orientation val="minMax"/>
          <c:min val="0"/>
        </c:scaling>
        <c:delete val="0"/>
        <c:axPos val="l"/>
        <c:majorGridlines>
          <c:spPr>
            <a:ln w="3175">
              <a:solidFill>
                <a:srgbClr val="000000"/>
              </a:solidFill>
              <a:prstDash val="solid"/>
            </a:ln>
          </c:spPr>
        </c:majorGridlines>
        <c:minorGridlines/>
        <c:title>
          <c:tx>
            <c:rich>
              <a:bodyPr/>
              <a:lstStyle/>
              <a:p>
                <a:pPr>
                  <a:defRPr sz="1100" b="1" i="0" u="none" strike="noStrike" baseline="0">
                    <a:solidFill>
                      <a:srgbClr val="000000"/>
                    </a:solidFill>
                    <a:latin typeface="Arial"/>
                    <a:ea typeface="Arial"/>
                    <a:cs typeface="Arial"/>
                  </a:defRPr>
                </a:pPr>
                <a:r>
                  <a:rPr lang="en-US" sz="1100"/>
                  <a:t>Frequency ( kHz)</a:t>
                </a:r>
              </a:p>
            </c:rich>
          </c:tx>
          <c:layout>
            <c:manualLayout>
              <c:xMode val="edge"/>
              <c:yMode val="edge"/>
              <c:x val="1.5427181634658133E-2"/>
              <c:y val="0.36283610720353698"/>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51497728"/>
        <c:crossesAt val="1.000000000000004E-4"/>
        <c:crossBetween val="midCat"/>
        <c:minorUnit val="10"/>
      </c:valAx>
      <c:spPr>
        <a:solidFill>
          <a:sysClr val="window" lastClr="FFFFFF">
            <a:lumMod val="95000"/>
          </a:sysClr>
        </a:solidFill>
        <a:ln w="12700">
          <a:solidFill>
            <a:srgbClr val="808080"/>
          </a:solidFill>
          <a:prstDash val="solid"/>
        </a:ln>
      </c:spPr>
    </c:plotArea>
    <c:legend>
      <c:legendPos val="r"/>
      <c:layout>
        <c:manualLayout>
          <c:xMode val="edge"/>
          <c:yMode val="edge"/>
          <c:x val="0.38620153063391349"/>
          <c:y val="0.72472294791457359"/>
          <c:w val="0.2693275800071917"/>
          <c:h val="0.10479121927940829"/>
        </c:manualLayout>
      </c:layout>
      <c:overlay val="0"/>
      <c:spPr>
        <a:solidFill>
          <a:srgbClr val="FFFFFF"/>
        </a:solidFill>
        <a:ln w="3175">
          <a:solidFill>
            <a:srgbClr val="000000"/>
          </a:solidFill>
          <a:prstDash val="solid"/>
        </a:ln>
      </c:spPr>
      <c:txPr>
        <a:bodyPr/>
        <a:lstStyle/>
        <a:p>
          <a:pPr>
            <a:defRPr sz="11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000000000000178" r="0.75000000000000178"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P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sz="1200"/>
              <a:t>Inductor Losses</a:t>
            </a:r>
          </a:p>
        </c:rich>
      </c:tx>
      <c:layout>
        <c:manualLayout>
          <c:xMode val="edge"/>
          <c:yMode val="edge"/>
          <c:x val="0.4514301476129135"/>
          <c:y val="4.3722416896244468E-2"/>
        </c:manualLayout>
      </c:layout>
      <c:overlay val="0"/>
      <c:spPr>
        <a:noFill/>
        <a:ln w="25400">
          <a:noFill/>
        </a:ln>
      </c:spPr>
    </c:title>
    <c:autoTitleDeleted val="0"/>
    <c:plotArea>
      <c:layout>
        <c:manualLayout>
          <c:layoutTarget val="inner"/>
          <c:xMode val="edge"/>
          <c:yMode val="edge"/>
          <c:x val="0.11549893842887474"/>
          <c:y val="0.12692138023914851"/>
          <c:w val="0.81825902335456646"/>
          <c:h val="0.73598262282121851"/>
        </c:manualLayout>
      </c:layout>
      <c:scatterChart>
        <c:scatterStyle val="lineMarker"/>
        <c:varyColors val="0"/>
        <c:ser>
          <c:idx val="2"/>
          <c:order val="0"/>
          <c:tx>
            <c:strRef>
              <c:f>'PFM Efficiency'!$R$5</c:f>
              <c:strCache>
                <c:ptCount val="1"/>
                <c:pt idx="0">
                  <c:v>Inductor DCR Loss @ 25°C (W)</c:v>
                </c:pt>
              </c:strCache>
            </c:strRef>
          </c:tx>
          <c:spPr>
            <a:ln w="25400">
              <a:solidFill>
                <a:srgbClr val="000080"/>
              </a:solidFill>
              <a:prstDash val="solid"/>
            </a:ln>
          </c:spPr>
          <c:marker>
            <c:symbol val="none"/>
          </c:marker>
          <c:xVal>
            <c:numRef>
              <c:f>'PFM Efficiency'!$BI$6:$BI$106</c:f>
              <c:numCache>
                <c:formatCode>0.00</c:formatCode>
                <c:ptCount val="101"/>
                <c:pt idx="0">
                  <c:v>0.12000000000000001</c:v>
                </c:pt>
                <c:pt idx="1">
                  <c:v>1.2</c:v>
                </c:pt>
                <c:pt idx="2">
                  <c:v>2.4</c:v>
                </c:pt>
                <c:pt idx="3">
                  <c:v>3.6</c:v>
                </c:pt>
                <c:pt idx="4">
                  <c:v>4.8</c:v>
                </c:pt>
                <c:pt idx="5">
                  <c:v>6</c:v>
                </c:pt>
                <c:pt idx="6">
                  <c:v>7.2</c:v>
                </c:pt>
                <c:pt idx="7">
                  <c:v>8.4</c:v>
                </c:pt>
                <c:pt idx="8">
                  <c:v>9.6</c:v>
                </c:pt>
                <c:pt idx="9">
                  <c:v>10.799999999999999</c:v>
                </c:pt>
                <c:pt idx="10">
                  <c:v>12</c:v>
                </c:pt>
                <c:pt idx="11">
                  <c:v>13.2</c:v>
                </c:pt>
                <c:pt idx="12">
                  <c:v>14.4</c:v>
                </c:pt>
                <c:pt idx="13">
                  <c:v>15.6</c:v>
                </c:pt>
                <c:pt idx="14">
                  <c:v>16.8</c:v>
                </c:pt>
                <c:pt idx="15">
                  <c:v>18</c:v>
                </c:pt>
                <c:pt idx="16">
                  <c:v>19.2</c:v>
                </c:pt>
                <c:pt idx="17">
                  <c:v>20.400000000000002</c:v>
                </c:pt>
                <c:pt idx="18">
                  <c:v>21.599999999999998</c:v>
                </c:pt>
                <c:pt idx="19">
                  <c:v>22.8</c:v>
                </c:pt>
                <c:pt idx="20">
                  <c:v>24</c:v>
                </c:pt>
                <c:pt idx="21">
                  <c:v>25.199999999999996</c:v>
                </c:pt>
                <c:pt idx="22">
                  <c:v>26.4</c:v>
                </c:pt>
                <c:pt idx="23">
                  <c:v>27.599999999999998</c:v>
                </c:pt>
                <c:pt idx="24">
                  <c:v>28.8</c:v>
                </c:pt>
                <c:pt idx="25">
                  <c:v>30</c:v>
                </c:pt>
                <c:pt idx="26">
                  <c:v>31.2</c:v>
                </c:pt>
                <c:pt idx="27">
                  <c:v>32.4</c:v>
                </c:pt>
                <c:pt idx="28">
                  <c:v>33.6</c:v>
                </c:pt>
                <c:pt idx="29">
                  <c:v>34.799999999999997</c:v>
                </c:pt>
                <c:pt idx="30">
                  <c:v>36</c:v>
                </c:pt>
                <c:pt idx="31">
                  <c:v>37.199999999999996</c:v>
                </c:pt>
                <c:pt idx="32">
                  <c:v>38.4</c:v>
                </c:pt>
                <c:pt idx="33">
                  <c:v>39.6</c:v>
                </c:pt>
                <c:pt idx="34">
                  <c:v>40.800000000000004</c:v>
                </c:pt>
                <c:pt idx="35">
                  <c:v>41.999999999999993</c:v>
                </c:pt>
                <c:pt idx="36">
                  <c:v>43.199999999999996</c:v>
                </c:pt>
                <c:pt idx="37">
                  <c:v>44.399999999999991</c:v>
                </c:pt>
                <c:pt idx="38">
                  <c:v>45.6</c:v>
                </c:pt>
                <c:pt idx="39">
                  <c:v>46.800000000000004</c:v>
                </c:pt>
                <c:pt idx="40">
                  <c:v>48</c:v>
                </c:pt>
                <c:pt idx="41">
                  <c:v>49.199999999999996</c:v>
                </c:pt>
                <c:pt idx="42">
                  <c:v>50.399999999999991</c:v>
                </c:pt>
                <c:pt idx="43">
                  <c:v>51.6</c:v>
                </c:pt>
                <c:pt idx="44">
                  <c:v>52.8</c:v>
                </c:pt>
                <c:pt idx="45">
                  <c:v>54</c:v>
                </c:pt>
                <c:pt idx="46">
                  <c:v>55.199999999999996</c:v>
                </c:pt>
                <c:pt idx="47">
                  <c:v>56.399999999999991</c:v>
                </c:pt>
                <c:pt idx="48">
                  <c:v>57.6</c:v>
                </c:pt>
                <c:pt idx="49">
                  <c:v>58.8</c:v>
                </c:pt>
                <c:pt idx="50">
                  <c:v>60</c:v>
                </c:pt>
                <c:pt idx="51">
                  <c:v>61.199999999999996</c:v>
                </c:pt>
                <c:pt idx="52">
                  <c:v>62.4</c:v>
                </c:pt>
                <c:pt idx="53">
                  <c:v>63.6</c:v>
                </c:pt>
                <c:pt idx="54">
                  <c:v>64.8</c:v>
                </c:pt>
                <c:pt idx="55">
                  <c:v>66</c:v>
                </c:pt>
                <c:pt idx="56">
                  <c:v>67.2</c:v>
                </c:pt>
                <c:pt idx="57">
                  <c:v>68.399999999999991</c:v>
                </c:pt>
                <c:pt idx="58">
                  <c:v>69.599999999999994</c:v>
                </c:pt>
                <c:pt idx="59">
                  <c:v>70.799999999999983</c:v>
                </c:pt>
                <c:pt idx="60">
                  <c:v>72</c:v>
                </c:pt>
                <c:pt idx="61">
                  <c:v>73.2</c:v>
                </c:pt>
                <c:pt idx="62">
                  <c:v>74.399999999999991</c:v>
                </c:pt>
                <c:pt idx="63">
                  <c:v>75.599999999999994</c:v>
                </c:pt>
                <c:pt idx="64">
                  <c:v>76.8</c:v>
                </c:pt>
                <c:pt idx="65">
                  <c:v>78</c:v>
                </c:pt>
                <c:pt idx="66">
                  <c:v>79.2</c:v>
                </c:pt>
                <c:pt idx="67">
                  <c:v>80.400000000000006</c:v>
                </c:pt>
                <c:pt idx="68">
                  <c:v>81.600000000000009</c:v>
                </c:pt>
                <c:pt idx="69">
                  <c:v>82.799999999999983</c:v>
                </c:pt>
                <c:pt idx="70">
                  <c:v>83.999999999999986</c:v>
                </c:pt>
                <c:pt idx="71">
                  <c:v>85.2</c:v>
                </c:pt>
                <c:pt idx="72">
                  <c:v>86.399999999999991</c:v>
                </c:pt>
                <c:pt idx="73">
                  <c:v>87.6</c:v>
                </c:pt>
                <c:pt idx="74">
                  <c:v>88.799999999999983</c:v>
                </c:pt>
                <c:pt idx="75">
                  <c:v>90</c:v>
                </c:pt>
                <c:pt idx="76">
                  <c:v>91.2</c:v>
                </c:pt>
                <c:pt idx="77">
                  <c:v>92.399999999999991</c:v>
                </c:pt>
                <c:pt idx="78">
                  <c:v>93.600000000000009</c:v>
                </c:pt>
                <c:pt idx="79">
                  <c:v>94.8</c:v>
                </c:pt>
                <c:pt idx="80">
                  <c:v>96</c:v>
                </c:pt>
                <c:pt idx="81">
                  <c:v>97.2</c:v>
                </c:pt>
                <c:pt idx="82">
                  <c:v>98.399999999999991</c:v>
                </c:pt>
                <c:pt idx="83">
                  <c:v>99.6</c:v>
                </c:pt>
                <c:pt idx="84">
                  <c:v>100.79999999999998</c:v>
                </c:pt>
                <c:pt idx="85">
                  <c:v>102</c:v>
                </c:pt>
                <c:pt idx="86">
                  <c:v>103.2</c:v>
                </c:pt>
                <c:pt idx="87">
                  <c:v>104.39999999999999</c:v>
                </c:pt>
                <c:pt idx="88">
                  <c:v>105.6</c:v>
                </c:pt>
                <c:pt idx="89">
                  <c:v>106.8</c:v>
                </c:pt>
                <c:pt idx="90">
                  <c:v>108</c:v>
                </c:pt>
                <c:pt idx="91">
                  <c:v>109.2</c:v>
                </c:pt>
                <c:pt idx="92">
                  <c:v>110.39999999999999</c:v>
                </c:pt>
                <c:pt idx="93">
                  <c:v>111.60000000000001</c:v>
                </c:pt>
                <c:pt idx="94">
                  <c:v>112.79999999999998</c:v>
                </c:pt>
                <c:pt idx="95">
                  <c:v>113.99999999999999</c:v>
                </c:pt>
                <c:pt idx="96">
                  <c:v>115.2</c:v>
                </c:pt>
                <c:pt idx="97">
                  <c:v>116.39999999999999</c:v>
                </c:pt>
                <c:pt idx="98">
                  <c:v>117.6</c:v>
                </c:pt>
                <c:pt idx="99">
                  <c:v>118.79999999999998</c:v>
                </c:pt>
                <c:pt idx="100">
                  <c:v>120</c:v>
                </c:pt>
              </c:numCache>
            </c:numRef>
          </c:xVal>
          <c:yVal>
            <c:numRef>
              <c:f>'PFM Efficiency'!$R$6:$R$106</c:f>
              <c:numCache>
                <c:formatCode>0.0000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extLst>
            <c:ext xmlns:c16="http://schemas.microsoft.com/office/drawing/2014/chart" uri="{C3380CC4-5D6E-409C-BE32-E72D297353CC}">
              <c16:uniqueId val="{00000000-F1AC-4E20-B954-7B5749184C50}"/>
            </c:ext>
          </c:extLst>
        </c:ser>
        <c:ser>
          <c:idx val="3"/>
          <c:order val="1"/>
          <c:tx>
            <c:strRef>
              <c:f>'PFM Efficiency'!$S$5</c:f>
              <c:strCache>
                <c:ptCount val="1"/>
                <c:pt idx="0">
                  <c:v>Inductor Core Loss  (W)</c:v>
                </c:pt>
              </c:strCache>
            </c:strRef>
          </c:tx>
          <c:spPr>
            <a:ln w="25400">
              <a:solidFill>
                <a:srgbClr val="FF0000"/>
              </a:solidFill>
              <a:prstDash val="dash"/>
            </a:ln>
          </c:spPr>
          <c:marker>
            <c:symbol val="none"/>
          </c:marker>
          <c:xVal>
            <c:numRef>
              <c:f>'PFM Efficiency'!$BI$6:$BI$106</c:f>
              <c:numCache>
                <c:formatCode>0.00</c:formatCode>
                <c:ptCount val="101"/>
                <c:pt idx="0">
                  <c:v>0.12000000000000001</c:v>
                </c:pt>
                <c:pt idx="1">
                  <c:v>1.2</c:v>
                </c:pt>
                <c:pt idx="2">
                  <c:v>2.4</c:v>
                </c:pt>
                <c:pt idx="3">
                  <c:v>3.6</c:v>
                </c:pt>
                <c:pt idx="4">
                  <c:v>4.8</c:v>
                </c:pt>
                <c:pt idx="5">
                  <c:v>6</c:v>
                </c:pt>
                <c:pt idx="6">
                  <c:v>7.2</c:v>
                </c:pt>
                <c:pt idx="7">
                  <c:v>8.4</c:v>
                </c:pt>
                <c:pt idx="8">
                  <c:v>9.6</c:v>
                </c:pt>
                <c:pt idx="9">
                  <c:v>10.799999999999999</c:v>
                </c:pt>
                <c:pt idx="10">
                  <c:v>12</c:v>
                </c:pt>
                <c:pt idx="11">
                  <c:v>13.2</c:v>
                </c:pt>
                <c:pt idx="12">
                  <c:v>14.4</c:v>
                </c:pt>
                <c:pt idx="13">
                  <c:v>15.6</c:v>
                </c:pt>
                <c:pt idx="14">
                  <c:v>16.8</c:v>
                </c:pt>
                <c:pt idx="15">
                  <c:v>18</c:v>
                </c:pt>
                <c:pt idx="16">
                  <c:v>19.2</c:v>
                </c:pt>
                <c:pt idx="17">
                  <c:v>20.400000000000002</c:v>
                </c:pt>
                <c:pt idx="18">
                  <c:v>21.599999999999998</c:v>
                </c:pt>
                <c:pt idx="19">
                  <c:v>22.8</c:v>
                </c:pt>
                <c:pt idx="20">
                  <c:v>24</c:v>
                </c:pt>
                <c:pt idx="21">
                  <c:v>25.199999999999996</c:v>
                </c:pt>
                <c:pt idx="22">
                  <c:v>26.4</c:v>
                </c:pt>
                <c:pt idx="23">
                  <c:v>27.599999999999998</c:v>
                </c:pt>
                <c:pt idx="24">
                  <c:v>28.8</c:v>
                </c:pt>
                <c:pt idx="25">
                  <c:v>30</c:v>
                </c:pt>
                <c:pt idx="26">
                  <c:v>31.2</c:v>
                </c:pt>
                <c:pt idx="27">
                  <c:v>32.4</c:v>
                </c:pt>
                <c:pt idx="28">
                  <c:v>33.6</c:v>
                </c:pt>
                <c:pt idx="29">
                  <c:v>34.799999999999997</c:v>
                </c:pt>
                <c:pt idx="30">
                  <c:v>36</c:v>
                </c:pt>
                <c:pt idx="31">
                  <c:v>37.199999999999996</c:v>
                </c:pt>
                <c:pt idx="32">
                  <c:v>38.4</c:v>
                </c:pt>
                <c:pt idx="33">
                  <c:v>39.6</c:v>
                </c:pt>
                <c:pt idx="34">
                  <c:v>40.800000000000004</c:v>
                </c:pt>
                <c:pt idx="35">
                  <c:v>41.999999999999993</c:v>
                </c:pt>
                <c:pt idx="36">
                  <c:v>43.199999999999996</c:v>
                </c:pt>
                <c:pt idx="37">
                  <c:v>44.399999999999991</c:v>
                </c:pt>
                <c:pt idx="38">
                  <c:v>45.6</c:v>
                </c:pt>
                <c:pt idx="39">
                  <c:v>46.800000000000004</c:v>
                </c:pt>
                <c:pt idx="40">
                  <c:v>48</c:v>
                </c:pt>
                <c:pt idx="41">
                  <c:v>49.199999999999996</c:v>
                </c:pt>
                <c:pt idx="42">
                  <c:v>50.399999999999991</c:v>
                </c:pt>
                <c:pt idx="43">
                  <c:v>51.6</c:v>
                </c:pt>
                <c:pt idx="44">
                  <c:v>52.8</c:v>
                </c:pt>
                <c:pt idx="45">
                  <c:v>54</c:v>
                </c:pt>
                <c:pt idx="46">
                  <c:v>55.199999999999996</c:v>
                </c:pt>
                <c:pt idx="47">
                  <c:v>56.399999999999991</c:v>
                </c:pt>
                <c:pt idx="48">
                  <c:v>57.6</c:v>
                </c:pt>
                <c:pt idx="49">
                  <c:v>58.8</c:v>
                </c:pt>
                <c:pt idx="50">
                  <c:v>60</c:v>
                </c:pt>
                <c:pt idx="51">
                  <c:v>61.199999999999996</c:v>
                </c:pt>
                <c:pt idx="52">
                  <c:v>62.4</c:v>
                </c:pt>
                <c:pt idx="53">
                  <c:v>63.6</c:v>
                </c:pt>
                <c:pt idx="54">
                  <c:v>64.8</c:v>
                </c:pt>
                <c:pt idx="55">
                  <c:v>66</c:v>
                </c:pt>
                <c:pt idx="56">
                  <c:v>67.2</c:v>
                </c:pt>
                <c:pt idx="57">
                  <c:v>68.399999999999991</c:v>
                </c:pt>
                <c:pt idx="58">
                  <c:v>69.599999999999994</c:v>
                </c:pt>
                <c:pt idx="59">
                  <c:v>70.799999999999983</c:v>
                </c:pt>
                <c:pt idx="60">
                  <c:v>72</c:v>
                </c:pt>
                <c:pt idx="61">
                  <c:v>73.2</c:v>
                </c:pt>
                <c:pt idx="62">
                  <c:v>74.399999999999991</c:v>
                </c:pt>
                <c:pt idx="63">
                  <c:v>75.599999999999994</c:v>
                </c:pt>
                <c:pt idx="64">
                  <c:v>76.8</c:v>
                </c:pt>
                <c:pt idx="65">
                  <c:v>78</c:v>
                </c:pt>
                <c:pt idx="66">
                  <c:v>79.2</c:v>
                </c:pt>
                <c:pt idx="67">
                  <c:v>80.400000000000006</c:v>
                </c:pt>
                <c:pt idx="68">
                  <c:v>81.600000000000009</c:v>
                </c:pt>
                <c:pt idx="69">
                  <c:v>82.799999999999983</c:v>
                </c:pt>
                <c:pt idx="70">
                  <c:v>83.999999999999986</c:v>
                </c:pt>
                <c:pt idx="71">
                  <c:v>85.2</c:v>
                </c:pt>
                <c:pt idx="72">
                  <c:v>86.399999999999991</c:v>
                </c:pt>
                <c:pt idx="73">
                  <c:v>87.6</c:v>
                </c:pt>
                <c:pt idx="74">
                  <c:v>88.799999999999983</c:v>
                </c:pt>
                <c:pt idx="75">
                  <c:v>90</c:v>
                </c:pt>
                <c:pt idx="76">
                  <c:v>91.2</c:v>
                </c:pt>
                <c:pt idx="77">
                  <c:v>92.399999999999991</c:v>
                </c:pt>
                <c:pt idx="78">
                  <c:v>93.600000000000009</c:v>
                </c:pt>
                <c:pt idx="79">
                  <c:v>94.8</c:v>
                </c:pt>
                <c:pt idx="80">
                  <c:v>96</c:v>
                </c:pt>
                <c:pt idx="81">
                  <c:v>97.2</c:v>
                </c:pt>
                <c:pt idx="82">
                  <c:v>98.399999999999991</c:v>
                </c:pt>
                <c:pt idx="83">
                  <c:v>99.6</c:v>
                </c:pt>
                <c:pt idx="84">
                  <c:v>100.79999999999998</c:v>
                </c:pt>
                <c:pt idx="85">
                  <c:v>102</c:v>
                </c:pt>
                <c:pt idx="86">
                  <c:v>103.2</c:v>
                </c:pt>
                <c:pt idx="87">
                  <c:v>104.39999999999999</c:v>
                </c:pt>
                <c:pt idx="88">
                  <c:v>105.6</c:v>
                </c:pt>
                <c:pt idx="89">
                  <c:v>106.8</c:v>
                </c:pt>
                <c:pt idx="90">
                  <c:v>108</c:v>
                </c:pt>
                <c:pt idx="91">
                  <c:v>109.2</c:v>
                </c:pt>
                <c:pt idx="92">
                  <c:v>110.39999999999999</c:v>
                </c:pt>
                <c:pt idx="93">
                  <c:v>111.60000000000001</c:v>
                </c:pt>
                <c:pt idx="94">
                  <c:v>112.79999999999998</c:v>
                </c:pt>
                <c:pt idx="95">
                  <c:v>113.99999999999999</c:v>
                </c:pt>
                <c:pt idx="96">
                  <c:v>115.2</c:v>
                </c:pt>
                <c:pt idx="97">
                  <c:v>116.39999999999999</c:v>
                </c:pt>
                <c:pt idx="98">
                  <c:v>117.6</c:v>
                </c:pt>
                <c:pt idx="99">
                  <c:v>118.79999999999998</c:v>
                </c:pt>
                <c:pt idx="100">
                  <c:v>120</c:v>
                </c:pt>
              </c:numCache>
            </c:numRef>
          </c:xVal>
          <c:yVal>
            <c:numRef>
              <c:f>'PFM Efficiency'!$S$6:$S$106</c:f>
              <c:numCache>
                <c:formatCode>0.0E+00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extLst>
            <c:ext xmlns:c16="http://schemas.microsoft.com/office/drawing/2014/chart" uri="{C3380CC4-5D6E-409C-BE32-E72D297353CC}">
              <c16:uniqueId val="{00000001-F1AC-4E20-B954-7B5749184C50}"/>
            </c:ext>
          </c:extLst>
        </c:ser>
        <c:ser>
          <c:idx val="0"/>
          <c:order val="2"/>
          <c:tx>
            <c:strRef>
              <c:f>'PFM Efficiency'!$T$5</c:f>
              <c:strCache>
                <c:ptCount val="1"/>
                <c:pt idx="0">
                  <c:v>Inductor Total Loss (W)</c:v>
                </c:pt>
              </c:strCache>
            </c:strRef>
          </c:tx>
          <c:spPr>
            <a:ln w="25400">
              <a:solidFill>
                <a:srgbClr val="00B050"/>
              </a:solidFill>
              <a:prstDash val="lgDash"/>
            </a:ln>
          </c:spPr>
          <c:marker>
            <c:symbol val="none"/>
          </c:marker>
          <c:xVal>
            <c:numRef>
              <c:f>'PFM Efficiency'!$BI$6:$BI$106</c:f>
              <c:numCache>
                <c:formatCode>0.00</c:formatCode>
                <c:ptCount val="101"/>
                <c:pt idx="0">
                  <c:v>0.12000000000000001</c:v>
                </c:pt>
                <c:pt idx="1">
                  <c:v>1.2</c:v>
                </c:pt>
                <c:pt idx="2">
                  <c:v>2.4</c:v>
                </c:pt>
                <c:pt idx="3">
                  <c:v>3.6</c:v>
                </c:pt>
                <c:pt idx="4">
                  <c:v>4.8</c:v>
                </c:pt>
                <c:pt idx="5">
                  <c:v>6</c:v>
                </c:pt>
                <c:pt idx="6">
                  <c:v>7.2</c:v>
                </c:pt>
                <c:pt idx="7">
                  <c:v>8.4</c:v>
                </c:pt>
                <c:pt idx="8">
                  <c:v>9.6</c:v>
                </c:pt>
                <c:pt idx="9">
                  <c:v>10.799999999999999</c:v>
                </c:pt>
                <c:pt idx="10">
                  <c:v>12</c:v>
                </c:pt>
                <c:pt idx="11">
                  <c:v>13.2</c:v>
                </c:pt>
                <c:pt idx="12">
                  <c:v>14.4</c:v>
                </c:pt>
                <c:pt idx="13">
                  <c:v>15.6</c:v>
                </c:pt>
                <c:pt idx="14">
                  <c:v>16.8</c:v>
                </c:pt>
                <c:pt idx="15">
                  <c:v>18</c:v>
                </c:pt>
                <c:pt idx="16">
                  <c:v>19.2</c:v>
                </c:pt>
                <c:pt idx="17">
                  <c:v>20.400000000000002</c:v>
                </c:pt>
                <c:pt idx="18">
                  <c:v>21.599999999999998</c:v>
                </c:pt>
                <c:pt idx="19">
                  <c:v>22.8</c:v>
                </c:pt>
                <c:pt idx="20">
                  <c:v>24</c:v>
                </c:pt>
                <c:pt idx="21">
                  <c:v>25.199999999999996</c:v>
                </c:pt>
                <c:pt idx="22">
                  <c:v>26.4</c:v>
                </c:pt>
                <c:pt idx="23">
                  <c:v>27.599999999999998</c:v>
                </c:pt>
                <c:pt idx="24">
                  <c:v>28.8</c:v>
                </c:pt>
                <c:pt idx="25">
                  <c:v>30</c:v>
                </c:pt>
                <c:pt idx="26">
                  <c:v>31.2</c:v>
                </c:pt>
                <c:pt idx="27">
                  <c:v>32.4</c:v>
                </c:pt>
                <c:pt idx="28">
                  <c:v>33.6</c:v>
                </c:pt>
                <c:pt idx="29">
                  <c:v>34.799999999999997</c:v>
                </c:pt>
                <c:pt idx="30">
                  <c:v>36</c:v>
                </c:pt>
                <c:pt idx="31">
                  <c:v>37.199999999999996</c:v>
                </c:pt>
                <c:pt idx="32">
                  <c:v>38.4</c:v>
                </c:pt>
                <c:pt idx="33">
                  <c:v>39.6</c:v>
                </c:pt>
                <c:pt idx="34">
                  <c:v>40.800000000000004</c:v>
                </c:pt>
                <c:pt idx="35">
                  <c:v>41.999999999999993</c:v>
                </c:pt>
                <c:pt idx="36">
                  <c:v>43.199999999999996</c:v>
                </c:pt>
                <c:pt idx="37">
                  <c:v>44.399999999999991</c:v>
                </c:pt>
                <c:pt idx="38">
                  <c:v>45.6</c:v>
                </c:pt>
                <c:pt idx="39">
                  <c:v>46.800000000000004</c:v>
                </c:pt>
                <c:pt idx="40">
                  <c:v>48</c:v>
                </c:pt>
                <c:pt idx="41">
                  <c:v>49.199999999999996</c:v>
                </c:pt>
                <c:pt idx="42">
                  <c:v>50.399999999999991</c:v>
                </c:pt>
                <c:pt idx="43">
                  <c:v>51.6</c:v>
                </c:pt>
                <c:pt idx="44">
                  <c:v>52.8</c:v>
                </c:pt>
                <c:pt idx="45">
                  <c:v>54</c:v>
                </c:pt>
                <c:pt idx="46">
                  <c:v>55.199999999999996</c:v>
                </c:pt>
                <c:pt idx="47">
                  <c:v>56.399999999999991</c:v>
                </c:pt>
                <c:pt idx="48">
                  <c:v>57.6</c:v>
                </c:pt>
                <c:pt idx="49">
                  <c:v>58.8</c:v>
                </c:pt>
                <c:pt idx="50">
                  <c:v>60</c:v>
                </c:pt>
                <c:pt idx="51">
                  <c:v>61.199999999999996</c:v>
                </c:pt>
                <c:pt idx="52">
                  <c:v>62.4</c:v>
                </c:pt>
                <c:pt idx="53">
                  <c:v>63.6</c:v>
                </c:pt>
                <c:pt idx="54">
                  <c:v>64.8</c:v>
                </c:pt>
                <c:pt idx="55">
                  <c:v>66</c:v>
                </c:pt>
                <c:pt idx="56">
                  <c:v>67.2</c:v>
                </c:pt>
                <c:pt idx="57">
                  <c:v>68.399999999999991</c:v>
                </c:pt>
                <c:pt idx="58">
                  <c:v>69.599999999999994</c:v>
                </c:pt>
                <c:pt idx="59">
                  <c:v>70.799999999999983</c:v>
                </c:pt>
                <c:pt idx="60">
                  <c:v>72</c:v>
                </c:pt>
                <c:pt idx="61">
                  <c:v>73.2</c:v>
                </c:pt>
                <c:pt idx="62">
                  <c:v>74.399999999999991</c:v>
                </c:pt>
                <c:pt idx="63">
                  <c:v>75.599999999999994</c:v>
                </c:pt>
                <c:pt idx="64">
                  <c:v>76.8</c:v>
                </c:pt>
                <c:pt idx="65">
                  <c:v>78</c:v>
                </c:pt>
                <c:pt idx="66">
                  <c:v>79.2</c:v>
                </c:pt>
                <c:pt idx="67">
                  <c:v>80.400000000000006</c:v>
                </c:pt>
                <c:pt idx="68">
                  <c:v>81.600000000000009</c:v>
                </c:pt>
                <c:pt idx="69">
                  <c:v>82.799999999999983</c:v>
                </c:pt>
                <c:pt idx="70">
                  <c:v>83.999999999999986</c:v>
                </c:pt>
                <c:pt idx="71">
                  <c:v>85.2</c:v>
                </c:pt>
                <c:pt idx="72">
                  <c:v>86.399999999999991</c:v>
                </c:pt>
                <c:pt idx="73">
                  <c:v>87.6</c:v>
                </c:pt>
                <c:pt idx="74">
                  <c:v>88.799999999999983</c:v>
                </c:pt>
                <c:pt idx="75">
                  <c:v>90</c:v>
                </c:pt>
                <c:pt idx="76">
                  <c:v>91.2</c:v>
                </c:pt>
                <c:pt idx="77">
                  <c:v>92.399999999999991</c:v>
                </c:pt>
                <c:pt idx="78">
                  <c:v>93.600000000000009</c:v>
                </c:pt>
                <c:pt idx="79">
                  <c:v>94.8</c:v>
                </c:pt>
                <c:pt idx="80">
                  <c:v>96</c:v>
                </c:pt>
                <c:pt idx="81">
                  <c:v>97.2</c:v>
                </c:pt>
                <c:pt idx="82">
                  <c:v>98.399999999999991</c:v>
                </c:pt>
                <c:pt idx="83">
                  <c:v>99.6</c:v>
                </c:pt>
                <c:pt idx="84">
                  <c:v>100.79999999999998</c:v>
                </c:pt>
                <c:pt idx="85">
                  <c:v>102</c:v>
                </c:pt>
                <c:pt idx="86">
                  <c:v>103.2</c:v>
                </c:pt>
                <c:pt idx="87">
                  <c:v>104.39999999999999</c:v>
                </c:pt>
                <c:pt idx="88">
                  <c:v>105.6</c:v>
                </c:pt>
                <c:pt idx="89">
                  <c:v>106.8</c:v>
                </c:pt>
                <c:pt idx="90">
                  <c:v>108</c:v>
                </c:pt>
                <c:pt idx="91">
                  <c:v>109.2</c:v>
                </c:pt>
                <c:pt idx="92">
                  <c:v>110.39999999999999</c:v>
                </c:pt>
                <c:pt idx="93">
                  <c:v>111.60000000000001</c:v>
                </c:pt>
                <c:pt idx="94">
                  <c:v>112.79999999999998</c:v>
                </c:pt>
                <c:pt idx="95">
                  <c:v>113.99999999999999</c:v>
                </c:pt>
                <c:pt idx="96">
                  <c:v>115.2</c:v>
                </c:pt>
                <c:pt idx="97">
                  <c:v>116.39999999999999</c:v>
                </c:pt>
                <c:pt idx="98">
                  <c:v>117.6</c:v>
                </c:pt>
                <c:pt idx="99">
                  <c:v>118.79999999999998</c:v>
                </c:pt>
                <c:pt idx="100">
                  <c:v>120</c:v>
                </c:pt>
              </c:numCache>
            </c:numRef>
          </c:xVal>
          <c:yVal>
            <c:numRef>
              <c:f>'PFM Efficiency'!$T$6:$T$106</c:f>
              <c:numCache>
                <c:formatCode>0.0000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extLst>
            <c:ext xmlns:c16="http://schemas.microsoft.com/office/drawing/2014/chart" uri="{C3380CC4-5D6E-409C-BE32-E72D297353CC}">
              <c16:uniqueId val="{00000002-F1AC-4E20-B954-7B5749184C50}"/>
            </c:ext>
          </c:extLst>
        </c:ser>
        <c:dLbls>
          <c:showLegendKey val="0"/>
          <c:showVal val="0"/>
          <c:showCatName val="0"/>
          <c:showSerName val="0"/>
          <c:showPercent val="0"/>
          <c:showBubbleSize val="0"/>
        </c:dLbls>
        <c:axId val="158505984"/>
        <c:axId val="158512256"/>
      </c:scatterChart>
      <c:valAx>
        <c:axId val="158505984"/>
        <c:scaling>
          <c:orientation val="minMax"/>
          <c:min val="0"/>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a:t>Iout (mA)</a:t>
                </a:r>
              </a:p>
            </c:rich>
          </c:tx>
          <c:layout>
            <c:manualLayout>
              <c:xMode val="edge"/>
              <c:yMode val="edge"/>
              <c:x val="0.47898089171975711"/>
              <c:y val="0.9254040724748217"/>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58512256"/>
        <c:crosses val="autoZero"/>
        <c:crossBetween val="midCat"/>
      </c:valAx>
      <c:valAx>
        <c:axId val="158512256"/>
        <c:scaling>
          <c:orientation val="minMax"/>
        </c:scaling>
        <c:delete val="0"/>
        <c:axPos val="l"/>
        <c:majorGridlines>
          <c:spPr>
            <a:ln w="3175">
              <a:solidFill>
                <a:srgbClr val="000000"/>
              </a:solidFill>
              <a:prstDash val="solid"/>
            </a:ln>
          </c:spPr>
        </c:majorGridlines>
        <c:title>
          <c:tx>
            <c:rich>
              <a:bodyPr/>
              <a:lstStyle/>
              <a:p>
                <a:pPr>
                  <a:defRPr sz="1100" b="1" i="0" u="none" strike="noStrike" baseline="0">
                    <a:solidFill>
                      <a:srgbClr val="000000"/>
                    </a:solidFill>
                    <a:latin typeface="Arial"/>
                    <a:ea typeface="Arial"/>
                    <a:cs typeface="Arial"/>
                  </a:defRPr>
                </a:pPr>
                <a:r>
                  <a:rPr lang="en-US" sz="1100"/>
                  <a:t>Power Disipation (W)</a:t>
                </a:r>
              </a:p>
            </c:rich>
          </c:tx>
          <c:layout>
            <c:manualLayout>
              <c:xMode val="edge"/>
              <c:yMode val="edge"/>
              <c:x val="1.9108294020127224E-2"/>
              <c:y val="0.34056580474752185"/>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58505984"/>
        <c:crosses val="autoZero"/>
        <c:crossBetween val="midCat"/>
      </c:valAx>
      <c:spPr>
        <a:solidFill>
          <a:schemeClr val="bg1">
            <a:lumMod val="95000"/>
          </a:schemeClr>
        </a:solidFill>
        <a:ln w="12700">
          <a:solidFill>
            <a:srgbClr val="808080"/>
          </a:solidFill>
          <a:prstDash val="solid"/>
        </a:ln>
      </c:spPr>
    </c:plotArea>
    <c:legend>
      <c:legendPos val="r"/>
      <c:layout>
        <c:manualLayout>
          <c:xMode val="edge"/>
          <c:yMode val="edge"/>
          <c:x val="0.13879470679742131"/>
          <c:y val="0.19071780638592678"/>
          <c:w val="0.29206939598422366"/>
          <c:h val="0.15064472164663803"/>
        </c:manualLayout>
      </c:layout>
      <c:overlay val="0"/>
      <c:spPr>
        <a:solidFill>
          <a:srgbClr val="FFFFFF"/>
        </a:solidFill>
        <a:ln w="3175">
          <a:solidFill>
            <a:srgbClr val="000000"/>
          </a:solidFill>
          <a:prstDash val="solid"/>
        </a:ln>
      </c:spPr>
      <c:txPr>
        <a:bodyPr/>
        <a:lstStyle/>
        <a:p>
          <a:pPr>
            <a:defRPr sz="11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000000000000822" r="0.75000000000000822" t="1" header="0.5" footer="0.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P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t>Breakdown of </a:t>
            </a:r>
            <a:r>
              <a:rPr lang="en-US" sz="1800" b="1" i="0" baseline="0">
                <a:solidFill>
                  <a:srgbClr val="FF0000"/>
                </a:solidFill>
              </a:rPr>
              <a:t>PFM</a:t>
            </a:r>
            <a:r>
              <a:rPr lang="en-US" sz="1800" b="1" i="0" baseline="0"/>
              <a:t> Efficiency Losses (</a:t>
            </a:r>
            <a:r>
              <a:rPr lang="en-US" sz="1800" b="1" i="0" u="none" strike="noStrike" baseline="0"/>
              <a:t>I</a:t>
            </a:r>
            <a:r>
              <a:rPr lang="en-US" sz="1800" b="1" i="0" u="none" strike="noStrike" baseline="-25000"/>
              <a:t>OUT</a:t>
            </a:r>
            <a:r>
              <a:rPr lang="en-US" sz="1800" b="1" i="0" u="none" strike="noStrike" baseline="0"/>
              <a:t> = 10</a:t>
            </a:r>
            <a:r>
              <a:rPr lang="en-US" sz="1800" b="1" i="0" baseline="0"/>
              <a:t>0mA)</a:t>
            </a:r>
            <a:endParaRPr lang="en-US" sz="1800"/>
          </a:p>
        </c:rich>
      </c:tx>
      <c:layout>
        <c:manualLayout>
          <c:xMode val="edge"/>
          <c:yMode val="edge"/>
          <c:x val="0.32594843462246786"/>
          <c:y val="4.0694195092758817E-2"/>
        </c:manualLayout>
      </c:layout>
      <c:overlay val="0"/>
    </c:title>
    <c:autoTitleDeleted val="0"/>
    <c:plotArea>
      <c:layout>
        <c:manualLayout>
          <c:layoutTarget val="inner"/>
          <c:xMode val="edge"/>
          <c:yMode val="edge"/>
          <c:x val="9.2844202898550721E-2"/>
          <c:y val="0.14821658962288603"/>
          <c:w val="0.89442960513913661"/>
          <c:h val="0.76382419881536368"/>
        </c:manualLayout>
      </c:layout>
      <c:barChart>
        <c:barDir val="col"/>
        <c:grouping val="clustered"/>
        <c:varyColors val="0"/>
        <c:ser>
          <c:idx val="6"/>
          <c:order val="0"/>
          <c:tx>
            <c:strRef>
              <c:f>'PFM Efficiency'!$AV$5</c:f>
              <c:strCache>
                <c:ptCount val="1"/>
                <c:pt idx="0">
                  <c:v>High-side MOSFET Rdson %</c:v>
                </c:pt>
              </c:strCache>
            </c:strRef>
          </c:tx>
          <c:spPr>
            <a:solidFill>
              <a:srgbClr val="FF0000"/>
            </a:solidFill>
            <a:ln w="12700">
              <a:solidFill>
                <a:srgbClr val="000000"/>
              </a:solidFill>
              <a:prstDash val="solid"/>
            </a:ln>
          </c:spPr>
          <c:invertIfNegative val="0"/>
          <c:dLbls>
            <c:dLbl>
              <c:idx val="0"/>
              <c:tx>
                <c:rich>
                  <a:bodyPr/>
                  <a:lstStyle/>
                  <a:p>
                    <a:r>
                      <a:rPr lang="en-US"/>
                      <a:t>High-side MOSFET</a:t>
                    </a:r>
                  </a:p>
                  <a:p>
                    <a:r>
                      <a:rPr lang="en-US"/>
                      <a:t>Rdson</a:t>
                    </a:r>
                  </a:p>
                </c:rich>
              </c:tx>
              <c:dLblPos val="outEnd"/>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717C-449D-958E-98245F37FFDB}"/>
                </c:ext>
              </c:extLst>
            </c:dLbl>
            <c:spPr>
              <a:noFill/>
              <a:ln>
                <a:noFill/>
              </a:ln>
              <a:effectLst/>
            </c:spPr>
            <c:txPr>
              <a:bodyPr/>
              <a:lstStyle/>
              <a:p>
                <a:pPr>
                  <a:defRPr sz="1200" b="1"/>
                </a:pPr>
                <a:endParaRPr lang="en-US"/>
              </a:p>
            </c:txPr>
            <c:dLblPos val="outEnd"/>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'PFM Efficiency'!$AV$109</c:f>
              <c:numCache>
                <c:formatCode>0.00%</c:formatCode>
                <c:ptCount val="1"/>
                <c:pt idx="0">
                  <c:v>0</c:v>
                </c:pt>
              </c:numCache>
            </c:numRef>
          </c:val>
          <c:extLst>
            <c:ext xmlns:c16="http://schemas.microsoft.com/office/drawing/2014/chart" uri="{C3380CC4-5D6E-409C-BE32-E72D297353CC}">
              <c16:uniqueId val="{00000001-717C-449D-958E-98245F37FFDB}"/>
            </c:ext>
          </c:extLst>
        </c:ser>
        <c:ser>
          <c:idx val="5"/>
          <c:order val="1"/>
          <c:tx>
            <c:strRef>
              <c:f>'PFM Efficiency'!$AY$5</c:f>
              <c:strCache>
                <c:ptCount val="1"/>
                <c:pt idx="0">
                  <c:v>High-side MOSFET Switching Loss %</c:v>
                </c:pt>
              </c:strCache>
            </c:strRef>
          </c:tx>
          <c:spPr>
            <a:solidFill>
              <a:srgbClr val="0000FF"/>
            </a:solidFill>
            <a:ln w="12700">
              <a:solidFill>
                <a:srgbClr val="000000"/>
              </a:solidFill>
              <a:prstDash val="solid"/>
            </a:ln>
          </c:spPr>
          <c:invertIfNegative val="0"/>
          <c:dLbls>
            <c:dLbl>
              <c:idx val="0"/>
              <c:tx>
                <c:rich>
                  <a:bodyPr/>
                  <a:lstStyle/>
                  <a:p>
                    <a:r>
                      <a:rPr lang="en-US"/>
                      <a:t>High-side MOSFET</a:t>
                    </a:r>
                  </a:p>
                  <a:p>
                    <a:r>
                      <a:rPr lang="en-US"/>
                      <a:t>Switching</a:t>
                    </a:r>
                  </a:p>
                </c:rich>
              </c:tx>
              <c:dLblPos val="outEnd"/>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717C-449D-958E-98245F37FFDB}"/>
                </c:ext>
              </c:extLst>
            </c:dLbl>
            <c:spPr>
              <a:noFill/>
              <a:ln>
                <a:noFill/>
              </a:ln>
              <a:effectLst/>
            </c:spPr>
            <c:txPr>
              <a:bodyPr/>
              <a:lstStyle/>
              <a:p>
                <a:pPr>
                  <a:defRPr sz="1200" b="1"/>
                </a:pPr>
                <a:endParaRPr lang="en-US"/>
              </a:p>
            </c:txPr>
            <c:dLblPos val="outEnd"/>
            <c:showLegendKey val="0"/>
            <c:showVal val="0"/>
            <c:showCatName val="0"/>
            <c:showSerName val="0"/>
            <c:showPercent val="0"/>
            <c:showBubbleSize val="0"/>
            <c:extLst>
              <c:ext xmlns:c15="http://schemas.microsoft.com/office/drawing/2012/chart" uri="{CE6537A1-D6FC-4f65-9D91-7224C49458BB}">
                <c15:showLeaderLines val="0"/>
              </c:ext>
            </c:extLst>
          </c:dLbls>
          <c:val>
            <c:numRef>
              <c:f>'PFM Efficiency'!$AY$109</c:f>
              <c:numCache>
                <c:formatCode>0.00%</c:formatCode>
                <c:ptCount val="1"/>
                <c:pt idx="0">
                  <c:v>0</c:v>
                </c:pt>
              </c:numCache>
            </c:numRef>
          </c:val>
          <c:extLst>
            <c:ext xmlns:c16="http://schemas.microsoft.com/office/drawing/2014/chart" uri="{C3380CC4-5D6E-409C-BE32-E72D297353CC}">
              <c16:uniqueId val="{00000003-717C-449D-958E-98245F37FFDB}"/>
            </c:ext>
          </c:extLst>
        </c:ser>
        <c:ser>
          <c:idx val="7"/>
          <c:order val="2"/>
          <c:tx>
            <c:strRef>
              <c:f>'PFM Efficiency'!$AW$5</c:f>
              <c:strCache>
                <c:ptCount val="1"/>
                <c:pt idx="0">
                  <c:v>Low-side MOSFET Rdson %</c:v>
                </c:pt>
              </c:strCache>
            </c:strRef>
          </c:tx>
          <c:spPr>
            <a:solidFill>
              <a:srgbClr val="FF6600"/>
            </a:solidFill>
            <a:ln w="12700">
              <a:solidFill>
                <a:srgbClr val="000000"/>
              </a:solidFill>
              <a:prstDash val="solid"/>
            </a:ln>
          </c:spPr>
          <c:invertIfNegative val="0"/>
          <c:dLbls>
            <c:dLbl>
              <c:idx val="0"/>
              <c:tx>
                <c:rich>
                  <a:bodyPr/>
                  <a:lstStyle/>
                  <a:p>
                    <a:r>
                      <a:rPr lang="en-US" sz="1200" b="1"/>
                      <a:t>L</a:t>
                    </a:r>
                    <a:r>
                      <a:rPr lang="en-US" sz="1200"/>
                      <a:t>ow-side MOSFET</a:t>
                    </a:r>
                  </a:p>
                  <a:p>
                    <a:r>
                      <a:rPr lang="en-US" sz="1200"/>
                      <a:t>Rdson</a:t>
                    </a:r>
                  </a:p>
                </c:rich>
              </c:tx>
              <c:dLblPos val="outEnd"/>
              <c:showLegendKey val="0"/>
              <c:showVal val="1"/>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717C-449D-958E-98245F37FFDB}"/>
                </c:ext>
              </c:extLst>
            </c:dLbl>
            <c:spPr>
              <a:noFill/>
              <a:ln>
                <a:noFill/>
              </a:ln>
              <a:effectLst/>
            </c:spPr>
            <c:txPr>
              <a:bodyPr/>
              <a:lstStyle/>
              <a:p>
                <a:pPr>
                  <a:defRPr b="1"/>
                </a:pPr>
                <a:endParaRPr lang="en-US"/>
              </a:p>
            </c:txPr>
            <c:dLblPos val="outEnd"/>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val>
            <c:numRef>
              <c:f>'PFM Efficiency'!$AW$109</c:f>
              <c:numCache>
                <c:formatCode>0.00%</c:formatCode>
                <c:ptCount val="1"/>
                <c:pt idx="0">
                  <c:v>0</c:v>
                </c:pt>
              </c:numCache>
            </c:numRef>
          </c:val>
          <c:extLst>
            <c:ext xmlns:c16="http://schemas.microsoft.com/office/drawing/2014/chart" uri="{C3380CC4-5D6E-409C-BE32-E72D297353CC}">
              <c16:uniqueId val="{00000005-717C-449D-958E-98245F37FFDB}"/>
            </c:ext>
          </c:extLst>
        </c:ser>
        <c:ser>
          <c:idx val="3"/>
          <c:order val="3"/>
          <c:tx>
            <c:strRef>
              <c:f>'PFM Efficiency'!$BA$5</c:f>
              <c:strCache>
                <c:ptCount val="1"/>
                <c:pt idx="0">
                  <c:v>Low-side MOSFET Deadtime Loss %</c:v>
                </c:pt>
              </c:strCache>
            </c:strRef>
          </c:tx>
          <c:spPr>
            <a:solidFill>
              <a:srgbClr val="666699"/>
            </a:solidFill>
            <a:ln w="12700">
              <a:solidFill>
                <a:srgbClr val="000000"/>
              </a:solidFill>
              <a:prstDash val="solid"/>
            </a:ln>
          </c:spPr>
          <c:invertIfNegative val="0"/>
          <c:dLbls>
            <c:dLbl>
              <c:idx val="0"/>
              <c:tx>
                <c:rich>
                  <a:bodyPr/>
                  <a:lstStyle/>
                  <a:p>
                    <a:r>
                      <a:rPr lang="en-US"/>
                      <a:t>Low-side MOSFET</a:t>
                    </a:r>
                  </a:p>
                  <a:p>
                    <a:r>
                      <a:rPr lang="en-US"/>
                      <a:t>Deadtime </a:t>
                    </a:r>
                  </a:p>
                </c:rich>
              </c:tx>
              <c:dLblPos val="outEnd"/>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717C-449D-958E-98245F37FFDB}"/>
                </c:ext>
              </c:extLst>
            </c:dLbl>
            <c:spPr>
              <a:noFill/>
              <a:ln>
                <a:noFill/>
              </a:ln>
              <a:effectLst/>
            </c:spPr>
            <c:txPr>
              <a:bodyPr/>
              <a:lstStyle/>
              <a:p>
                <a:pPr>
                  <a:defRPr sz="1200" b="1"/>
                </a:pPr>
                <a:endParaRPr lang="en-US"/>
              </a:p>
            </c:txPr>
            <c:dLblPos val="outEnd"/>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'PFM Efficiency'!$BA$109</c:f>
              <c:numCache>
                <c:formatCode>0.00%</c:formatCode>
                <c:ptCount val="1"/>
                <c:pt idx="0">
                  <c:v>0</c:v>
                </c:pt>
              </c:numCache>
            </c:numRef>
          </c:val>
          <c:extLst>
            <c:ext xmlns:c16="http://schemas.microsoft.com/office/drawing/2014/chart" uri="{C3380CC4-5D6E-409C-BE32-E72D297353CC}">
              <c16:uniqueId val="{00000007-717C-449D-958E-98245F37FFDB}"/>
            </c:ext>
          </c:extLst>
        </c:ser>
        <c:ser>
          <c:idx val="2"/>
          <c:order val="4"/>
          <c:tx>
            <c:strRef>
              <c:f>'PFM Efficiency'!$AX$5</c:f>
              <c:strCache>
                <c:ptCount val="1"/>
                <c:pt idx="0">
                  <c:v>Gate Drive (Qg) Loss from Vin %</c:v>
                </c:pt>
              </c:strCache>
            </c:strRef>
          </c:tx>
          <c:spPr>
            <a:solidFill>
              <a:srgbClr val="00FFFF"/>
            </a:solidFill>
            <a:ln w="12700">
              <a:solidFill>
                <a:srgbClr val="000000"/>
              </a:solidFill>
              <a:prstDash val="solid"/>
            </a:ln>
          </c:spPr>
          <c:invertIfNegative val="0"/>
          <c:dLbls>
            <c:dLbl>
              <c:idx val="0"/>
              <c:tx>
                <c:rich>
                  <a:bodyPr/>
                  <a:lstStyle/>
                  <a:p>
                    <a:r>
                      <a:rPr lang="en-US"/>
                      <a:t>Gate Drive (Qg) Loss</a:t>
                    </a:r>
                  </a:p>
                </c:rich>
              </c:tx>
              <c:dLblPos val="outEnd"/>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717C-449D-958E-98245F37FFDB}"/>
                </c:ext>
              </c:extLst>
            </c:dLbl>
            <c:spPr>
              <a:noFill/>
              <a:ln>
                <a:noFill/>
              </a:ln>
              <a:effectLst/>
            </c:spPr>
            <c:txPr>
              <a:bodyPr rot="0" vert="horz"/>
              <a:lstStyle/>
              <a:p>
                <a:pPr>
                  <a:defRPr sz="1200" b="1"/>
                </a:pPr>
                <a:endParaRPr lang="en-US"/>
              </a:p>
            </c:txPr>
            <c:dLblPos val="outEnd"/>
            <c:showLegendKey val="0"/>
            <c:showVal val="0"/>
            <c:showCatName val="0"/>
            <c:showSerName val="0"/>
            <c:showPercent val="0"/>
            <c:showBubbleSize val="0"/>
            <c:extLst>
              <c:ext xmlns:c15="http://schemas.microsoft.com/office/drawing/2012/chart" uri="{CE6537A1-D6FC-4f65-9D91-7224C49458BB}">
                <c15:showLeaderLines val="0"/>
              </c:ext>
            </c:extLst>
          </c:dLbls>
          <c:val>
            <c:numRef>
              <c:f>'PFM Efficiency'!$AX$109</c:f>
              <c:numCache>
                <c:formatCode>0.00%</c:formatCode>
                <c:ptCount val="1"/>
                <c:pt idx="0">
                  <c:v>0</c:v>
                </c:pt>
              </c:numCache>
            </c:numRef>
          </c:val>
          <c:extLst>
            <c:ext xmlns:c16="http://schemas.microsoft.com/office/drawing/2014/chart" uri="{C3380CC4-5D6E-409C-BE32-E72D297353CC}">
              <c16:uniqueId val="{00000009-717C-449D-958E-98245F37FFDB}"/>
            </c:ext>
          </c:extLst>
        </c:ser>
        <c:ser>
          <c:idx val="8"/>
          <c:order val="5"/>
          <c:tx>
            <c:strRef>
              <c:f>'PFM Efficiency'!$BB$5</c:f>
              <c:strCache>
                <c:ptCount val="1"/>
                <c:pt idx="0">
                  <c:v>Inductor Cu Loss %</c:v>
                </c:pt>
              </c:strCache>
            </c:strRef>
          </c:tx>
          <c:spPr>
            <a:solidFill>
              <a:srgbClr val="00FF00"/>
            </a:solidFill>
            <a:ln w="12700">
              <a:solidFill>
                <a:srgbClr val="000000"/>
              </a:solidFill>
              <a:prstDash val="solid"/>
            </a:ln>
          </c:spPr>
          <c:invertIfNegative val="0"/>
          <c:dLbls>
            <c:dLbl>
              <c:idx val="0"/>
              <c:tx>
                <c:rich>
                  <a:bodyPr/>
                  <a:lstStyle/>
                  <a:p>
                    <a:r>
                      <a:rPr lang="en-US"/>
                      <a:t>Inductor DCR Loss</a:t>
                    </a:r>
                  </a:p>
                </c:rich>
              </c:tx>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717C-449D-958E-98245F37FFDB}"/>
                </c:ext>
              </c:extLst>
            </c:dLbl>
            <c:spPr>
              <a:noFill/>
              <a:ln>
                <a:noFill/>
              </a:ln>
              <a:effectLst/>
            </c:spPr>
            <c:txPr>
              <a:bodyPr/>
              <a:lstStyle/>
              <a:p>
                <a:pPr>
                  <a:defRPr sz="1200" b="1"/>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val>
            <c:numRef>
              <c:f>'PFM Efficiency'!$BB$109</c:f>
              <c:numCache>
                <c:formatCode>0.00%</c:formatCode>
                <c:ptCount val="1"/>
                <c:pt idx="0">
                  <c:v>0</c:v>
                </c:pt>
              </c:numCache>
            </c:numRef>
          </c:val>
          <c:extLst>
            <c:ext xmlns:c16="http://schemas.microsoft.com/office/drawing/2014/chart" uri="{C3380CC4-5D6E-409C-BE32-E72D297353CC}">
              <c16:uniqueId val="{0000000B-717C-449D-958E-98245F37FFDB}"/>
            </c:ext>
          </c:extLst>
        </c:ser>
        <c:ser>
          <c:idx val="4"/>
          <c:order val="6"/>
          <c:tx>
            <c:strRef>
              <c:f>'PFM Efficiency'!$BC$5</c:f>
              <c:strCache>
                <c:ptCount val="1"/>
                <c:pt idx="0">
                  <c:v>Inductor Core Loss %</c:v>
                </c:pt>
              </c:strCache>
            </c:strRef>
          </c:tx>
          <c:spPr>
            <a:solidFill>
              <a:srgbClr val="99CC00"/>
            </a:solidFill>
            <a:ln w="12700">
              <a:solidFill>
                <a:srgbClr val="000000"/>
              </a:solidFill>
              <a:prstDash val="solid"/>
            </a:ln>
          </c:spPr>
          <c:invertIfNegative val="0"/>
          <c:dLbls>
            <c:dLbl>
              <c:idx val="0"/>
              <c:tx>
                <c:rich>
                  <a:bodyPr/>
                  <a:lstStyle/>
                  <a:p>
                    <a:r>
                      <a:rPr lang="en-US"/>
                      <a:t>Inductor Core Loss</a:t>
                    </a:r>
                  </a:p>
                </c:rich>
              </c:tx>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717C-449D-958E-98245F37FFDB}"/>
                </c:ext>
              </c:extLst>
            </c:dLbl>
            <c:spPr>
              <a:noFill/>
              <a:ln>
                <a:noFill/>
              </a:ln>
              <a:effectLst/>
            </c:spPr>
            <c:txPr>
              <a:bodyPr/>
              <a:lstStyle/>
              <a:p>
                <a:pPr>
                  <a:defRPr sz="1200" b="1"/>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val>
            <c:numRef>
              <c:f>'PFM Efficiency'!$BC$109</c:f>
              <c:numCache>
                <c:formatCode>0.00%</c:formatCode>
                <c:ptCount val="1"/>
                <c:pt idx="0">
                  <c:v>0</c:v>
                </c:pt>
              </c:numCache>
            </c:numRef>
          </c:val>
          <c:extLst>
            <c:ext xmlns:c16="http://schemas.microsoft.com/office/drawing/2014/chart" uri="{C3380CC4-5D6E-409C-BE32-E72D297353CC}">
              <c16:uniqueId val="{0000000D-717C-449D-958E-98245F37FFDB}"/>
            </c:ext>
          </c:extLst>
        </c:ser>
        <c:ser>
          <c:idx val="0"/>
          <c:order val="7"/>
          <c:tx>
            <c:strRef>
              <c:f>'PFM Efficiency'!$BE$5</c:f>
              <c:strCache>
                <c:ptCount val="1"/>
                <c:pt idx="0">
                  <c:v>Quiescent Current Loss %</c:v>
                </c:pt>
              </c:strCache>
            </c:strRef>
          </c:tx>
          <c:invertIfNegative val="0"/>
          <c:dLbls>
            <c:dLbl>
              <c:idx val="0"/>
              <c:tx>
                <c:rich>
                  <a:bodyPr/>
                  <a:lstStyle/>
                  <a:p>
                    <a:r>
                      <a:rPr lang="en-US"/>
                      <a:t>Quiescent Current</a:t>
                    </a:r>
                  </a:p>
                  <a:p>
                    <a:r>
                      <a:rPr lang="en-US"/>
                      <a:t>Loss </a:t>
                    </a:r>
                  </a:p>
                </c:rich>
              </c:tx>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717C-449D-958E-98245F37FFDB}"/>
                </c:ext>
              </c:extLst>
            </c:dLbl>
            <c:numFmt formatCode="0.0E+00" sourceLinked="0"/>
            <c:spPr>
              <a:noFill/>
            </c:spPr>
            <c:txPr>
              <a:bodyPr rot="0" vert="horz" anchor="ctr" anchorCtr="0"/>
              <a:lstStyle/>
              <a:p>
                <a:pPr>
                  <a:defRPr sz="1200" b="1"/>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val>
            <c:numRef>
              <c:f>'PFM Efficiency'!$BE$109</c:f>
              <c:numCache>
                <c:formatCode>0.00%</c:formatCode>
                <c:ptCount val="1"/>
                <c:pt idx="0">
                  <c:v>0</c:v>
                </c:pt>
              </c:numCache>
            </c:numRef>
          </c:val>
          <c:extLst>
            <c:ext xmlns:c16="http://schemas.microsoft.com/office/drawing/2014/chart" uri="{C3380CC4-5D6E-409C-BE32-E72D297353CC}">
              <c16:uniqueId val="{0000000F-717C-449D-958E-98245F37FFDB}"/>
            </c:ext>
          </c:extLst>
        </c:ser>
        <c:dLbls>
          <c:showLegendKey val="0"/>
          <c:showVal val="0"/>
          <c:showCatName val="0"/>
          <c:showSerName val="0"/>
          <c:showPercent val="0"/>
          <c:showBubbleSize val="0"/>
        </c:dLbls>
        <c:gapWidth val="101"/>
        <c:overlap val="-70"/>
        <c:axId val="158358144"/>
        <c:axId val="158364032"/>
      </c:barChart>
      <c:catAx>
        <c:axId val="158358144"/>
        <c:scaling>
          <c:orientation val="minMax"/>
        </c:scaling>
        <c:delete val="0"/>
        <c:axPos val="b"/>
        <c:numFmt formatCode="General" sourceLinked="1"/>
        <c:majorTickMark val="none"/>
        <c:minorTickMark val="none"/>
        <c:tickLblPos val="none"/>
        <c:spPr>
          <a:ln w="3175">
            <a:solidFill>
              <a:srgbClr val="000000"/>
            </a:solidFill>
            <a:prstDash val="solid"/>
          </a:ln>
        </c:spPr>
        <c:txPr>
          <a:bodyPr rot="0" vert="horz"/>
          <a:lstStyle/>
          <a:p>
            <a:pPr>
              <a:defRPr sz="1725" b="0" i="0" u="none" strike="noStrike" baseline="0">
                <a:solidFill>
                  <a:srgbClr val="000000"/>
                </a:solidFill>
                <a:latin typeface="Arial"/>
                <a:ea typeface="Arial"/>
                <a:cs typeface="Arial"/>
              </a:defRPr>
            </a:pPr>
            <a:endParaRPr lang="en-US"/>
          </a:p>
        </c:txPr>
        <c:crossAx val="158364032"/>
        <c:crossesAt val="0"/>
        <c:auto val="1"/>
        <c:lblAlgn val="ctr"/>
        <c:lblOffset val="100"/>
        <c:noMultiLvlLbl val="0"/>
      </c:catAx>
      <c:valAx>
        <c:axId val="158364032"/>
        <c:scaling>
          <c:orientation val="minMax"/>
        </c:scaling>
        <c:delete val="0"/>
        <c:axPos val="l"/>
        <c:majorGridlines>
          <c:spPr>
            <a:ln>
              <a:prstDash val="lgDash"/>
            </a:ln>
          </c:spPr>
        </c:majorGridlines>
        <c:title>
          <c:tx>
            <c:rich>
              <a:bodyPr/>
              <a:lstStyle/>
              <a:p>
                <a:pPr>
                  <a:defRPr b="1"/>
                </a:pPr>
                <a:r>
                  <a:rPr lang="en-US" b="1"/>
                  <a:t>Loss</a:t>
                </a:r>
                <a:r>
                  <a:rPr lang="en-US" b="1" baseline="0"/>
                  <a:t> Contributors</a:t>
                </a:r>
                <a:endParaRPr lang="en-US" b="1"/>
              </a:p>
            </c:rich>
          </c:tx>
          <c:layout>
            <c:manualLayout>
              <c:xMode val="edge"/>
              <c:yMode val="edge"/>
              <c:x val="9.9337306593581896E-3"/>
              <c:y val="0.30210944457795558"/>
            </c:manualLayout>
          </c:layout>
          <c:overlay val="0"/>
        </c:title>
        <c:numFmt formatCode="0.0%" sourceLinked="0"/>
        <c:majorTickMark val="out"/>
        <c:minorTickMark val="out"/>
        <c:tickLblPos val="low"/>
        <c:crossAx val="158358144"/>
        <c:crosses val="autoZero"/>
        <c:crossBetween val="between"/>
      </c:valAx>
      <c:spPr>
        <a:solidFill>
          <a:schemeClr val="bg1">
            <a:lumMod val="95000"/>
          </a:schemeClr>
        </a:solidFill>
        <a:ln w="25400">
          <a:noFill/>
        </a:ln>
      </c:spPr>
    </c:plotArea>
    <c:plotVisOnly val="1"/>
    <c:dispBlanksAs val="zero"/>
    <c:showDLblsOverMax val="0"/>
  </c:chart>
  <c:spPr>
    <a:solidFill>
      <a:srgbClr val="FFFFFF"/>
    </a:solidFill>
    <a:ln w="3175">
      <a:noFill/>
      <a:prstDash val="solid"/>
    </a:ln>
  </c:spPr>
  <c:txPr>
    <a:bodyPr/>
    <a:lstStyle/>
    <a:p>
      <a:pPr>
        <a:defRPr sz="1725" b="0" i="0" u="none" strike="noStrike" baseline="0">
          <a:solidFill>
            <a:srgbClr val="000000"/>
          </a:solidFill>
          <a:latin typeface="Arial"/>
          <a:ea typeface="Arial"/>
          <a:cs typeface="Arial"/>
        </a:defRPr>
      </a:pPr>
      <a:endParaRPr lang="en-US"/>
    </a:p>
  </c:txPr>
  <c:printSettings>
    <c:headerFooter alignWithMargins="0"/>
    <c:pageMargins b="1" l="0.75000000000000211" r="0.75000000000000211" t="1" header="0.5" footer="0.5"/>
    <c:pageSetup orientation="landscape"/>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P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t>Breakdown of </a:t>
            </a:r>
            <a:r>
              <a:rPr lang="en-US" sz="1800" b="1" i="0" u="none" baseline="0">
                <a:solidFill>
                  <a:srgbClr val="FF0000"/>
                </a:solidFill>
              </a:rPr>
              <a:t>PFM</a:t>
            </a:r>
            <a:r>
              <a:rPr lang="en-US" sz="1800" b="1" i="0" baseline="0"/>
              <a:t> Efficiency Losses (I</a:t>
            </a:r>
            <a:r>
              <a:rPr lang="en-US" sz="1800" b="1" i="0" baseline="-25000"/>
              <a:t>OUT</a:t>
            </a:r>
            <a:r>
              <a:rPr lang="en-US" sz="1800" b="1" i="0" baseline="0"/>
              <a:t> = 1mA)</a:t>
            </a:r>
            <a:endParaRPr lang="en-US"/>
          </a:p>
        </c:rich>
      </c:tx>
      <c:layout>
        <c:manualLayout>
          <c:xMode val="edge"/>
          <c:yMode val="edge"/>
          <c:x val="0.32410681399631686"/>
          <c:y val="4.0694195092758817E-2"/>
        </c:manualLayout>
      </c:layout>
      <c:overlay val="0"/>
    </c:title>
    <c:autoTitleDeleted val="0"/>
    <c:plotArea>
      <c:layout>
        <c:manualLayout>
          <c:layoutTarget val="inner"/>
          <c:xMode val="edge"/>
          <c:yMode val="edge"/>
          <c:x val="9.2844202898550721E-2"/>
          <c:y val="0.14821658962288609"/>
          <c:w val="0.89442960513913661"/>
          <c:h val="0.76382419881536368"/>
        </c:manualLayout>
      </c:layout>
      <c:barChart>
        <c:barDir val="col"/>
        <c:grouping val="clustered"/>
        <c:varyColors val="0"/>
        <c:ser>
          <c:idx val="6"/>
          <c:order val="0"/>
          <c:tx>
            <c:strRef>
              <c:f>'PFM Efficiency'!$AV$5</c:f>
              <c:strCache>
                <c:ptCount val="1"/>
                <c:pt idx="0">
                  <c:v>High-side MOSFET Rdson %</c:v>
                </c:pt>
              </c:strCache>
            </c:strRef>
          </c:tx>
          <c:spPr>
            <a:solidFill>
              <a:srgbClr val="FF0000"/>
            </a:solidFill>
            <a:ln w="12700">
              <a:solidFill>
                <a:srgbClr val="000000"/>
              </a:solidFill>
              <a:prstDash val="solid"/>
            </a:ln>
          </c:spPr>
          <c:invertIfNegative val="0"/>
          <c:dLbls>
            <c:dLbl>
              <c:idx val="0"/>
              <c:tx>
                <c:rich>
                  <a:bodyPr/>
                  <a:lstStyle/>
                  <a:p>
                    <a:r>
                      <a:rPr lang="en-US"/>
                      <a:t>High-side MOSFET</a:t>
                    </a:r>
                  </a:p>
                  <a:p>
                    <a:r>
                      <a:rPr lang="en-US"/>
                      <a:t>Rdson</a:t>
                    </a:r>
                  </a:p>
                </c:rich>
              </c:tx>
              <c:dLblPos val="outEnd"/>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ABD8-4F4F-9760-8797DD1EFD22}"/>
                </c:ext>
              </c:extLst>
            </c:dLbl>
            <c:spPr>
              <a:noFill/>
              <a:ln>
                <a:noFill/>
              </a:ln>
              <a:effectLst/>
            </c:spPr>
            <c:txPr>
              <a:bodyPr/>
              <a:lstStyle/>
              <a:p>
                <a:pPr>
                  <a:defRPr sz="1200" b="1"/>
                </a:pPr>
                <a:endParaRPr lang="en-US"/>
              </a:p>
            </c:txPr>
            <c:dLblPos val="outEnd"/>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'PFM Efficiency'!$AV$110</c:f>
              <c:numCache>
                <c:formatCode>0.00%</c:formatCode>
                <c:ptCount val="1"/>
                <c:pt idx="0">
                  <c:v>0</c:v>
                </c:pt>
              </c:numCache>
            </c:numRef>
          </c:val>
          <c:extLst>
            <c:ext xmlns:c16="http://schemas.microsoft.com/office/drawing/2014/chart" uri="{C3380CC4-5D6E-409C-BE32-E72D297353CC}">
              <c16:uniqueId val="{00000001-ABD8-4F4F-9760-8797DD1EFD22}"/>
            </c:ext>
          </c:extLst>
        </c:ser>
        <c:ser>
          <c:idx val="5"/>
          <c:order val="1"/>
          <c:tx>
            <c:strRef>
              <c:f>'PFM Efficiency'!$AY$5</c:f>
              <c:strCache>
                <c:ptCount val="1"/>
                <c:pt idx="0">
                  <c:v>High-side MOSFET Switching Loss %</c:v>
                </c:pt>
              </c:strCache>
            </c:strRef>
          </c:tx>
          <c:spPr>
            <a:solidFill>
              <a:srgbClr val="0000FF"/>
            </a:solidFill>
            <a:ln w="12700">
              <a:solidFill>
                <a:srgbClr val="000000"/>
              </a:solidFill>
              <a:prstDash val="solid"/>
            </a:ln>
          </c:spPr>
          <c:invertIfNegative val="0"/>
          <c:dLbls>
            <c:dLbl>
              <c:idx val="0"/>
              <c:tx>
                <c:rich>
                  <a:bodyPr/>
                  <a:lstStyle/>
                  <a:p>
                    <a:r>
                      <a:rPr lang="en-US"/>
                      <a:t>High-side MOSFET</a:t>
                    </a:r>
                  </a:p>
                  <a:p>
                    <a:r>
                      <a:rPr lang="en-US"/>
                      <a:t>Switching</a:t>
                    </a:r>
                  </a:p>
                </c:rich>
              </c:tx>
              <c:dLblPos val="outEnd"/>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ABD8-4F4F-9760-8797DD1EFD22}"/>
                </c:ext>
              </c:extLst>
            </c:dLbl>
            <c:spPr>
              <a:noFill/>
              <a:ln>
                <a:noFill/>
              </a:ln>
              <a:effectLst/>
            </c:spPr>
            <c:txPr>
              <a:bodyPr/>
              <a:lstStyle/>
              <a:p>
                <a:pPr>
                  <a:defRPr sz="1200" b="1"/>
                </a:pPr>
                <a:endParaRPr lang="en-US"/>
              </a:p>
            </c:txPr>
            <c:dLblPos val="outEnd"/>
            <c:showLegendKey val="0"/>
            <c:showVal val="0"/>
            <c:showCatName val="0"/>
            <c:showSerName val="0"/>
            <c:showPercent val="0"/>
            <c:showBubbleSize val="0"/>
            <c:extLst>
              <c:ext xmlns:c15="http://schemas.microsoft.com/office/drawing/2012/chart" uri="{CE6537A1-D6FC-4f65-9D91-7224C49458BB}">
                <c15:showLeaderLines val="0"/>
              </c:ext>
            </c:extLst>
          </c:dLbls>
          <c:val>
            <c:numRef>
              <c:f>'PFM Efficiency'!$AY$110</c:f>
              <c:numCache>
                <c:formatCode>0.00%</c:formatCode>
                <c:ptCount val="1"/>
                <c:pt idx="0">
                  <c:v>0</c:v>
                </c:pt>
              </c:numCache>
            </c:numRef>
          </c:val>
          <c:extLst>
            <c:ext xmlns:c16="http://schemas.microsoft.com/office/drawing/2014/chart" uri="{C3380CC4-5D6E-409C-BE32-E72D297353CC}">
              <c16:uniqueId val="{00000003-ABD8-4F4F-9760-8797DD1EFD22}"/>
            </c:ext>
          </c:extLst>
        </c:ser>
        <c:ser>
          <c:idx val="7"/>
          <c:order val="2"/>
          <c:tx>
            <c:strRef>
              <c:f>'PFM Efficiency'!$AW$5</c:f>
              <c:strCache>
                <c:ptCount val="1"/>
                <c:pt idx="0">
                  <c:v>Low-side MOSFET Rdson %</c:v>
                </c:pt>
              </c:strCache>
            </c:strRef>
          </c:tx>
          <c:spPr>
            <a:solidFill>
              <a:srgbClr val="FF6600"/>
            </a:solidFill>
            <a:ln w="12700">
              <a:solidFill>
                <a:srgbClr val="000000"/>
              </a:solidFill>
              <a:prstDash val="solid"/>
            </a:ln>
          </c:spPr>
          <c:invertIfNegative val="0"/>
          <c:dLbls>
            <c:dLbl>
              <c:idx val="0"/>
              <c:tx>
                <c:rich>
                  <a:bodyPr/>
                  <a:lstStyle/>
                  <a:p>
                    <a:r>
                      <a:rPr lang="en-US" sz="1200" b="1"/>
                      <a:t>L</a:t>
                    </a:r>
                    <a:r>
                      <a:rPr lang="en-US" sz="1200"/>
                      <a:t>ow-side MOSFET</a:t>
                    </a:r>
                  </a:p>
                  <a:p>
                    <a:r>
                      <a:rPr lang="en-US" sz="1200"/>
                      <a:t>Rdson</a:t>
                    </a:r>
                  </a:p>
                </c:rich>
              </c:tx>
              <c:dLblPos val="outEnd"/>
              <c:showLegendKey val="0"/>
              <c:showVal val="1"/>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ABD8-4F4F-9760-8797DD1EFD22}"/>
                </c:ext>
              </c:extLst>
            </c:dLbl>
            <c:spPr>
              <a:noFill/>
              <a:ln>
                <a:noFill/>
              </a:ln>
              <a:effectLst/>
            </c:spPr>
            <c:txPr>
              <a:bodyPr/>
              <a:lstStyle/>
              <a:p>
                <a:pPr>
                  <a:defRPr b="1"/>
                </a:pPr>
                <a:endParaRPr lang="en-US"/>
              </a:p>
            </c:txPr>
            <c:dLblPos val="outEnd"/>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val>
            <c:numRef>
              <c:f>'PFM Efficiency'!$AW$110</c:f>
              <c:numCache>
                <c:formatCode>0.00%</c:formatCode>
                <c:ptCount val="1"/>
                <c:pt idx="0">
                  <c:v>0</c:v>
                </c:pt>
              </c:numCache>
            </c:numRef>
          </c:val>
          <c:extLst>
            <c:ext xmlns:c16="http://schemas.microsoft.com/office/drawing/2014/chart" uri="{C3380CC4-5D6E-409C-BE32-E72D297353CC}">
              <c16:uniqueId val="{00000005-ABD8-4F4F-9760-8797DD1EFD22}"/>
            </c:ext>
          </c:extLst>
        </c:ser>
        <c:ser>
          <c:idx val="3"/>
          <c:order val="3"/>
          <c:tx>
            <c:strRef>
              <c:f>'PFM Efficiency'!$BA$5</c:f>
              <c:strCache>
                <c:ptCount val="1"/>
                <c:pt idx="0">
                  <c:v>Low-side MOSFET Deadtime Loss %</c:v>
                </c:pt>
              </c:strCache>
            </c:strRef>
          </c:tx>
          <c:spPr>
            <a:solidFill>
              <a:srgbClr val="666699"/>
            </a:solidFill>
            <a:ln w="12700">
              <a:solidFill>
                <a:srgbClr val="000000"/>
              </a:solidFill>
              <a:prstDash val="solid"/>
            </a:ln>
          </c:spPr>
          <c:invertIfNegative val="0"/>
          <c:dLbls>
            <c:dLbl>
              <c:idx val="0"/>
              <c:tx>
                <c:rich>
                  <a:bodyPr/>
                  <a:lstStyle/>
                  <a:p>
                    <a:r>
                      <a:rPr lang="en-US"/>
                      <a:t>Low-side MOSFET</a:t>
                    </a:r>
                  </a:p>
                  <a:p>
                    <a:r>
                      <a:rPr lang="en-US"/>
                      <a:t>Deadtime </a:t>
                    </a:r>
                  </a:p>
                </c:rich>
              </c:tx>
              <c:dLblPos val="outEnd"/>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ABD8-4F4F-9760-8797DD1EFD22}"/>
                </c:ext>
              </c:extLst>
            </c:dLbl>
            <c:spPr>
              <a:noFill/>
              <a:ln>
                <a:noFill/>
              </a:ln>
              <a:effectLst/>
            </c:spPr>
            <c:txPr>
              <a:bodyPr/>
              <a:lstStyle/>
              <a:p>
                <a:pPr>
                  <a:defRPr sz="1200" b="1"/>
                </a:pPr>
                <a:endParaRPr lang="en-US"/>
              </a:p>
            </c:txPr>
            <c:dLblPos val="outEnd"/>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'PFM Efficiency'!$BA$110</c:f>
              <c:numCache>
                <c:formatCode>0.00%</c:formatCode>
                <c:ptCount val="1"/>
                <c:pt idx="0">
                  <c:v>0</c:v>
                </c:pt>
              </c:numCache>
            </c:numRef>
          </c:val>
          <c:extLst>
            <c:ext xmlns:c16="http://schemas.microsoft.com/office/drawing/2014/chart" uri="{C3380CC4-5D6E-409C-BE32-E72D297353CC}">
              <c16:uniqueId val="{00000007-ABD8-4F4F-9760-8797DD1EFD22}"/>
            </c:ext>
          </c:extLst>
        </c:ser>
        <c:ser>
          <c:idx val="2"/>
          <c:order val="4"/>
          <c:tx>
            <c:strRef>
              <c:f>'PFM Efficiency'!$AX$5</c:f>
              <c:strCache>
                <c:ptCount val="1"/>
                <c:pt idx="0">
                  <c:v>Gate Drive (Qg) Loss from Vin %</c:v>
                </c:pt>
              </c:strCache>
            </c:strRef>
          </c:tx>
          <c:spPr>
            <a:solidFill>
              <a:srgbClr val="00FFFF"/>
            </a:solidFill>
            <a:ln w="12700">
              <a:solidFill>
                <a:srgbClr val="000000"/>
              </a:solidFill>
              <a:prstDash val="solid"/>
            </a:ln>
          </c:spPr>
          <c:invertIfNegative val="0"/>
          <c:dLbls>
            <c:dLbl>
              <c:idx val="0"/>
              <c:tx>
                <c:rich>
                  <a:bodyPr/>
                  <a:lstStyle/>
                  <a:p>
                    <a:r>
                      <a:rPr lang="en-US"/>
                      <a:t>Gate Drive (Qg)</a:t>
                    </a:r>
                  </a:p>
                  <a:p>
                    <a:r>
                      <a:rPr lang="en-US"/>
                      <a:t>Loss</a:t>
                    </a:r>
                  </a:p>
                </c:rich>
              </c:tx>
              <c:dLblPos val="outEnd"/>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ABD8-4F4F-9760-8797DD1EFD22}"/>
                </c:ext>
              </c:extLst>
            </c:dLbl>
            <c:spPr>
              <a:noFill/>
              <a:ln>
                <a:noFill/>
              </a:ln>
              <a:effectLst/>
            </c:spPr>
            <c:txPr>
              <a:bodyPr rot="0" vert="horz"/>
              <a:lstStyle/>
              <a:p>
                <a:pPr>
                  <a:defRPr sz="1200" b="1"/>
                </a:pPr>
                <a:endParaRPr lang="en-US"/>
              </a:p>
            </c:txPr>
            <c:dLblPos val="outEnd"/>
            <c:showLegendKey val="0"/>
            <c:showVal val="0"/>
            <c:showCatName val="0"/>
            <c:showSerName val="0"/>
            <c:showPercent val="0"/>
            <c:showBubbleSize val="0"/>
            <c:extLst>
              <c:ext xmlns:c15="http://schemas.microsoft.com/office/drawing/2012/chart" uri="{CE6537A1-D6FC-4f65-9D91-7224C49458BB}">
                <c15:showLeaderLines val="0"/>
              </c:ext>
            </c:extLst>
          </c:dLbls>
          <c:val>
            <c:numRef>
              <c:f>'PFM Efficiency'!$AX$110</c:f>
              <c:numCache>
                <c:formatCode>0.00%</c:formatCode>
                <c:ptCount val="1"/>
                <c:pt idx="0">
                  <c:v>0</c:v>
                </c:pt>
              </c:numCache>
            </c:numRef>
          </c:val>
          <c:extLst>
            <c:ext xmlns:c16="http://schemas.microsoft.com/office/drawing/2014/chart" uri="{C3380CC4-5D6E-409C-BE32-E72D297353CC}">
              <c16:uniqueId val="{00000009-ABD8-4F4F-9760-8797DD1EFD22}"/>
            </c:ext>
          </c:extLst>
        </c:ser>
        <c:ser>
          <c:idx val="8"/>
          <c:order val="5"/>
          <c:tx>
            <c:strRef>
              <c:f>'PFM Efficiency'!$BB$5</c:f>
              <c:strCache>
                <c:ptCount val="1"/>
                <c:pt idx="0">
                  <c:v>Inductor Cu Loss %</c:v>
                </c:pt>
              </c:strCache>
            </c:strRef>
          </c:tx>
          <c:spPr>
            <a:solidFill>
              <a:srgbClr val="00FF00"/>
            </a:solidFill>
            <a:ln w="12700">
              <a:solidFill>
                <a:srgbClr val="000000"/>
              </a:solidFill>
              <a:prstDash val="solid"/>
            </a:ln>
          </c:spPr>
          <c:invertIfNegative val="0"/>
          <c:dLbls>
            <c:dLbl>
              <c:idx val="0"/>
              <c:tx>
                <c:rich>
                  <a:bodyPr/>
                  <a:lstStyle/>
                  <a:p>
                    <a:r>
                      <a:rPr lang="en-US"/>
                      <a:t>Inductor DCR</a:t>
                    </a:r>
                  </a:p>
                  <a:p>
                    <a:r>
                      <a:rPr lang="en-US"/>
                      <a:t>Loss</a:t>
                    </a:r>
                  </a:p>
                </c:rich>
              </c:tx>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ABD8-4F4F-9760-8797DD1EFD22}"/>
                </c:ext>
              </c:extLst>
            </c:dLbl>
            <c:spPr>
              <a:noFill/>
              <a:ln>
                <a:noFill/>
              </a:ln>
              <a:effectLst/>
            </c:spPr>
            <c:txPr>
              <a:bodyPr/>
              <a:lstStyle/>
              <a:p>
                <a:pPr>
                  <a:defRPr sz="1200" b="1"/>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val>
            <c:numRef>
              <c:f>'PFM Efficiency'!$BB$110</c:f>
              <c:numCache>
                <c:formatCode>0.00%</c:formatCode>
                <c:ptCount val="1"/>
                <c:pt idx="0">
                  <c:v>0</c:v>
                </c:pt>
              </c:numCache>
            </c:numRef>
          </c:val>
          <c:extLst>
            <c:ext xmlns:c16="http://schemas.microsoft.com/office/drawing/2014/chart" uri="{C3380CC4-5D6E-409C-BE32-E72D297353CC}">
              <c16:uniqueId val="{0000000B-ABD8-4F4F-9760-8797DD1EFD22}"/>
            </c:ext>
          </c:extLst>
        </c:ser>
        <c:ser>
          <c:idx val="4"/>
          <c:order val="6"/>
          <c:tx>
            <c:strRef>
              <c:f>'PFM Efficiency'!$BC$5</c:f>
              <c:strCache>
                <c:ptCount val="1"/>
                <c:pt idx="0">
                  <c:v>Inductor Core Loss %</c:v>
                </c:pt>
              </c:strCache>
            </c:strRef>
          </c:tx>
          <c:spPr>
            <a:solidFill>
              <a:srgbClr val="99CC00"/>
            </a:solidFill>
            <a:ln w="12700">
              <a:solidFill>
                <a:srgbClr val="000000"/>
              </a:solidFill>
              <a:prstDash val="solid"/>
            </a:ln>
          </c:spPr>
          <c:invertIfNegative val="0"/>
          <c:dLbls>
            <c:dLbl>
              <c:idx val="0"/>
              <c:tx>
                <c:rich>
                  <a:bodyPr/>
                  <a:lstStyle/>
                  <a:p>
                    <a:r>
                      <a:rPr lang="en-US"/>
                      <a:t>Inductor Core</a:t>
                    </a:r>
                  </a:p>
                  <a:p>
                    <a:r>
                      <a:rPr lang="en-US"/>
                      <a:t>Loss</a:t>
                    </a:r>
                  </a:p>
                </c:rich>
              </c:tx>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ABD8-4F4F-9760-8797DD1EFD22}"/>
                </c:ext>
              </c:extLst>
            </c:dLbl>
            <c:spPr>
              <a:noFill/>
              <a:ln>
                <a:noFill/>
              </a:ln>
              <a:effectLst/>
            </c:spPr>
            <c:txPr>
              <a:bodyPr/>
              <a:lstStyle/>
              <a:p>
                <a:pPr>
                  <a:defRPr sz="1200" b="1"/>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val>
            <c:numRef>
              <c:f>'PFM Efficiency'!$BC$110</c:f>
              <c:numCache>
                <c:formatCode>0.00%</c:formatCode>
                <c:ptCount val="1"/>
                <c:pt idx="0">
                  <c:v>0</c:v>
                </c:pt>
              </c:numCache>
            </c:numRef>
          </c:val>
          <c:extLst>
            <c:ext xmlns:c16="http://schemas.microsoft.com/office/drawing/2014/chart" uri="{C3380CC4-5D6E-409C-BE32-E72D297353CC}">
              <c16:uniqueId val="{0000000D-ABD8-4F4F-9760-8797DD1EFD22}"/>
            </c:ext>
          </c:extLst>
        </c:ser>
        <c:ser>
          <c:idx val="0"/>
          <c:order val="7"/>
          <c:tx>
            <c:strRef>
              <c:f>'PFM Efficiency'!$BE$5</c:f>
              <c:strCache>
                <c:ptCount val="1"/>
                <c:pt idx="0">
                  <c:v>Quiescent Current Loss %</c:v>
                </c:pt>
              </c:strCache>
            </c:strRef>
          </c:tx>
          <c:invertIfNegative val="0"/>
          <c:dLbls>
            <c:dLbl>
              <c:idx val="0"/>
              <c:tx>
                <c:rich>
                  <a:bodyPr/>
                  <a:lstStyle/>
                  <a:p>
                    <a:r>
                      <a:rPr lang="en-US"/>
                      <a:t>Quiescent Current Loss </a:t>
                    </a:r>
                  </a:p>
                </c:rich>
              </c:tx>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ABD8-4F4F-9760-8797DD1EFD22}"/>
                </c:ext>
              </c:extLst>
            </c:dLbl>
            <c:numFmt formatCode="0.0E+00" sourceLinked="0"/>
            <c:spPr>
              <a:noFill/>
            </c:spPr>
            <c:txPr>
              <a:bodyPr rot="0" vert="horz" anchor="ctr" anchorCtr="0"/>
              <a:lstStyle/>
              <a:p>
                <a:pPr>
                  <a:defRPr sz="1200" b="1"/>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val>
            <c:numRef>
              <c:f>'PFM Efficiency'!$BE$110</c:f>
              <c:numCache>
                <c:formatCode>0.00%</c:formatCode>
                <c:ptCount val="1"/>
                <c:pt idx="0">
                  <c:v>0</c:v>
                </c:pt>
              </c:numCache>
            </c:numRef>
          </c:val>
          <c:extLst>
            <c:ext xmlns:c16="http://schemas.microsoft.com/office/drawing/2014/chart" uri="{C3380CC4-5D6E-409C-BE32-E72D297353CC}">
              <c16:uniqueId val="{0000000F-ABD8-4F4F-9760-8797DD1EFD22}"/>
            </c:ext>
          </c:extLst>
        </c:ser>
        <c:dLbls>
          <c:showLegendKey val="0"/>
          <c:showVal val="0"/>
          <c:showCatName val="0"/>
          <c:showSerName val="0"/>
          <c:showPercent val="0"/>
          <c:showBubbleSize val="0"/>
        </c:dLbls>
        <c:gapWidth val="101"/>
        <c:overlap val="-70"/>
        <c:axId val="158914048"/>
        <c:axId val="158915584"/>
      </c:barChart>
      <c:catAx>
        <c:axId val="158914048"/>
        <c:scaling>
          <c:orientation val="minMax"/>
        </c:scaling>
        <c:delete val="0"/>
        <c:axPos val="b"/>
        <c:numFmt formatCode="General" sourceLinked="1"/>
        <c:majorTickMark val="none"/>
        <c:minorTickMark val="none"/>
        <c:tickLblPos val="none"/>
        <c:spPr>
          <a:ln w="3175">
            <a:solidFill>
              <a:srgbClr val="000000"/>
            </a:solidFill>
            <a:prstDash val="solid"/>
          </a:ln>
        </c:spPr>
        <c:txPr>
          <a:bodyPr rot="0" vert="horz"/>
          <a:lstStyle/>
          <a:p>
            <a:pPr>
              <a:defRPr sz="1725" b="0" i="0" u="none" strike="noStrike" baseline="0">
                <a:solidFill>
                  <a:srgbClr val="000000"/>
                </a:solidFill>
                <a:latin typeface="Arial"/>
                <a:ea typeface="Arial"/>
                <a:cs typeface="Arial"/>
              </a:defRPr>
            </a:pPr>
            <a:endParaRPr lang="en-US"/>
          </a:p>
        </c:txPr>
        <c:crossAx val="158915584"/>
        <c:crossesAt val="0"/>
        <c:auto val="1"/>
        <c:lblAlgn val="ctr"/>
        <c:lblOffset val="100"/>
        <c:noMultiLvlLbl val="0"/>
      </c:catAx>
      <c:valAx>
        <c:axId val="158915584"/>
        <c:scaling>
          <c:orientation val="minMax"/>
        </c:scaling>
        <c:delete val="0"/>
        <c:axPos val="l"/>
        <c:majorGridlines>
          <c:spPr>
            <a:ln>
              <a:prstDash val="lgDash"/>
            </a:ln>
          </c:spPr>
        </c:majorGridlines>
        <c:title>
          <c:tx>
            <c:rich>
              <a:bodyPr/>
              <a:lstStyle/>
              <a:p>
                <a:pPr>
                  <a:defRPr b="1"/>
                </a:pPr>
                <a:r>
                  <a:rPr lang="en-US" b="1"/>
                  <a:t>Loss</a:t>
                </a:r>
                <a:r>
                  <a:rPr lang="en-US" b="1" baseline="0"/>
                  <a:t> Contributors</a:t>
                </a:r>
                <a:endParaRPr lang="en-US" b="1"/>
              </a:p>
            </c:rich>
          </c:tx>
          <c:layout>
            <c:manualLayout>
              <c:xMode val="edge"/>
              <c:yMode val="edge"/>
              <c:x val="9.9337306593581896E-3"/>
              <c:y val="0.32125965403337142"/>
            </c:manualLayout>
          </c:layout>
          <c:overlay val="0"/>
        </c:title>
        <c:numFmt formatCode="0.0%" sourceLinked="0"/>
        <c:majorTickMark val="out"/>
        <c:minorTickMark val="out"/>
        <c:tickLblPos val="low"/>
        <c:crossAx val="158914048"/>
        <c:crosses val="autoZero"/>
        <c:crossBetween val="between"/>
      </c:valAx>
      <c:spPr>
        <a:solidFill>
          <a:schemeClr val="bg1">
            <a:lumMod val="95000"/>
          </a:schemeClr>
        </a:solidFill>
        <a:ln w="25400">
          <a:noFill/>
        </a:ln>
      </c:spPr>
    </c:plotArea>
    <c:plotVisOnly val="1"/>
    <c:dispBlanksAs val="zero"/>
    <c:showDLblsOverMax val="0"/>
  </c:chart>
  <c:spPr>
    <a:solidFill>
      <a:schemeClr val="bg1"/>
    </a:solidFill>
    <a:ln w="3175">
      <a:noFill/>
      <a:prstDash val="solid"/>
    </a:ln>
  </c:spPr>
  <c:txPr>
    <a:bodyPr/>
    <a:lstStyle/>
    <a:p>
      <a:pPr>
        <a:defRPr sz="1725" b="0" i="0" u="none" strike="noStrike" baseline="0">
          <a:solidFill>
            <a:srgbClr val="000000"/>
          </a:solidFill>
          <a:latin typeface="Arial"/>
          <a:ea typeface="Arial"/>
          <a:cs typeface="Arial"/>
        </a:defRPr>
      </a:pPr>
      <a:endParaRPr lang="en-US"/>
    </a:p>
  </c:txPr>
  <c:printSettings>
    <c:headerFooter alignWithMargins="0"/>
    <c:pageMargins b="1" l="0.75000000000000233" r="0.75000000000000233" t="1" header="0.5" footer="0.5"/>
    <c:pageSetup orientation="landscape"/>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P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t>Breakdown Losses (I</a:t>
            </a:r>
            <a:r>
              <a:rPr lang="en-US" sz="1800" b="1" i="0" baseline="-25000"/>
              <a:t>OUT</a:t>
            </a:r>
            <a:r>
              <a:rPr lang="en-US" sz="1800" b="1" i="0" baseline="0"/>
              <a:t> = 100mA)</a:t>
            </a:r>
            <a:endParaRPr lang="en-US"/>
          </a:p>
        </c:rich>
      </c:tx>
      <c:layout>
        <c:manualLayout>
          <c:xMode val="edge"/>
          <c:yMode val="edge"/>
          <c:x val="0.3480295241908824"/>
          <c:y val="2.2528839208450439E-2"/>
        </c:manualLayout>
      </c:layout>
      <c:overlay val="0"/>
    </c:title>
    <c:autoTitleDeleted val="0"/>
    <c:view3D>
      <c:rotX val="15"/>
      <c:rotY val="80"/>
      <c:rAngAx val="0"/>
    </c:view3D>
    <c:floor>
      <c:thickness val="0"/>
    </c:floor>
    <c:sideWall>
      <c:thickness val="0"/>
      <c:spPr>
        <a:solidFill>
          <a:schemeClr val="bg1">
            <a:lumMod val="85000"/>
          </a:schemeClr>
        </a:solidFill>
        <a:ln w="25400">
          <a:noFill/>
        </a:ln>
      </c:spPr>
    </c:sideWall>
    <c:backWall>
      <c:thickness val="0"/>
      <c:spPr>
        <a:solidFill>
          <a:schemeClr val="bg1">
            <a:lumMod val="85000"/>
          </a:schemeClr>
        </a:solidFill>
        <a:ln w="25400">
          <a:noFill/>
        </a:ln>
      </c:spPr>
    </c:backWall>
    <c:plotArea>
      <c:layout>
        <c:manualLayout>
          <c:layoutTarget val="inner"/>
          <c:xMode val="edge"/>
          <c:yMode val="edge"/>
          <c:x val="5.5090993460071645E-2"/>
          <c:y val="4.3694422393386119E-2"/>
          <c:w val="0.93218282797523233"/>
          <c:h val="0.92972787802069701"/>
        </c:manualLayout>
      </c:layout>
      <c:bar3DChart>
        <c:barDir val="col"/>
        <c:grouping val="standard"/>
        <c:varyColors val="0"/>
        <c:ser>
          <c:idx val="6"/>
          <c:order val="0"/>
          <c:tx>
            <c:strRef>
              <c:f>'PFM Efficiency'!$AV$5</c:f>
              <c:strCache>
                <c:ptCount val="1"/>
                <c:pt idx="0">
                  <c:v>High-side MOSFET Rdson %</c:v>
                </c:pt>
              </c:strCache>
            </c:strRef>
          </c:tx>
          <c:spPr>
            <a:solidFill>
              <a:srgbClr val="FF0000"/>
            </a:solidFill>
            <a:ln w="12700">
              <a:solidFill>
                <a:srgbClr val="000000"/>
              </a:solidFill>
              <a:prstDash val="solid"/>
            </a:ln>
          </c:spPr>
          <c:invertIfNegative val="0"/>
          <c:dLbls>
            <c:dLbl>
              <c:idx val="0"/>
              <c:layout>
                <c:manualLayout>
                  <c:x val="3.2228360957642727E-2"/>
                  <c:y val="-1.2521752537942103E-2"/>
                </c:manualLayout>
              </c:layout>
              <c:tx>
                <c:rich>
                  <a:bodyPr/>
                  <a:lstStyle/>
                  <a:p>
                    <a:r>
                      <a:rPr lang="en-US" sz="1400">
                        <a:solidFill>
                          <a:schemeClr val="bg1"/>
                        </a:solidFill>
                      </a:rPr>
                      <a:t>H</a:t>
                    </a:r>
                    <a:r>
                      <a:rPr lang="en-US"/>
                      <a:t>igh-side MOSFET</a:t>
                    </a:r>
                  </a:p>
                  <a:p>
                    <a:r>
                      <a:rPr lang="en-US"/>
                      <a:t>Rdson</a:t>
                    </a:r>
                  </a:p>
                </c:rich>
              </c:tx>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41B4-419D-A242-AD7A944D6447}"/>
                </c:ext>
              </c:extLst>
            </c:dLbl>
            <c:dLbl>
              <c:idx val="1"/>
              <c:delete val="1"/>
              <c:extLst>
                <c:ext xmlns:c15="http://schemas.microsoft.com/office/drawing/2012/chart" uri="{CE6537A1-D6FC-4f65-9D91-7224C49458BB}"/>
                <c:ext xmlns:c16="http://schemas.microsoft.com/office/drawing/2014/chart" uri="{C3380CC4-5D6E-409C-BE32-E72D297353CC}">
                  <c16:uniqueId val="{00000001-41B4-419D-A242-AD7A944D6447}"/>
                </c:ext>
              </c:extLst>
            </c:dLbl>
            <c:spPr>
              <a:noFill/>
              <a:ln>
                <a:noFill/>
              </a:ln>
              <a:effectLst/>
            </c:spPr>
            <c:txPr>
              <a:bodyPr/>
              <a:lstStyle/>
              <a:p>
                <a:pPr>
                  <a:defRPr sz="1400" b="1">
                    <a:solidFill>
                      <a:schemeClr val="bg1"/>
                    </a:solidFil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Lit>
              <c:ptCount val="2"/>
              <c:pt idx="0">
                <c:v>PFM</c:v>
              </c:pt>
              <c:pt idx="1">
                <c:v> COT</c:v>
              </c:pt>
            </c:strLit>
          </c:cat>
          <c:val>
            <c:numRef>
              <c:f>'PFM Efficiency'!$AV$131:$AV$132</c:f>
              <c:numCache>
                <c:formatCode>0.000%</c:formatCode>
                <c:ptCount val="2"/>
                <c:pt idx="0" formatCode="0.00%">
                  <c:v>1.0757450496859163E-2</c:v>
                </c:pt>
                <c:pt idx="1">
                  <c:v>8.1000709018000279E-3</c:v>
                </c:pt>
              </c:numCache>
            </c:numRef>
          </c:val>
          <c:extLst>
            <c:ext xmlns:c16="http://schemas.microsoft.com/office/drawing/2014/chart" uri="{C3380CC4-5D6E-409C-BE32-E72D297353CC}">
              <c16:uniqueId val="{00000002-41B4-419D-A242-AD7A944D6447}"/>
            </c:ext>
          </c:extLst>
        </c:ser>
        <c:ser>
          <c:idx val="5"/>
          <c:order val="1"/>
          <c:tx>
            <c:strRef>
              <c:f>'PFM Efficiency'!$AY$5</c:f>
              <c:strCache>
                <c:ptCount val="1"/>
                <c:pt idx="0">
                  <c:v>High-side MOSFET Switching Loss %</c:v>
                </c:pt>
              </c:strCache>
            </c:strRef>
          </c:tx>
          <c:spPr>
            <a:solidFill>
              <a:srgbClr val="0000FF"/>
            </a:solidFill>
            <a:ln w="12700">
              <a:solidFill>
                <a:srgbClr val="000000"/>
              </a:solidFill>
              <a:prstDash val="solid"/>
            </a:ln>
          </c:spPr>
          <c:invertIfNegative val="0"/>
          <c:dLbls>
            <c:dLbl>
              <c:idx val="0"/>
              <c:layout>
                <c:manualLayout>
                  <c:x val="1.0128913443830571E-2"/>
                  <c:y val="-1.5549076773566569E-2"/>
                </c:manualLayout>
              </c:layout>
              <c:tx>
                <c:rich>
                  <a:bodyPr/>
                  <a:lstStyle/>
                  <a:p>
                    <a:r>
                      <a:rPr lang="en-US" sz="1400">
                        <a:solidFill>
                          <a:schemeClr val="bg1"/>
                        </a:solidFill>
                      </a:rPr>
                      <a:t>H</a:t>
                    </a:r>
                    <a:r>
                      <a:rPr lang="en-US"/>
                      <a:t>igh-side MOSFET</a:t>
                    </a:r>
                  </a:p>
                  <a:p>
                    <a:r>
                      <a:rPr lang="en-US"/>
                      <a:t>Switching</a:t>
                    </a:r>
                  </a:p>
                </c:rich>
              </c:tx>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41B4-419D-A242-AD7A944D6447}"/>
                </c:ext>
              </c:extLst>
            </c:dLbl>
            <c:spPr>
              <a:noFill/>
              <a:ln>
                <a:noFill/>
              </a:ln>
              <a:effectLst/>
            </c:spPr>
            <c:txPr>
              <a:bodyPr/>
              <a:lstStyle/>
              <a:p>
                <a:pPr>
                  <a:defRPr sz="1400" b="1">
                    <a:solidFill>
                      <a:schemeClr val="bg1"/>
                    </a:solidFill>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cat>
            <c:strLit>
              <c:ptCount val="2"/>
              <c:pt idx="0">
                <c:v>PFM</c:v>
              </c:pt>
              <c:pt idx="1">
                <c:v> COT</c:v>
              </c:pt>
            </c:strLit>
          </c:cat>
          <c:val>
            <c:numRef>
              <c:f>'PFM Efficiency'!$AY$131:$AY$132</c:f>
              <c:numCache>
                <c:formatCode>0.000%</c:formatCode>
                <c:ptCount val="2"/>
                <c:pt idx="0" formatCode="0.00%">
                  <c:v>2.1527738329525089E-2</c:v>
                </c:pt>
                <c:pt idx="1">
                  <c:v>9.9057039827182662E-3</c:v>
                </c:pt>
              </c:numCache>
            </c:numRef>
          </c:val>
          <c:extLst>
            <c:ext xmlns:c16="http://schemas.microsoft.com/office/drawing/2014/chart" uri="{C3380CC4-5D6E-409C-BE32-E72D297353CC}">
              <c16:uniqueId val="{00000004-41B4-419D-A242-AD7A944D6447}"/>
            </c:ext>
          </c:extLst>
        </c:ser>
        <c:ser>
          <c:idx val="7"/>
          <c:order val="2"/>
          <c:tx>
            <c:strRef>
              <c:f>'PFM Efficiency'!$AW$5</c:f>
              <c:strCache>
                <c:ptCount val="1"/>
                <c:pt idx="0">
                  <c:v>Low-side MOSFET Rdson %</c:v>
                </c:pt>
              </c:strCache>
            </c:strRef>
          </c:tx>
          <c:spPr>
            <a:solidFill>
              <a:srgbClr val="FF6600"/>
            </a:solidFill>
            <a:ln w="12700">
              <a:solidFill>
                <a:srgbClr val="000000"/>
              </a:solidFill>
              <a:prstDash val="solid"/>
            </a:ln>
          </c:spPr>
          <c:invertIfNegative val="0"/>
          <c:dLbls>
            <c:dLbl>
              <c:idx val="0"/>
              <c:layout>
                <c:manualLayout>
                  <c:x val="1.6574585635359115E-2"/>
                  <c:y val="-2.1543985637342909E-2"/>
                </c:manualLayout>
              </c:layout>
              <c:tx>
                <c:rich>
                  <a:bodyPr/>
                  <a:lstStyle/>
                  <a:p>
                    <a:r>
                      <a:rPr lang="en-US" sz="1400" b="1">
                        <a:solidFill>
                          <a:schemeClr val="bg1"/>
                        </a:solidFill>
                      </a:rPr>
                      <a:t>L</a:t>
                    </a:r>
                    <a:r>
                      <a:rPr lang="en-US" sz="1400"/>
                      <a:t>ow-side MOSFET</a:t>
                    </a:r>
                  </a:p>
                  <a:p>
                    <a:r>
                      <a:rPr lang="en-US" sz="1400"/>
                      <a:t>Rdson</a:t>
                    </a:r>
                  </a:p>
                </c:rich>
              </c:tx>
              <c:showLegendKey val="0"/>
              <c:showVal val="1"/>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41B4-419D-A242-AD7A944D6447}"/>
                </c:ext>
              </c:extLst>
            </c:dLbl>
            <c:dLbl>
              <c:idx val="1"/>
              <c:delete val="1"/>
              <c:extLst>
                <c:ext xmlns:c15="http://schemas.microsoft.com/office/drawing/2012/chart" uri="{CE6537A1-D6FC-4f65-9D91-7224C49458BB}"/>
                <c:ext xmlns:c16="http://schemas.microsoft.com/office/drawing/2014/chart" uri="{C3380CC4-5D6E-409C-BE32-E72D297353CC}">
                  <c16:uniqueId val="{00000006-41B4-419D-A242-AD7A944D6447}"/>
                </c:ext>
              </c:extLst>
            </c:dLbl>
            <c:spPr>
              <a:noFill/>
              <a:ln>
                <a:noFill/>
              </a:ln>
              <a:effectLst/>
            </c:spPr>
            <c:txPr>
              <a:bodyPr/>
              <a:lstStyle/>
              <a:p>
                <a:pPr>
                  <a:defRPr b="1">
                    <a:solidFill>
                      <a:schemeClr val="bg1"/>
                    </a:solidFill>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cat>
            <c:strLit>
              <c:ptCount val="2"/>
              <c:pt idx="0">
                <c:v>PFM</c:v>
              </c:pt>
              <c:pt idx="1">
                <c:v> COT</c:v>
              </c:pt>
            </c:strLit>
          </c:cat>
          <c:val>
            <c:numRef>
              <c:f>'PFM Efficiency'!$AW$131:$AW$132</c:f>
              <c:numCache>
                <c:formatCode>0.000%</c:formatCode>
                <c:ptCount val="2"/>
                <c:pt idx="0" formatCode="0.00%">
                  <c:v>1.9386075784552374E-2</c:v>
                </c:pt>
                <c:pt idx="1">
                  <c:v>1.4614802049391215E-2</c:v>
                </c:pt>
              </c:numCache>
            </c:numRef>
          </c:val>
          <c:extLst>
            <c:ext xmlns:c16="http://schemas.microsoft.com/office/drawing/2014/chart" uri="{C3380CC4-5D6E-409C-BE32-E72D297353CC}">
              <c16:uniqueId val="{00000007-41B4-419D-A242-AD7A944D6447}"/>
            </c:ext>
          </c:extLst>
        </c:ser>
        <c:ser>
          <c:idx val="3"/>
          <c:order val="3"/>
          <c:tx>
            <c:strRef>
              <c:f>'PFM Efficiency'!$BA$5</c:f>
              <c:strCache>
                <c:ptCount val="1"/>
                <c:pt idx="0">
                  <c:v>Low-side MOSFET Deadtime Loss %</c:v>
                </c:pt>
              </c:strCache>
            </c:strRef>
          </c:tx>
          <c:spPr>
            <a:solidFill>
              <a:srgbClr val="666699"/>
            </a:solidFill>
            <a:ln w="12700">
              <a:solidFill>
                <a:srgbClr val="000000"/>
              </a:solidFill>
              <a:prstDash val="solid"/>
            </a:ln>
          </c:spPr>
          <c:invertIfNegative val="0"/>
          <c:dLbls>
            <c:dLbl>
              <c:idx val="0"/>
              <c:layout>
                <c:manualLayout>
                  <c:x val="1.7495395948434623E-2"/>
                  <c:y val="-8.9007565643079659E-3"/>
                </c:manualLayout>
              </c:layout>
              <c:tx>
                <c:rich>
                  <a:bodyPr/>
                  <a:lstStyle/>
                  <a:p>
                    <a:r>
                      <a:rPr lang="en-US" sz="1400">
                        <a:solidFill>
                          <a:schemeClr val="bg1"/>
                        </a:solidFill>
                      </a:rPr>
                      <a:t>L</a:t>
                    </a:r>
                    <a:r>
                      <a:rPr lang="en-US"/>
                      <a:t>ow-side MOSFET</a:t>
                    </a:r>
                  </a:p>
                  <a:p>
                    <a:r>
                      <a:rPr lang="en-US"/>
                      <a:t>Deadtime </a:t>
                    </a:r>
                  </a:p>
                </c:rich>
              </c:tx>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41B4-419D-A242-AD7A944D6447}"/>
                </c:ext>
              </c:extLst>
            </c:dLbl>
            <c:dLbl>
              <c:idx val="1"/>
              <c:delete val="1"/>
              <c:extLst>
                <c:ext xmlns:c15="http://schemas.microsoft.com/office/drawing/2012/chart" uri="{CE6537A1-D6FC-4f65-9D91-7224C49458BB}"/>
                <c:ext xmlns:c16="http://schemas.microsoft.com/office/drawing/2014/chart" uri="{C3380CC4-5D6E-409C-BE32-E72D297353CC}">
                  <c16:uniqueId val="{00000009-41B4-419D-A242-AD7A944D6447}"/>
                </c:ext>
              </c:extLst>
            </c:dLbl>
            <c:spPr>
              <a:noFill/>
              <a:ln>
                <a:noFill/>
              </a:ln>
              <a:effectLst/>
            </c:spPr>
            <c:txPr>
              <a:bodyPr/>
              <a:lstStyle/>
              <a:p>
                <a:pPr>
                  <a:defRPr sz="1400" b="1">
                    <a:solidFill>
                      <a:schemeClr val="bg1"/>
                    </a:solidFil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Lit>
              <c:ptCount val="2"/>
              <c:pt idx="0">
                <c:v>PFM</c:v>
              </c:pt>
              <c:pt idx="1">
                <c:v> COT</c:v>
              </c:pt>
            </c:strLit>
          </c:cat>
          <c:val>
            <c:numRef>
              <c:f>'PFM Efficiency'!$BA$131:$BA$132</c:f>
              <c:numCache>
                <c:formatCode>0.000%</c:formatCode>
                <c:ptCount val="2"/>
                <c:pt idx="0" formatCode="0.00%">
                  <c:v>2.4758244562599445E-3</c:v>
                </c:pt>
                <c:pt idx="1">
                  <c:v>1.6465542803473395E-3</c:v>
                </c:pt>
              </c:numCache>
            </c:numRef>
          </c:val>
          <c:extLst>
            <c:ext xmlns:c16="http://schemas.microsoft.com/office/drawing/2014/chart" uri="{C3380CC4-5D6E-409C-BE32-E72D297353CC}">
              <c16:uniqueId val="{0000000A-41B4-419D-A242-AD7A944D6447}"/>
            </c:ext>
          </c:extLst>
        </c:ser>
        <c:ser>
          <c:idx val="2"/>
          <c:order val="4"/>
          <c:tx>
            <c:strRef>
              <c:f>'PFM Efficiency'!$AX$5</c:f>
              <c:strCache>
                <c:ptCount val="1"/>
                <c:pt idx="0">
                  <c:v>Gate Drive (Qg) Loss from Vin %</c:v>
                </c:pt>
              </c:strCache>
            </c:strRef>
          </c:tx>
          <c:spPr>
            <a:solidFill>
              <a:srgbClr val="00FFFF"/>
            </a:solidFill>
            <a:ln w="12700">
              <a:solidFill>
                <a:srgbClr val="000000"/>
              </a:solidFill>
              <a:prstDash val="solid"/>
            </a:ln>
          </c:spPr>
          <c:invertIfNegative val="0"/>
          <c:dLbls>
            <c:dLbl>
              <c:idx val="0"/>
              <c:layout>
                <c:manualLayout>
                  <c:x val="1.4729420871138814E-2"/>
                  <c:y val="-1.5552075064186459E-2"/>
                </c:manualLayout>
              </c:layout>
              <c:tx>
                <c:rich>
                  <a:bodyPr/>
                  <a:lstStyle/>
                  <a:p>
                    <a:r>
                      <a:rPr lang="en-US" sz="1400">
                        <a:solidFill>
                          <a:schemeClr val="bg1"/>
                        </a:solidFill>
                      </a:rPr>
                      <a:t>G</a:t>
                    </a:r>
                    <a:r>
                      <a:rPr lang="en-US"/>
                      <a:t>ate Drive (Qg)</a:t>
                    </a:r>
                  </a:p>
                  <a:p>
                    <a:r>
                      <a:rPr lang="en-US"/>
                      <a:t>Loss</a:t>
                    </a:r>
                  </a:p>
                </c:rich>
              </c:tx>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41B4-419D-A242-AD7A944D6447}"/>
                </c:ext>
              </c:extLst>
            </c:dLbl>
            <c:spPr>
              <a:noFill/>
              <a:ln>
                <a:noFill/>
              </a:ln>
              <a:effectLst/>
            </c:spPr>
            <c:txPr>
              <a:bodyPr rot="0" vert="horz"/>
              <a:lstStyle/>
              <a:p>
                <a:pPr>
                  <a:defRPr sz="1400" b="1">
                    <a:solidFill>
                      <a:schemeClr val="bg1"/>
                    </a:solidFill>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cat>
            <c:strLit>
              <c:ptCount val="2"/>
              <c:pt idx="0">
                <c:v>PFM</c:v>
              </c:pt>
              <c:pt idx="1">
                <c:v> COT</c:v>
              </c:pt>
            </c:strLit>
          </c:cat>
          <c:val>
            <c:numRef>
              <c:f>'PFM Efficiency'!$AX$131:$AX$132</c:f>
              <c:numCache>
                <c:formatCode>0.000%</c:formatCode>
                <c:ptCount val="2"/>
                <c:pt idx="0" formatCode="0.00%">
                  <c:v>2.2863695435355675E-2</c:v>
                </c:pt>
                <c:pt idx="1">
                  <c:v>2.4831534664325892E-2</c:v>
                </c:pt>
              </c:numCache>
            </c:numRef>
          </c:val>
          <c:extLst>
            <c:ext xmlns:c16="http://schemas.microsoft.com/office/drawing/2014/chart" uri="{C3380CC4-5D6E-409C-BE32-E72D297353CC}">
              <c16:uniqueId val="{0000000C-41B4-419D-A242-AD7A944D6447}"/>
            </c:ext>
          </c:extLst>
        </c:ser>
        <c:ser>
          <c:idx val="8"/>
          <c:order val="5"/>
          <c:tx>
            <c:strRef>
              <c:f>'PFM Efficiency'!$BB$5</c:f>
              <c:strCache>
                <c:ptCount val="1"/>
                <c:pt idx="0">
                  <c:v>Inductor Cu Loss %</c:v>
                </c:pt>
              </c:strCache>
            </c:strRef>
          </c:tx>
          <c:spPr>
            <a:solidFill>
              <a:srgbClr val="00FF00"/>
            </a:solidFill>
            <a:ln w="12700">
              <a:solidFill>
                <a:srgbClr val="000000"/>
              </a:solidFill>
              <a:prstDash val="solid"/>
            </a:ln>
          </c:spPr>
          <c:invertIfNegative val="0"/>
          <c:dLbls>
            <c:dLbl>
              <c:idx val="0"/>
              <c:layout>
                <c:manualLayout>
                  <c:x val="1.6574585635359115E-2"/>
                  <c:y val="-1.4362657091561939E-2"/>
                </c:manualLayout>
              </c:layout>
              <c:tx>
                <c:rich>
                  <a:bodyPr/>
                  <a:lstStyle/>
                  <a:p>
                    <a:r>
                      <a:rPr lang="en-US" sz="1400">
                        <a:solidFill>
                          <a:schemeClr val="bg1"/>
                        </a:solidFill>
                      </a:rPr>
                      <a:t>I</a:t>
                    </a:r>
                    <a:r>
                      <a:rPr lang="en-US"/>
                      <a:t>nductor DCR</a:t>
                    </a:r>
                  </a:p>
                  <a:p>
                    <a:r>
                      <a:rPr lang="en-US"/>
                      <a:t>Loss</a:t>
                    </a:r>
                  </a:p>
                </c:rich>
              </c:tx>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41B4-419D-A242-AD7A944D6447}"/>
                </c:ext>
              </c:extLst>
            </c:dLbl>
            <c:spPr>
              <a:noFill/>
              <a:ln>
                <a:noFill/>
              </a:ln>
              <a:effectLst/>
            </c:spPr>
            <c:txPr>
              <a:bodyPr/>
              <a:lstStyle/>
              <a:p>
                <a:pPr>
                  <a:defRPr sz="1400" b="1">
                    <a:solidFill>
                      <a:schemeClr val="bg1"/>
                    </a:solidFill>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cat>
            <c:strLit>
              <c:ptCount val="2"/>
              <c:pt idx="0">
                <c:v>PFM</c:v>
              </c:pt>
              <c:pt idx="1">
                <c:v> COT</c:v>
              </c:pt>
            </c:strLit>
          </c:cat>
          <c:val>
            <c:numRef>
              <c:f>'PFM Efficiency'!$BB$131:$BB$132</c:f>
              <c:numCache>
                <c:formatCode>0.000%</c:formatCode>
                <c:ptCount val="2"/>
                <c:pt idx="0" formatCode="0.00%">
                  <c:v>1.3334420911554554E-2</c:v>
                </c:pt>
                <c:pt idx="1">
                  <c:v>1.6051760250250457E-2</c:v>
                </c:pt>
              </c:numCache>
            </c:numRef>
          </c:val>
          <c:extLst>
            <c:ext xmlns:c16="http://schemas.microsoft.com/office/drawing/2014/chart" uri="{C3380CC4-5D6E-409C-BE32-E72D297353CC}">
              <c16:uniqueId val="{0000000E-41B4-419D-A242-AD7A944D6447}"/>
            </c:ext>
          </c:extLst>
        </c:ser>
        <c:ser>
          <c:idx val="4"/>
          <c:order val="6"/>
          <c:tx>
            <c:strRef>
              <c:f>'PFM Efficiency'!$BC$5</c:f>
              <c:strCache>
                <c:ptCount val="1"/>
                <c:pt idx="0">
                  <c:v>Inductor Core Loss %</c:v>
                </c:pt>
              </c:strCache>
            </c:strRef>
          </c:tx>
          <c:spPr>
            <a:solidFill>
              <a:srgbClr val="99CC00"/>
            </a:solidFill>
            <a:ln w="12700">
              <a:solidFill>
                <a:srgbClr val="000000"/>
              </a:solidFill>
              <a:prstDash val="solid"/>
            </a:ln>
          </c:spPr>
          <c:invertIfNegative val="0"/>
          <c:dLbls>
            <c:dLbl>
              <c:idx val="0"/>
              <c:layout>
                <c:manualLayout>
                  <c:x val="2.7624309392265192E-2"/>
                  <c:y val="-1.4731663214995323E-2"/>
                </c:manualLayout>
              </c:layout>
              <c:tx>
                <c:rich>
                  <a:bodyPr/>
                  <a:lstStyle/>
                  <a:p>
                    <a:r>
                      <a:rPr lang="en-US" sz="1400">
                        <a:solidFill>
                          <a:schemeClr val="bg1"/>
                        </a:solidFill>
                      </a:rPr>
                      <a:t>I</a:t>
                    </a:r>
                    <a:r>
                      <a:rPr lang="en-US"/>
                      <a:t>nductor Core</a:t>
                    </a:r>
                  </a:p>
                  <a:p>
                    <a:r>
                      <a:rPr lang="en-US"/>
                      <a:t>Loss</a:t>
                    </a:r>
                  </a:p>
                </c:rich>
              </c:tx>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41B4-419D-A242-AD7A944D6447}"/>
                </c:ext>
              </c:extLst>
            </c:dLbl>
            <c:spPr>
              <a:noFill/>
              <a:ln>
                <a:noFill/>
              </a:ln>
              <a:effectLst/>
            </c:spPr>
            <c:txPr>
              <a:bodyPr/>
              <a:lstStyle/>
              <a:p>
                <a:pPr>
                  <a:defRPr sz="1400" b="1">
                    <a:solidFill>
                      <a:schemeClr val="bg1"/>
                    </a:solidFill>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cat>
            <c:strLit>
              <c:ptCount val="2"/>
              <c:pt idx="0">
                <c:v>PFM</c:v>
              </c:pt>
              <c:pt idx="1">
                <c:v> COT</c:v>
              </c:pt>
            </c:strLit>
          </c:cat>
          <c:val>
            <c:numRef>
              <c:f>'PFM Efficiency'!$BC$131:$BC$132</c:f>
              <c:numCache>
                <c:formatCode>0.000%</c:formatCode>
                <c:ptCount val="2"/>
                <c:pt idx="0" formatCode="0.00%">
                  <c:v>2.4942750909659597E-2</c:v>
                </c:pt>
                <c:pt idx="1">
                  <c:v>6.8152413568584669E-3</c:v>
                </c:pt>
              </c:numCache>
            </c:numRef>
          </c:val>
          <c:extLst>
            <c:ext xmlns:c16="http://schemas.microsoft.com/office/drawing/2014/chart" uri="{C3380CC4-5D6E-409C-BE32-E72D297353CC}">
              <c16:uniqueId val="{00000010-41B4-419D-A242-AD7A944D6447}"/>
            </c:ext>
          </c:extLst>
        </c:ser>
        <c:ser>
          <c:idx val="1"/>
          <c:order val="7"/>
          <c:tx>
            <c:v>Reverse Recovery Loss</c:v>
          </c:tx>
          <c:invertIfNegative val="0"/>
          <c:dLbls>
            <c:dLbl>
              <c:idx val="1"/>
              <c:layout>
                <c:manualLayout>
                  <c:x val="0"/>
                  <c:y val="-1.0899182561307902E-2"/>
                </c:manualLayout>
              </c:layout>
              <c:tx>
                <c:rich>
                  <a:bodyPr/>
                  <a:lstStyle/>
                  <a:p>
                    <a:r>
                      <a:rPr lang="en-US" sz="1400" b="1">
                        <a:solidFill>
                          <a:schemeClr val="bg1"/>
                        </a:solidFill>
                      </a:rPr>
                      <a:t>R</a:t>
                    </a:r>
                    <a:r>
                      <a:rPr lang="en-US"/>
                      <a:t>everse</a:t>
                    </a:r>
                  </a:p>
                  <a:p>
                    <a:r>
                      <a:rPr lang="en-US"/>
                      <a:t>Recovery</a:t>
                    </a:r>
                  </a:p>
                  <a:p>
                    <a:r>
                      <a:rPr lang="en-US"/>
                      <a:t>Loss</a:t>
                    </a:r>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41B4-419D-A242-AD7A944D6447}"/>
                </c:ext>
              </c:extLst>
            </c:dLbl>
            <c:spPr>
              <a:noFill/>
              <a:ln>
                <a:noFill/>
              </a:ln>
              <a:effectLst/>
            </c:spPr>
            <c:txPr>
              <a:bodyPr/>
              <a:lstStyle/>
              <a:p>
                <a:pPr>
                  <a:defRPr sz="1400" b="1">
                    <a:solidFill>
                      <a:schemeClr val="bg1"/>
                    </a:solidFill>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val>
            <c:numRef>
              <c:f>'PFM Efficiency'!$AZ$131:$AZ$132</c:f>
              <c:numCache>
                <c:formatCode>0.000%</c:formatCode>
                <c:ptCount val="2"/>
                <c:pt idx="0" formatCode="0.00%">
                  <c:v>0</c:v>
                </c:pt>
                <c:pt idx="1">
                  <c:v>1.1631608311305648E-2</c:v>
                </c:pt>
              </c:numCache>
            </c:numRef>
          </c:val>
          <c:extLst>
            <c:ext xmlns:c16="http://schemas.microsoft.com/office/drawing/2014/chart" uri="{C3380CC4-5D6E-409C-BE32-E72D297353CC}">
              <c16:uniqueId val="{00000012-41B4-419D-A242-AD7A944D6447}"/>
            </c:ext>
          </c:extLst>
        </c:ser>
        <c:ser>
          <c:idx val="0"/>
          <c:order val="8"/>
          <c:tx>
            <c:strRef>
              <c:f>'PFM Efficiency'!$BE$5</c:f>
              <c:strCache>
                <c:ptCount val="1"/>
                <c:pt idx="0">
                  <c:v>Quiescent Current Loss %</c:v>
                </c:pt>
              </c:strCache>
            </c:strRef>
          </c:tx>
          <c:spPr>
            <a:solidFill>
              <a:srgbClr val="FF0000"/>
            </a:solidFill>
          </c:spPr>
          <c:invertIfNegative val="0"/>
          <c:dLbls>
            <c:dLbl>
              <c:idx val="0"/>
              <c:layout>
                <c:manualLayout>
                  <c:x val="1.5638947594843737E-2"/>
                  <c:y val="-4.2882418989179487E-2"/>
                </c:manualLayout>
              </c:layout>
              <c:tx>
                <c:rich>
                  <a:bodyPr/>
                  <a:lstStyle/>
                  <a:p>
                    <a:r>
                      <a:rPr lang="en-US" sz="1400">
                        <a:solidFill>
                          <a:schemeClr val="bg1"/>
                        </a:solidFill>
                      </a:rPr>
                      <a:t>Q</a:t>
                    </a:r>
                    <a:r>
                      <a:rPr lang="en-US"/>
                      <a:t>uiescent</a:t>
                    </a:r>
                  </a:p>
                  <a:p>
                    <a:r>
                      <a:rPr lang="en-US"/>
                      <a:t>Current</a:t>
                    </a:r>
                  </a:p>
                  <a:p>
                    <a:r>
                      <a:rPr lang="en-US"/>
                      <a:t>Loss </a:t>
                    </a:r>
                  </a:p>
                </c:rich>
              </c:tx>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41B4-419D-A242-AD7A944D6447}"/>
                </c:ext>
              </c:extLst>
            </c:dLbl>
            <c:numFmt formatCode="0.0E+00" sourceLinked="0"/>
            <c:spPr>
              <a:noFill/>
            </c:spPr>
            <c:txPr>
              <a:bodyPr rot="0" vert="horz" anchor="ctr" anchorCtr="0"/>
              <a:lstStyle/>
              <a:p>
                <a:pPr>
                  <a:defRPr sz="1400" b="1">
                    <a:solidFill>
                      <a:schemeClr val="bg1"/>
                    </a:solidFill>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cat>
            <c:strLit>
              <c:ptCount val="2"/>
              <c:pt idx="0">
                <c:v>PFM</c:v>
              </c:pt>
              <c:pt idx="1">
                <c:v> COT</c:v>
              </c:pt>
            </c:strLit>
          </c:cat>
          <c:val>
            <c:numRef>
              <c:f>'PFM Efficiency'!$BE$131:$BE$132</c:f>
              <c:numCache>
                <c:formatCode>0.000%</c:formatCode>
                <c:ptCount val="2"/>
                <c:pt idx="0" formatCode="0.00%">
                  <c:v>6.6987357062394748E-3</c:v>
                </c:pt>
                <c:pt idx="1">
                  <c:v>1.2837829865088564E-2</c:v>
                </c:pt>
              </c:numCache>
            </c:numRef>
          </c:val>
          <c:extLst>
            <c:ext xmlns:c16="http://schemas.microsoft.com/office/drawing/2014/chart" uri="{C3380CC4-5D6E-409C-BE32-E72D297353CC}">
              <c16:uniqueId val="{00000014-41B4-419D-A242-AD7A944D6447}"/>
            </c:ext>
          </c:extLst>
        </c:ser>
        <c:dLbls>
          <c:showLegendKey val="0"/>
          <c:showVal val="0"/>
          <c:showCatName val="0"/>
          <c:showSerName val="0"/>
          <c:showPercent val="0"/>
          <c:showBubbleSize val="0"/>
        </c:dLbls>
        <c:gapWidth val="101"/>
        <c:shape val="cylinder"/>
        <c:axId val="158984064"/>
        <c:axId val="158621696"/>
        <c:axId val="158949824"/>
      </c:bar3DChart>
      <c:catAx>
        <c:axId val="158984064"/>
        <c:scaling>
          <c:orientation val="minMax"/>
        </c:scaling>
        <c:delete val="0"/>
        <c:axPos val="b"/>
        <c:title>
          <c:tx>
            <c:rich>
              <a:bodyPr rot="1260000"/>
              <a:lstStyle/>
              <a:p>
                <a:pPr>
                  <a:defRPr b="1"/>
                </a:pPr>
                <a:r>
                  <a:rPr lang="en-US" b="1" baseline="0">
                    <a:solidFill>
                      <a:srgbClr val="0070C0"/>
                    </a:solidFill>
                  </a:rPr>
                  <a:t>PFM</a:t>
                </a:r>
                <a:r>
                  <a:rPr lang="en-US" b="1" baseline="0"/>
                  <a:t>   COT</a:t>
                </a:r>
                <a:endParaRPr lang="en-US" b="1"/>
              </a:p>
            </c:rich>
          </c:tx>
          <c:layout>
            <c:manualLayout>
              <c:xMode val="edge"/>
              <c:yMode val="edge"/>
              <c:x val="0.90148877947295125"/>
              <c:y val="0.11284644596537149"/>
            </c:manualLayout>
          </c:layout>
          <c:overlay val="0"/>
        </c:title>
        <c:numFmt formatCode="General" sourceLinked="1"/>
        <c:majorTickMark val="none"/>
        <c:minorTickMark val="none"/>
        <c:tickLblPos val="none"/>
        <c:spPr>
          <a:ln w="3175">
            <a:solidFill>
              <a:srgbClr val="000000"/>
            </a:solidFill>
            <a:prstDash val="solid"/>
          </a:ln>
        </c:spPr>
        <c:txPr>
          <a:bodyPr rot="0" vert="horz"/>
          <a:lstStyle/>
          <a:p>
            <a:pPr>
              <a:defRPr sz="1725" b="0" i="0" u="none" strike="noStrike" baseline="0">
                <a:solidFill>
                  <a:srgbClr val="000000"/>
                </a:solidFill>
                <a:latin typeface="Arial"/>
                <a:ea typeface="Arial"/>
                <a:cs typeface="Arial"/>
              </a:defRPr>
            </a:pPr>
            <a:endParaRPr lang="en-US"/>
          </a:p>
        </c:txPr>
        <c:crossAx val="158621696"/>
        <c:crossesAt val="0"/>
        <c:auto val="1"/>
        <c:lblAlgn val="ctr"/>
        <c:lblOffset val="100"/>
        <c:noMultiLvlLbl val="0"/>
      </c:catAx>
      <c:valAx>
        <c:axId val="158621696"/>
        <c:scaling>
          <c:orientation val="minMax"/>
          <c:max val="4.5000000000000012E-2"/>
          <c:min val="0"/>
        </c:scaling>
        <c:delete val="0"/>
        <c:axPos val="l"/>
        <c:majorGridlines>
          <c:spPr>
            <a:ln>
              <a:prstDash val="lgDash"/>
            </a:ln>
          </c:spPr>
        </c:majorGridlines>
        <c:numFmt formatCode="0.0%" sourceLinked="0"/>
        <c:majorTickMark val="out"/>
        <c:minorTickMark val="out"/>
        <c:tickLblPos val="low"/>
        <c:crossAx val="158984064"/>
        <c:crosses val="autoZero"/>
        <c:crossBetween val="between"/>
      </c:valAx>
      <c:serAx>
        <c:axId val="158949824"/>
        <c:scaling>
          <c:orientation val="minMax"/>
        </c:scaling>
        <c:delete val="0"/>
        <c:axPos val="b"/>
        <c:majorTickMark val="out"/>
        <c:minorTickMark val="none"/>
        <c:tickLblPos val="none"/>
        <c:crossAx val="158621696"/>
        <c:crosses val="autoZero"/>
      </c:serAx>
    </c:plotArea>
    <c:plotVisOnly val="1"/>
    <c:dispBlanksAs val="zero"/>
    <c:showDLblsOverMax val="0"/>
  </c:chart>
  <c:spPr>
    <a:solidFill>
      <a:schemeClr val="bg1"/>
    </a:solidFill>
    <a:ln w="3175">
      <a:noFill/>
      <a:prstDash val="solid"/>
    </a:ln>
  </c:spPr>
  <c:txPr>
    <a:bodyPr/>
    <a:lstStyle/>
    <a:p>
      <a:pPr>
        <a:defRPr sz="1725" b="0" i="0" u="none" strike="noStrike" baseline="0">
          <a:solidFill>
            <a:srgbClr val="000000"/>
          </a:solidFill>
          <a:latin typeface="Arial"/>
          <a:ea typeface="Arial"/>
          <a:cs typeface="Arial"/>
        </a:defRPr>
      </a:pPr>
      <a:endParaRPr lang="en-US"/>
    </a:p>
  </c:txPr>
  <c:printSettings>
    <c:headerFooter alignWithMargins="0"/>
    <c:pageMargins b="1" l="0.75000000000000255" r="0.75000000000000255" t="1" header="0.5" footer="0.5"/>
    <c:pageSetup orientation="landscape"/>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P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t>Breakdown Losses (I</a:t>
            </a:r>
            <a:r>
              <a:rPr lang="en-US" sz="1800" b="1" i="0" baseline="-25000"/>
              <a:t>OUT</a:t>
            </a:r>
            <a:r>
              <a:rPr lang="en-US" sz="1800" b="1" i="0" baseline="0"/>
              <a:t> = 1mA)</a:t>
            </a:r>
            <a:endParaRPr lang="en-US"/>
          </a:p>
        </c:rich>
      </c:tx>
      <c:layout>
        <c:manualLayout>
          <c:xMode val="edge"/>
          <c:yMode val="edge"/>
          <c:x val="0.34802952419088251"/>
          <c:y val="2.2528839208450439E-2"/>
        </c:manualLayout>
      </c:layout>
      <c:overlay val="0"/>
    </c:title>
    <c:autoTitleDeleted val="0"/>
    <c:view3D>
      <c:rotX val="15"/>
      <c:rotY val="80"/>
      <c:rAngAx val="0"/>
    </c:view3D>
    <c:floor>
      <c:thickness val="0"/>
    </c:floor>
    <c:sideWall>
      <c:thickness val="0"/>
      <c:spPr>
        <a:solidFill>
          <a:schemeClr val="bg1">
            <a:lumMod val="85000"/>
          </a:schemeClr>
        </a:solidFill>
        <a:ln w="25400">
          <a:noFill/>
        </a:ln>
      </c:spPr>
    </c:sideWall>
    <c:backWall>
      <c:thickness val="0"/>
      <c:spPr>
        <a:solidFill>
          <a:schemeClr val="bg1">
            <a:lumMod val="85000"/>
          </a:schemeClr>
        </a:solidFill>
        <a:ln w="25400">
          <a:noFill/>
        </a:ln>
      </c:spPr>
    </c:backWall>
    <c:plotArea>
      <c:layout>
        <c:manualLayout>
          <c:layoutTarget val="inner"/>
          <c:xMode val="edge"/>
          <c:yMode val="edge"/>
          <c:x val="5.5090993460071687E-2"/>
          <c:y val="4.3694422393386119E-2"/>
          <c:w val="0.93218282797523211"/>
          <c:h val="0.92972787802069723"/>
        </c:manualLayout>
      </c:layout>
      <c:bar3DChart>
        <c:barDir val="col"/>
        <c:grouping val="standard"/>
        <c:varyColors val="0"/>
        <c:ser>
          <c:idx val="6"/>
          <c:order val="0"/>
          <c:tx>
            <c:strRef>
              <c:f>'PFM Efficiency'!$AV$5</c:f>
              <c:strCache>
                <c:ptCount val="1"/>
                <c:pt idx="0">
                  <c:v>High-side MOSFET Rdson %</c:v>
                </c:pt>
              </c:strCache>
            </c:strRef>
          </c:tx>
          <c:spPr>
            <a:solidFill>
              <a:srgbClr val="FF0000"/>
            </a:solidFill>
            <a:ln w="12700">
              <a:solidFill>
                <a:srgbClr val="000000"/>
              </a:solidFill>
              <a:prstDash val="solid"/>
            </a:ln>
          </c:spPr>
          <c:invertIfNegative val="0"/>
          <c:dLbls>
            <c:dLbl>
              <c:idx val="0"/>
              <c:layout>
                <c:manualLayout>
                  <c:x val="3.222836095764274E-2"/>
                  <c:y val="-1.2521752537942103E-2"/>
                </c:manualLayout>
              </c:layout>
              <c:tx>
                <c:rich>
                  <a:bodyPr/>
                  <a:lstStyle/>
                  <a:p>
                    <a:r>
                      <a:rPr lang="en-US" sz="1400">
                        <a:solidFill>
                          <a:schemeClr val="bg1"/>
                        </a:solidFill>
                      </a:rPr>
                      <a:t>H</a:t>
                    </a:r>
                    <a:r>
                      <a:rPr lang="en-US"/>
                      <a:t>igh-side MOSFET</a:t>
                    </a:r>
                  </a:p>
                  <a:p>
                    <a:r>
                      <a:rPr lang="en-US"/>
                      <a:t>Rdson</a:t>
                    </a:r>
                  </a:p>
                </c:rich>
              </c:tx>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1BC1-446F-B234-CC2050DA72F7}"/>
                </c:ext>
              </c:extLst>
            </c:dLbl>
            <c:dLbl>
              <c:idx val="1"/>
              <c:delete val="1"/>
              <c:extLst>
                <c:ext xmlns:c15="http://schemas.microsoft.com/office/drawing/2012/chart" uri="{CE6537A1-D6FC-4f65-9D91-7224C49458BB}"/>
                <c:ext xmlns:c16="http://schemas.microsoft.com/office/drawing/2014/chart" uri="{C3380CC4-5D6E-409C-BE32-E72D297353CC}">
                  <c16:uniqueId val="{00000001-1BC1-446F-B234-CC2050DA72F7}"/>
                </c:ext>
              </c:extLst>
            </c:dLbl>
            <c:spPr>
              <a:noFill/>
              <a:ln>
                <a:noFill/>
              </a:ln>
              <a:effectLst/>
            </c:spPr>
            <c:txPr>
              <a:bodyPr/>
              <a:lstStyle/>
              <a:p>
                <a:pPr>
                  <a:defRPr sz="1400" b="1">
                    <a:solidFill>
                      <a:schemeClr val="bg1"/>
                    </a:solidFil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Lit>
              <c:ptCount val="2"/>
              <c:pt idx="0">
                <c:v>PFM</c:v>
              </c:pt>
              <c:pt idx="1">
                <c:v> COT</c:v>
              </c:pt>
            </c:strLit>
          </c:cat>
          <c:val>
            <c:numRef>
              <c:f>'PFM Efficiency'!$AV$125:$AV$126</c:f>
              <c:numCache>
                <c:formatCode>0.000%</c:formatCode>
                <c:ptCount val="2"/>
                <c:pt idx="0" formatCode="0.00%">
                  <c:v>1.0297657167620348E-2</c:v>
                </c:pt>
                <c:pt idx="1">
                  <c:v>3.6409104085968987E-3</c:v>
                </c:pt>
              </c:numCache>
            </c:numRef>
          </c:val>
          <c:extLst>
            <c:ext xmlns:c16="http://schemas.microsoft.com/office/drawing/2014/chart" uri="{C3380CC4-5D6E-409C-BE32-E72D297353CC}">
              <c16:uniqueId val="{00000002-1BC1-446F-B234-CC2050DA72F7}"/>
            </c:ext>
          </c:extLst>
        </c:ser>
        <c:ser>
          <c:idx val="5"/>
          <c:order val="1"/>
          <c:tx>
            <c:strRef>
              <c:f>'PFM Efficiency'!$AY$5</c:f>
              <c:strCache>
                <c:ptCount val="1"/>
                <c:pt idx="0">
                  <c:v>High-side MOSFET Switching Loss %</c:v>
                </c:pt>
              </c:strCache>
            </c:strRef>
          </c:tx>
          <c:spPr>
            <a:solidFill>
              <a:srgbClr val="0000FF"/>
            </a:solidFill>
            <a:ln w="12700">
              <a:solidFill>
                <a:srgbClr val="000000"/>
              </a:solidFill>
              <a:prstDash val="solid"/>
            </a:ln>
          </c:spPr>
          <c:invertIfNegative val="0"/>
          <c:dLbls>
            <c:dLbl>
              <c:idx val="0"/>
              <c:layout>
                <c:manualLayout>
                  <c:x val="1.0128913443830571E-2"/>
                  <c:y val="-1.5549076773566572E-2"/>
                </c:manualLayout>
              </c:layout>
              <c:tx>
                <c:rich>
                  <a:bodyPr/>
                  <a:lstStyle/>
                  <a:p>
                    <a:r>
                      <a:rPr lang="en-US" sz="1400">
                        <a:solidFill>
                          <a:schemeClr val="bg1"/>
                        </a:solidFill>
                      </a:rPr>
                      <a:t>H</a:t>
                    </a:r>
                    <a:r>
                      <a:rPr lang="en-US"/>
                      <a:t>igh-side MOSFET</a:t>
                    </a:r>
                  </a:p>
                  <a:p>
                    <a:r>
                      <a:rPr lang="en-US"/>
                      <a:t>Switching</a:t>
                    </a:r>
                  </a:p>
                </c:rich>
              </c:tx>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1BC1-446F-B234-CC2050DA72F7}"/>
                </c:ext>
              </c:extLst>
            </c:dLbl>
            <c:spPr>
              <a:noFill/>
              <a:ln>
                <a:noFill/>
              </a:ln>
              <a:effectLst/>
            </c:spPr>
            <c:txPr>
              <a:bodyPr/>
              <a:lstStyle/>
              <a:p>
                <a:pPr>
                  <a:defRPr sz="1400" b="1">
                    <a:solidFill>
                      <a:schemeClr val="bg1"/>
                    </a:solidFill>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cat>
            <c:strLit>
              <c:ptCount val="2"/>
              <c:pt idx="0">
                <c:v>PFM</c:v>
              </c:pt>
              <c:pt idx="1">
                <c:v> COT</c:v>
              </c:pt>
            </c:strLit>
          </c:cat>
          <c:val>
            <c:numRef>
              <c:f>'PFM Efficiency'!$AY$125:$AY$126</c:f>
              <c:numCache>
                <c:formatCode>0.000%</c:formatCode>
                <c:ptCount val="2"/>
                <c:pt idx="0" formatCode="0.00%">
                  <c:v>2.0607602979573505E-2</c:v>
                </c:pt>
                <c:pt idx="1">
                  <c:v>4.5907837520612008E-3</c:v>
                </c:pt>
              </c:numCache>
            </c:numRef>
          </c:val>
          <c:extLst>
            <c:ext xmlns:c16="http://schemas.microsoft.com/office/drawing/2014/chart" uri="{C3380CC4-5D6E-409C-BE32-E72D297353CC}">
              <c16:uniqueId val="{00000004-1BC1-446F-B234-CC2050DA72F7}"/>
            </c:ext>
          </c:extLst>
        </c:ser>
        <c:ser>
          <c:idx val="7"/>
          <c:order val="2"/>
          <c:tx>
            <c:strRef>
              <c:f>'PFM Efficiency'!$AW$5</c:f>
              <c:strCache>
                <c:ptCount val="1"/>
                <c:pt idx="0">
                  <c:v>Low-side MOSFET Rdson %</c:v>
                </c:pt>
              </c:strCache>
            </c:strRef>
          </c:tx>
          <c:spPr>
            <a:solidFill>
              <a:srgbClr val="FF6600"/>
            </a:solidFill>
            <a:ln w="12700">
              <a:solidFill>
                <a:srgbClr val="000000"/>
              </a:solidFill>
              <a:prstDash val="solid"/>
            </a:ln>
          </c:spPr>
          <c:invertIfNegative val="0"/>
          <c:dLbls>
            <c:dLbl>
              <c:idx val="0"/>
              <c:layout>
                <c:manualLayout>
                  <c:x val="1.6574585635359126E-2"/>
                  <c:y val="-2.1543985637342909E-2"/>
                </c:manualLayout>
              </c:layout>
              <c:tx>
                <c:rich>
                  <a:bodyPr/>
                  <a:lstStyle/>
                  <a:p>
                    <a:r>
                      <a:rPr lang="en-US" sz="1400" b="1">
                        <a:solidFill>
                          <a:schemeClr val="bg1"/>
                        </a:solidFill>
                      </a:rPr>
                      <a:t>L</a:t>
                    </a:r>
                    <a:r>
                      <a:rPr lang="en-US" sz="1400"/>
                      <a:t>ow-side MOSFET</a:t>
                    </a:r>
                  </a:p>
                  <a:p>
                    <a:r>
                      <a:rPr lang="en-US" sz="1400"/>
                      <a:t>Rdson</a:t>
                    </a:r>
                  </a:p>
                </c:rich>
              </c:tx>
              <c:showLegendKey val="0"/>
              <c:showVal val="1"/>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1BC1-446F-B234-CC2050DA72F7}"/>
                </c:ext>
              </c:extLst>
            </c:dLbl>
            <c:dLbl>
              <c:idx val="1"/>
              <c:delete val="1"/>
              <c:extLst>
                <c:ext xmlns:c15="http://schemas.microsoft.com/office/drawing/2012/chart" uri="{CE6537A1-D6FC-4f65-9D91-7224C49458BB}"/>
                <c:ext xmlns:c16="http://schemas.microsoft.com/office/drawing/2014/chart" uri="{C3380CC4-5D6E-409C-BE32-E72D297353CC}">
                  <c16:uniqueId val="{00000006-1BC1-446F-B234-CC2050DA72F7}"/>
                </c:ext>
              </c:extLst>
            </c:dLbl>
            <c:spPr>
              <a:noFill/>
              <a:ln>
                <a:noFill/>
              </a:ln>
              <a:effectLst/>
            </c:spPr>
            <c:txPr>
              <a:bodyPr/>
              <a:lstStyle/>
              <a:p>
                <a:pPr>
                  <a:defRPr b="1">
                    <a:solidFill>
                      <a:schemeClr val="bg1"/>
                    </a:solidFill>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cat>
            <c:strLit>
              <c:ptCount val="2"/>
              <c:pt idx="0">
                <c:v>PFM</c:v>
              </c:pt>
              <c:pt idx="1">
                <c:v> COT</c:v>
              </c:pt>
            </c:strLit>
          </c:cat>
          <c:val>
            <c:numRef>
              <c:f>'PFM Efficiency'!$AW$125:$AW$126</c:f>
              <c:numCache>
                <c:formatCode>0.000%</c:formatCode>
                <c:ptCount val="2"/>
                <c:pt idx="0" formatCode="0.00%">
                  <c:v>1.8557479052598299E-2</c:v>
                </c:pt>
                <c:pt idx="1">
                  <c:v>6.5692245841190103E-3</c:v>
                </c:pt>
              </c:numCache>
            </c:numRef>
          </c:val>
          <c:extLst>
            <c:ext xmlns:c16="http://schemas.microsoft.com/office/drawing/2014/chart" uri="{C3380CC4-5D6E-409C-BE32-E72D297353CC}">
              <c16:uniqueId val="{00000007-1BC1-446F-B234-CC2050DA72F7}"/>
            </c:ext>
          </c:extLst>
        </c:ser>
        <c:ser>
          <c:idx val="3"/>
          <c:order val="3"/>
          <c:tx>
            <c:strRef>
              <c:f>'PFM Efficiency'!$BA$5</c:f>
              <c:strCache>
                <c:ptCount val="1"/>
                <c:pt idx="0">
                  <c:v>Low-side MOSFET Deadtime Loss %</c:v>
                </c:pt>
              </c:strCache>
            </c:strRef>
          </c:tx>
          <c:spPr>
            <a:solidFill>
              <a:srgbClr val="666699"/>
            </a:solidFill>
            <a:ln w="12700">
              <a:solidFill>
                <a:srgbClr val="000000"/>
              </a:solidFill>
              <a:prstDash val="solid"/>
            </a:ln>
          </c:spPr>
          <c:invertIfNegative val="0"/>
          <c:dLbls>
            <c:dLbl>
              <c:idx val="0"/>
              <c:layout>
                <c:manualLayout>
                  <c:x val="1.7495395948434623E-2"/>
                  <c:y val="-8.9007565643079763E-3"/>
                </c:manualLayout>
              </c:layout>
              <c:tx>
                <c:rich>
                  <a:bodyPr/>
                  <a:lstStyle/>
                  <a:p>
                    <a:r>
                      <a:rPr lang="en-US" sz="1400">
                        <a:solidFill>
                          <a:schemeClr val="bg1"/>
                        </a:solidFill>
                      </a:rPr>
                      <a:t>L</a:t>
                    </a:r>
                    <a:r>
                      <a:rPr lang="en-US"/>
                      <a:t>ow-side MOSFET</a:t>
                    </a:r>
                  </a:p>
                  <a:p>
                    <a:r>
                      <a:rPr lang="en-US"/>
                      <a:t>Deadtime </a:t>
                    </a:r>
                  </a:p>
                </c:rich>
              </c:tx>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1BC1-446F-B234-CC2050DA72F7}"/>
                </c:ext>
              </c:extLst>
            </c:dLbl>
            <c:dLbl>
              <c:idx val="1"/>
              <c:delete val="1"/>
              <c:extLst>
                <c:ext xmlns:c15="http://schemas.microsoft.com/office/drawing/2012/chart" uri="{CE6537A1-D6FC-4f65-9D91-7224C49458BB}"/>
                <c:ext xmlns:c16="http://schemas.microsoft.com/office/drawing/2014/chart" uri="{C3380CC4-5D6E-409C-BE32-E72D297353CC}">
                  <c16:uniqueId val="{00000009-1BC1-446F-B234-CC2050DA72F7}"/>
                </c:ext>
              </c:extLst>
            </c:dLbl>
            <c:spPr>
              <a:noFill/>
              <a:ln>
                <a:noFill/>
              </a:ln>
              <a:effectLst/>
            </c:spPr>
            <c:txPr>
              <a:bodyPr/>
              <a:lstStyle/>
              <a:p>
                <a:pPr>
                  <a:defRPr sz="1400" b="1">
                    <a:solidFill>
                      <a:schemeClr val="bg1"/>
                    </a:solidFil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Lit>
              <c:ptCount val="2"/>
              <c:pt idx="0">
                <c:v>PFM</c:v>
              </c:pt>
              <c:pt idx="1">
                <c:v> COT</c:v>
              </c:pt>
            </c:strLit>
          </c:cat>
          <c:val>
            <c:numRef>
              <c:f>'PFM Efficiency'!$BA$125:$BA$126</c:f>
              <c:numCache>
                <c:formatCode>0.000%</c:formatCode>
                <c:ptCount val="2"/>
                <c:pt idx="0" formatCode="0.00%">
                  <c:v>2.370003140169575E-3</c:v>
                </c:pt>
                <c:pt idx="1">
                  <c:v>7.3751579484765363E-4</c:v>
                </c:pt>
              </c:numCache>
            </c:numRef>
          </c:val>
          <c:extLst>
            <c:ext xmlns:c16="http://schemas.microsoft.com/office/drawing/2014/chart" uri="{C3380CC4-5D6E-409C-BE32-E72D297353CC}">
              <c16:uniqueId val="{0000000A-1BC1-446F-B234-CC2050DA72F7}"/>
            </c:ext>
          </c:extLst>
        </c:ser>
        <c:ser>
          <c:idx val="2"/>
          <c:order val="4"/>
          <c:tx>
            <c:strRef>
              <c:f>'PFM Efficiency'!$AX$5</c:f>
              <c:strCache>
                <c:ptCount val="1"/>
                <c:pt idx="0">
                  <c:v>Gate Drive (Qg) Loss from Vin %</c:v>
                </c:pt>
              </c:strCache>
            </c:strRef>
          </c:tx>
          <c:spPr>
            <a:solidFill>
              <a:srgbClr val="00FFFF"/>
            </a:solidFill>
            <a:ln w="12700">
              <a:solidFill>
                <a:srgbClr val="000000"/>
              </a:solidFill>
              <a:prstDash val="solid"/>
            </a:ln>
          </c:spPr>
          <c:invertIfNegative val="0"/>
          <c:dLbls>
            <c:dLbl>
              <c:idx val="0"/>
              <c:layout>
                <c:manualLayout>
                  <c:x val="1.0128913443830571E-2"/>
                  <c:y val="-0.14270926414572022"/>
                </c:manualLayout>
              </c:layout>
              <c:tx>
                <c:rich>
                  <a:bodyPr/>
                  <a:lstStyle/>
                  <a:p>
                    <a:r>
                      <a:rPr lang="en-US" sz="1400">
                        <a:solidFill>
                          <a:schemeClr val="bg1"/>
                        </a:solidFill>
                      </a:rPr>
                      <a:t>G</a:t>
                    </a:r>
                    <a:r>
                      <a:rPr lang="en-US"/>
                      <a:t>ate Drive (Qg)</a:t>
                    </a:r>
                  </a:p>
                  <a:p>
                    <a:r>
                      <a:rPr lang="en-US"/>
                      <a:t>Loss</a:t>
                    </a:r>
                  </a:p>
                </c:rich>
              </c:tx>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1BC1-446F-B234-CC2050DA72F7}"/>
                </c:ext>
              </c:extLst>
            </c:dLbl>
            <c:spPr>
              <a:noFill/>
              <a:ln>
                <a:noFill/>
              </a:ln>
              <a:effectLst/>
            </c:spPr>
            <c:txPr>
              <a:bodyPr rot="0" vert="horz"/>
              <a:lstStyle/>
              <a:p>
                <a:pPr>
                  <a:defRPr sz="1400" b="1">
                    <a:solidFill>
                      <a:schemeClr val="bg1"/>
                    </a:solidFill>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cat>
            <c:strLit>
              <c:ptCount val="2"/>
              <c:pt idx="0">
                <c:v>PFM</c:v>
              </c:pt>
              <c:pt idx="1">
                <c:v> COT</c:v>
              </c:pt>
            </c:strLit>
          </c:cat>
          <c:val>
            <c:numRef>
              <c:f>'PFM Efficiency'!$AX$125:$AX$126</c:f>
              <c:numCache>
                <c:formatCode>0.000%</c:formatCode>
                <c:ptCount val="2"/>
                <c:pt idx="0" formatCode="0.00%">
                  <c:v>2.1886458807960196E-2</c:v>
                </c:pt>
                <c:pt idx="1">
                  <c:v>5.4394694205683519E-2</c:v>
                </c:pt>
              </c:numCache>
            </c:numRef>
          </c:val>
          <c:extLst>
            <c:ext xmlns:c16="http://schemas.microsoft.com/office/drawing/2014/chart" uri="{C3380CC4-5D6E-409C-BE32-E72D297353CC}">
              <c16:uniqueId val="{0000000C-1BC1-446F-B234-CC2050DA72F7}"/>
            </c:ext>
          </c:extLst>
        </c:ser>
        <c:ser>
          <c:idx val="8"/>
          <c:order val="5"/>
          <c:tx>
            <c:strRef>
              <c:f>'PFM Efficiency'!$BB$5</c:f>
              <c:strCache>
                <c:ptCount val="1"/>
                <c:pt idx="0">
                  <c:v>Inductor Cu Loss %</c:v>
                </c:pt>
              </c:strCache>
            </c:strRef>
          </c:tx>
          <c:spPr>
            <a:solidFill>
              <a:srgbClr val="00FF00"/>
            </a:solidFill>
            <a:ln w="12700">
              <a:solidFill>
                <a:srgbClr val="000000"/>
              </a:solidFill>
              <a:prstDash val="solid"/>
            </a:ln>
          </c:spPr>
          <c:invertIfNegative val="0"/>
          <c:dLbls>
            <c:dLbl>
              <c:idx val="0"/>
              <c:layout>
                <c:manualLayout>
                  <c:x val="1.6574585635359126E-2"/>
                  <c:y val="-1.4362657091561941E-2"/>
                </c:manualLayout>
              </c:layout>
              <c:tx>
                <c:rich>
                  <a:bodyPr/>
                  <a:lstStyle/>
                  <a:p>
                    <a:r>
                      <a:rPr lang="en-US" sz="1400">
                        <a:solidFill>
                          <a:schemeClr val="bg1"/>
                        </a:solidFill>
                      </a:rPr>
                      <a:t>I</a:t>
                    </a:r>
                    <a:r>
                      <a:rPr lang="en-US"/>
                      <a:t>nductor DCR</a:t>
                    </a:r>
                  </a:p>
                  <a:p>
                    <a:r>
                      <a:rPr lang="en-US"/>
                      <a:t>Loss</a:t>
                    </a:r>
                  </a:p>
                </c:rich>
              </c:tx>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1BC1-446F-B234-CC2050DA72F7}"/>
                </c:ext>
              </c:extLst>
            </c:dLbl>
            <c:spPr>
              <a:noFill/>
              <a:ln>
                <a:noFill/>
              </a:ln>
              <a:effectLst/>
            </c:spPr>
            <c:txPr>
              <a:bodyPr/>
              <a:lstStyle/>
              <a:p>
                <a:pPr>
                  <a:defRPr sz="1400" b="1">
                    <a:solidFill>
                      <a:schemeClr val="bg1"/>
                    </a:solidFill>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cat>
            <c:strLit>
              <c:ptCount val="2"/>
              <c:pt idx="0">
                <c:v>PFM</c:v>
              </c:pt>
              <c:pt idx="1">
                <c:v> COT</c:v>
              </c:pt>
            </c:strLit>
          </c:cat>
          <c:val>
            <c:numRef>
              <c:f>'PFM Efficiency'!$BB$109:$BB$110</c:f>
              <c:numCache>
                <c:formatCode>0.00%</c:formatCode>
                <c:ptCount val="2"/>
                <c:pt idx="0">
                  <c:v>0</c:v>
                </c:pt>
                <c:pt idx="1">
                  <c:v>0</c:v>
                </c:pt>
              </c:numCache>
            </c:numRef>
          </c:val>
          <c:extLst>
            <c:ext xmlns:c16="http://schemas.microsoft.com/office/drawing/2014/chart" uri="{C3380CC4-5D6E-409C-BE32-E72D297353CC}">
              <c16:uniqueId val="{0000000E-1BC1-446F-B234-CC2050DA72F7}"/>
            </c:ext>
          </c:extLst>
        </c:ser>
        <c:ser>
          <c:idx val="4"/>
          <c:order val="6"/>
          <c:tx>
            <c:strRef>
              <c:f>'PFM Efficiency'!$BC$5</c:f>
              <c:strCache>
                <c:ptCount val="1"/>
                <c:pt idx="0">
                  <c:v>Inductor Core Loss %</c:v>
                </c:pt>
              </c:strCache>
            </c:strRef>
          </c:tx>
          <c:spPr>
            <a:solidFill>
              <a:srgbClr val="99CC00"/>
            </a:solidFill>
            <a:ln w="12700">
              <a:solidFill>
                <a:srgbClr val="000000"/>
              </a:solidFill>
              <a:prstDash val="solid"/>
            </a:ln>
          </c:spPr>
          <c:invertIfNegative val="0"/>
          <c:dLbls>
            <c:dLbl>
              <c:idx val="0"/>
              <c:layout>
                <c:manualLayout>
                  <c:x val="2.7624309392265192E-2"/>
                  <c:y val="-1.4731663214995323E-2"/>
                </c:manualLayout>
              </c:layout>
              <c:tx>
                <c:rich>
                  <a:bodyPr/>
                  <a:lstStyle/>
                  <a:p>
                    <a:r>
                      <a:rPr lang="en-US" sz="1400">
                        <a:solidFill>
                          <a:schemeClr val="bg1"/>
                        </a:solidFill>
                      </a:rPr>
                      <a:t>I</a:t>
                    </a:r>
                    <a:r>
                      <a:rPr lang="en-US"/>
                      <a:t>nductor Core</a:t>
                    </a:r>
                  </a:p>
                  <a:p>
                    <a:r>
                      <a:rPr lang="en-US"/>
                      <a:t>Loss</a:t>
                    </a:r>
                  </a:p>
                </c:rich>
              </c:tx>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1BC1-446F-B234-CC2050DA72F7}"/>
                </c:ext>
              </c:extLst>
            </c:dLbl>
            <c:spPr>
              <a:noFill/>
              <a:ln>
                <a:noFill/>
              </a:ln>
              <a:effectLst/>
            </c:spPr>
            <c:txPr>
              <a:bodyPr/>
              <a:lstStyle/>
              <a:p>
                <a:pPr>
                  <a:defRPr sz="1400" b="1">
                    <a:solidFill>
                      <a:schemeClr val="bg1"/>
                    </a:solidFill>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cat>
            <c:strLit>
              <c:ptCount val="2"/>
              <c:pt idx="0">
                <c:v>PFM</c:v>
              </c:pt>
              <c:pt idx="1">
                <c:v> COT</c:v>
              </c:pt>
            </c:strLit>
          </c:cat>
          <c:val>
            <c:numRef>
              <c:f>'PFM Efficiency'!$BC$125:$BC$126</c:f>
              <c:numCache>
                <c:formatCode>0.000%</c:formatCode>
                <c:ptCount val="2"/>
                <c:pt idx="0" formatCode="0.00%">
                  <c:v>2.3876651606253522E-2</c:v>
                </c:pt>
                <c:pt idx="1">
                  <c:v>1.4929120352630757E-2</c:v>
                </c:pt>
              </c:numCache>
            </c:numRef>
          </c:val>
          <c:extLst>
            <c:ext xmlns:c16="http://schemas.microsoft.com/office/drawing/2014/chart" uri="{C3380CC4-5D6E-409C-BE32-E72D297353CC}">
              <c16:uniqueId val="{00000010-1BC1-446F-B234-CC2050DA72F7}"/>
            </c:ext>
          </c:extLst>
        </c:ser>
        <c:ser>
          <c:idx val="0"/>
          <c:order val="7"/>
          <c:tx>
            <c:strRef>
              <c:f>'PFM Efficiency'!$BE$5</c:f>
              <c:strCache>
                <c:ptCount val="1"/>
                <c:pt idx="0">
                  <c:v>Quiescent Current Loss %</c:v>
                </c:pt>
              </c:strCache>
            </c:strRef>
          </c:tx>
          <c:spPr>
            <a:solidFill>
              <a:srgbClr val="FF0000"/>
            </a:solidFill>
          </c:spPr>
          <c:invertIfNegative val="0"/>
          <c:dLbls>
            <c:dLbl>
              <c:idx val="0"/>
              <c:layout>
                <c:manualLayout>
                  <c:x val="-3.6832412523020285E-3"/>
                  <c:y val="-1.7450809303042727E-2"/>
                </c:manualLayout>
              </c:layout>
              <c:tx>
                <c:rich>
                  <a:bodyPr/>
                  <a:lstStyle/>
                  <a:p>
                    <a:r>
                      <a:rPr lang="en-US" sz="1400">
                        <a:solidFill>
                          <a:schemeClr val="bg1"/>
                        </a:solidFill>
                      </a:rPr>
                      <a:t>Q</a:t>
                    </a:r>
                    <a:r>
                      <a:rPr lang="en-US"/>
                      <a:t>uiescent Current</a:t>
                    </a:r>
                  </a:p>
                  <a:p>
                    <a:r>
                      <a:rPr lang="en-US"/>
                      <a:t>Loss </a:t>
                    </a:r>
                  </a:p>
                </c:rich>
              </c:tx>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1BC1-446F-B234-CC2050DA72F7}"/>
                </c:ext>
              </c:extLst>
            </c:dLbl>
            <c:numFmt formatCode="0.0E+00" sourceLinked="0"/>
            <c:spPr>
              <a:noFill/>
            </c:spPr>
            <c:txPr>
              <a:bodyPr rot="0" vert="horz" anchor="ctr" anchorCtr="0"/>
              <a:lstStyle/>
              <a:p>
                <a:pPr>
                  <a:defRPr sz="1400" b="1">
                    <a:solidFill>
                      <a:schemeClr val="bg1"/>
                    </a:solidFill>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cat>
            <c:strLit>
              <c:ptCount val="2"/>
              <c:pt idx="0">
                <c:v>PFM</c:v>
              </c:pt>
              <c:pt idx="1">
                <c:v> COT</c:v>
              </c:pt>
            </c:strLit>
          </c:cat>
          <c:val>
            <c:numRef>
              <c:f>'PFM Efficiency'!$BE$125:$BE$126</c:f>
              <c:numCache>
                <c:formatCode>0.000%</c:formatCode>
                <c:ptCount val="2"/>
                <c:pt idx="0" formatCode="0.00%">
                  <c:v>4.9146718244167699E-2</c:v>
                </c:pt>
                <c:pt idx="1">
                  <c:v>8.2551506228875166E-2</c:v>
                </c:pt>
              </c:numCache>
            </c:numRef>
          </c:val>
          <c:extLst>
            <c:ext xmlns:c16="http://schemas.microsoft.com/office/drawing/2014/chart" uri="{C3380CC4-5D6E-409C-BE32-E72D297353CC}">
              <c16:uniqueId val="{00000012-1BC1-446F-B234-CC2050DA72F7}"/>
            </c:ext>
          </c:extLst>
        </c:ser>
        <c:dLbls>
          <c:showLegendKey val="0"/>
          <c:showVal val="0"/>
          <c:showCatName val="0"/>
          <c:showSerName val="0"/>
          <c:showPercent val="0"/>
          <c:showBubbleSize val="0"/>
        </c:dLbls>
        <c:gapWidth val="101"/>
        <c:shape val="cylinder"/>
        <c:axId val="158681344"/>
        <c:axId val="158712192"/>
        <c:axId val="158692224"/>
      </c:bar3DChart>
      <c:catAx>
        <c:axId val="158681344"/>
        <c:scaling>
          <c:orientation val="minMax"/>
        </c:scaling>
        <c:delete val="0"/>
        <c:axPos val="b"/>
        <c:title>
          <c:tx>
            <c:rich>
              <a:bodyPr rot="1260000"/>
              <a:lstStyle/>
              <a:p>
                <a:pPr>
                  <a:defRPr b="1"/>
                </a:pPr>
                <a:r>
                  <a:rPr lang="en-US" b="1" baseline="0">
                    <a:solidFill>
                      <a:srgbClr val="0070C0"/>
                    </a:solidFill>
                  </a:rPr>
                  <a:t>PFM</a:t>
                </a:r>
                <a:r>
                  <a:rPr lang="en-US" b="1" baseline="0"/>
                  <a:t>   COT</a:t>
                </a:r>
                <a:endParaRPr lang="en-US" b="1"/>
              </a:p>
            </c:rich>
          </c:tx>
          <c:layout>
            <c:manualLayout>
              <c:xMode val="edge"/>
              <c:yMode val="edge"/>
              <c:x val="0.90148877947295081"/>
              <c:y val="0.11284644596537149"/>
            </c:manualLayout>
          </c:layout>
          <c:overlay val="0"/>
        </c:title>
        <c:numFmt formatCode="General" sourceLinked="1"/>
        <c:majorTickMark val="none"/>
        <c:minorTickMark val="none"/>
        <c:tickLblPos val="none"/>
        <c:spPr>
          <a:ln w="3175">
            <a:solidFill>
              <a:srgbClr val="000000"/>
            </a:solidFill>
            <a:prstDash val="solid"/>
          </a:ln>
        </c:spPr>
        <c:txPr>
          <a:bodyPr rot="0" vert="horz"/>
          <a:lstStyle/>
          <a:p>
            <a:pPr>
              <a:defRPr sz="1725" b="0" i="0" u="none" strike="noStrike" baseline="0">
                <a:solidFill>
                  <a:srgbClr val="000000"/>
                </a:solidFill>
                <a:latin typeface="Arial"/>
                <a:ea typeface="Arial"/>
                <a:cs typeface="Arial"/>
              </a:defRPr>
            </a:pPr>
            <a:endParaRPr lang="en-US"/>
          </a:p>
        </c:txPr>
        <c:crossAx val="158712192"/>
        <c:crossesAt val="0"/>
        <c:auto val="1"/>
        <c:lblAlgn val="ctr"/>
        <c:lblOffset val="100"/>
        <c:noMultiLvlLbl val="0"/>
      </c:catAx>
      <c:valAx>
        <c:axId val="158712192"/>
        <c:scaling>
          <c:orientation val="minMax"/>
          <c:max val="4.5000000000000012E-2"/>
          <c:min val="0"/>
        </c:scaling>
        <c:delete val="0"/>
        <c:axPos val="l"/>
        <c:majorGridlines>
          <c:spPr>
            <a:ln>
              <a:prstDash val="lgDash"/>
            </a:ln>
          </c:spPr>
        </c:majorGridlines>
        <c:numFmt formatCode="0.0%" sourceLinked="0"/>
        <c:majorTickMark val="out"/>
        <c:minorTickMark val="out"/>
        <c:tickLblPos val="low"/>
        <c:crossAx val="158681344"/>
        <c:crosses val="autoZero"/>
        <c:crossBetween val="between"/>
      </c:valAx>
      <c:serAx>
        <c:axId val="158692224"/>
        <c:scaling>
          <c:orientation val="minMax"/>
        </c:scaling>
        <c:delete val="0"/>
        <c:axPos val="b"/>
        <c:majorTickMark val="out"/>
        <c:minorTickMark val="none"/>
        <c:tickLblPos val="none"/>
        <c:crossAx val="158712192"/>
        <c:crosses val="autoZero"/>
      </c:serAx>
    </c:plotArea>
    <c:plotVisOnly val="1"/>
    <c:dispBlanksAs val="zero"/>
    <c:showDLblsOverMax val="0"/>
  </c:chart>
  <c:spPr>
    <a:solidFill>
      <a:schemeClr val="bg1"/>
    </a:solidFill>
    <a:ln w="3175">
      <a:noFill/>
      <a:prstDash val="solid"/>
    </a:ln>
  </c:spPr>
  <c:txPr>
    <a:bodyPr/>
    <a:lstStyle/>
    <a:p>
      <a:pPr>
        <a:defRPr sz="1725" b="0" i="0" u="none" strike="noStrike" baseline="0">
          <a:solidFill>
            <a:srgbClr val="000000"/>
          </a:solidFill>
          <a:latin typeface="Arial"/>
          <a:ea typeface="Arial"/>
          <a:cs typeface="Arial"/>
        </a:defRPr>
      </a:pPr>
      <a:endParaRPr lang="en-US"/>
    </a:p>
  </c:txPr>
  <c:printSettings>
    <c:headerFooter alignWithMargins="0"/>
    <c:pageMargins b="1" l="0.75000000000000278" r="0.75000000000000278" t="1" header="0.5" footer="0.5"/>
    <c:pageSetup orientation="landscape"/>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P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000000"/>
                </a:solidFill>
                <a:latin typeface="Arial"/>
                <a:ea typeface="Arial"/>
                <a:cs typeface="Arial"/>
              </a:defRPr>
            </a:pPr>
            <a:r>
              <a:rPr lang="en-US" sz="1400"/>
              <a:t>LM5165 COT Efficiency,</a:t>
            </a:r>
            <a:r>
              <a:rPr lang="en-US" sz="1400" baseline="0"/>
              <a:t> VOUT = 3.3V</a:t>
            </a:r>
            <a:endParaRPr lang="en-US" sz="1400"/>
          </a:p>
        </c:rich>
      </c:tx>
      <c:layout>
        <c:manualLayout>
          <c:xMode val="edge"/>
          <c:yMode val="edge"/>
          <c:x val="0.28032747276453457"/>
          <c:y val="3.6470302463650163E-2"/>
        </c:manualLayout>
      </c:layout>
      <c:overlay val="0"/>
      <c:spPr>
        <a:noFill/>
        <a:ln w="25400">
          <a:noFill/>
        </a:ln>
      </c:spPr>
    </c:title>
    <c:autoTitleDeleted val="0"/>
    <c:plotArea>
      <c:layout>
        <c:manualLayout>
          <c:layoutTarget val="inner"/>
          <c:xMode val="edge"/>
          <c:yMode val="edge"/>
          <c:x val="0.10666292925557978"/>
          <c:y val="0.12421894009783742"/>
          <c:w val="0.85836459439149781"/>
          <c:h val="0.73542966982873548"/>
        </c:manualLayout>
      </c:layout>
      <c:scatterChart>
        <c:scatterStyle val="lineMarker"/>
        <c:varyColors val="0"/>
        <c:ser>
          <c:idx val="0"/>
          <c:order val="0"/>
          <c:tx>
            <c:v>current</c:v>
          </c:tx>
          <c:spPr>
            <a:ln w="28575">
              <a:solidFill>
                <a:srgbClr val="000080"/>
              </a:solidFill>
              <a:prstDash val="solid"/>
            </a:ln>
          </c:spPr>
          <c:marker>
            <c:symbol val="none"/>
          </c:marker>
          <c:xVal>
            <c:numRef>
              <c:f>'COT Efficiency'!$BK$6:$BK$106</c:f>
              <c:numCache>
                <c:formatCode>0.000</c:formatCode>
                <c:ptCount val="101"/>
                <c:pt idx="0">
                  <c:v>0.15</c:v>
                </c:pt>
                <c:pt idx="1">
                  <c:v>1.5</c:v>
                </c:pt>
                <c:pt idx="2">
                  <c:v>3</c:v>
                </c:pt>
                <c:pt idx="3">
                  <c:v>4.5</c:v>
                </c:pt>
                <c:pt idx="4">
                  <c:v>6</c:v>
                </c:pt>
                <c:pt idx="5">
                  <c:v>7.5</c:v>
                </c:pt>
                <c:pt idx="6">
                  <c:v>9</c:v>
                </c:pt>
                <c:pt idx="7">
                  <c:v>10.5</c:v>
                </c:pt>
                <c:pt idx="8">
                  <c:v>12</c:v>
                </c:pt>
                <c:pt idx="9">
                  <c:v>13.5</c:v>
                </c:pt>
                <c:pt idx="10">
                  <c:v>15</c:v>
                </c:pt>
                <c:pt idx="11">
                  <c:v>16.5</c:v>
                </c:pt>
                <c:pt idx="12">
                  <c:v>18</c:v>
                </c:pt>
                <c:pt idx="13">
                  <c:v>19.5</c:v>
                </c:pt>
                <c:pt idx="14">
                  <c:v>21</c:v>
                </c:pt>
                <c:pt idx="15">
                  <c:v>22.5</c:v>
                </c:pt>
                <c:pt idx="16">
                  <c:v>24</c:v>
                </c:pt>
                <c:pt idx="17">
                  <c:v>25.500000000000004</c:v>
                </c:pt>
                <c:pt idx="18">
                  <c:v>27</c:v>
                </c:pt>
                <c:pt idx="19">
                  <c:v>28.499999999999996</c:v>
                </c:pt>
                <c:pt idx="20">
                  <c:v>30</c:v>
                </c:pt>
                <c:pt idx="21">
                  <c:v>31.5</c:v>
                </c:pt>
                <c:pt idx="22">
                  <c:v>33</c:v>
                </c:pt>
                <c:pt idx="23">
                  <c:v>34.5</c:v>
                </c:pt>
                <c:pt idx="24">
                  <c:v>36</c:v>
                </c:pt>
                <c:pt idx="25">
                  <c:v>37.5</c:v>
                </c:pt>
                <c:pt idx="26">
                  <c:v>39</c:v>
                </c:pt>
                <c:pt idx="27">
                  <c:v>40.5</c:v>
                </c:pt>
                <c:pt idx="28">
                  <c:v>42</c:v>
                </c:pt>
                <c:pt idx="29">
                  <c:v>43.5</c:v>
                </c:pt>
                <c:pt idx="30">
                  <c:v>45</c:v>
                </c:pt>
                <c:pt idx="31">
                  <c:v>46.5</c:v>
                </c:pt>
                <c:pt idx="32">
                  <c:v>48</c:v>
                </c:pt>
                <c:pt idx="33">
                  <c:v>49.5</c:v>
                </c:pt>
                <c:pt idx="34">
                  <c:v>51.000000000000007</c:v>
                </c:pt>
                <c:pt idx="35">
                  <c:v>52.5</c:v>
                </c:pt>
                <c:pt idx="36">
                  <c:v>54</c:v>
                </c:pt>
                <c:pt idx="37">
                  <c:v>55.5</c:v>
                </c:pt>
                <c:pt idx="38">
                  <c:v>56.999999999999993</c:v>
                </c:pt>
                <c:pt idx="39">
                  <c:v>58.5</c:v>
                </c:pt>
                <c:pt idx="40">
                  <c:v>60</c:v>
                </c:pt>
                <c:pt idx="41">
                  <c:v>61.499999999999993</c:v>
                </c:pt>
                <c:pt idx="42">
                  <c:v>63</c:v>
                </c:pt>
                <c:pt idx="43">
                  <c:v>64.5</c:v>
                </c:pt>
                <c:pt idx="44">
                  <c:v>66</c:v>
                </c:pt>
                <c:pt idx="45">
                  <c:v>67.5</c:v>
                </c:pt>
                <c:pt idx="46">
                  <c:v>69</c:v>
                </c:pt>
                <c:pt idx="47">
                  <c:v>70.5</c:v>
                </c:pt>
                <c:pt idx="48">
                  <c:v>72</c:v>
                </c:pt>
                <c:pt idx="49">
                  <c:v>73.5</c:v>
                </c:pt>
                <c:pt idx="50">
                  <c:v>75</c:v>
                </c:pt>
                <c:pt idx="51">
                  <c:v>76.5</c:v>
                </c:pt>
                <c:pt idx="52">
                  <c:v>78</c:v>
                </c:pt>
                <c:pt idx="53">
                  <c:v>79.5</c:v>
                </c:pt>
                <c:pt idx="54">
                  <c:v>81</c:v>
                </c:pt>
                <c:pt idx="55">
                  <c:v>82.5</c:v>
                </c:pt>
                <c:pt idx="56">
                  <c:v>84</c:v>
                </c:pt>
                <c:pt idx="57">
                  <c:v>85.499999999999986</c:v>
                </c:pt>
                <c:pt idx="58">
                  <c:v>87</c:v>
                </c:pt>
                <c:pt idx="59">
                  <c:v>88.5</c:v>
                </c:pt>
                <c:pt idx="60">
                  <c:v>90</c:v>
                </c:pt>
                <c:pt idx="61">
                  <c:v>91.5</c:v>
                </c:pt>
                <c:pt idx="62">
                  <c:v>93</c:v>
                </c:pt>
                <c:pt idx="63">
                  <c:v>94.5</c:v>
                </c:pt>
                <c:pt idx="64">
                  <c:v>96</c:v>
                </c:pt>
                <c:pt idx="65">
                  <c:v>97.5</c:v>
                </c:pt>
                <c:pt idx="66">
                  <c:v>99</c:v>
                </c:pt>
                <c:pt idx="67">
                  <c:v>100.5</c:v>
                </c:pt>
                <c:pt idx="68">
                  <c:v>102.00000000000001</c:v>
                </c:pt>
                <c:pt idx="69">
                  <c:v>103.5</c:v>
                </c:pt>
                <c:pt idx="70">
                  <c:v>105</c:v>
                </c:pt>
                <c:pt idx="71">
                  <c:v>106.5</c:v>
                </c:pt>
                <c:pt idx="72">
                  <c:v>108</c:v>
                </c:pt>
                <c:pt idx="73">
                  <c:v>109.5</c:v>
                </c:pt>
                <c:pt idx="74">
                  <c:v>111</c:v>
                </c:pt>
                <c:pt idx="75">
                  <c:v>112.49999999999999</c:v>
                </c:pt>
                <c:pt idx="76">
                  <c:v>113.99999999999999</c:v>
                </c:pt>
                <c:pt idx="77">
                  <c:v>115.49999999999999</c:v>
                </c:pt>
                <c:pt idx="78">
                  <c:v>117</c:v>
                </c:pt>
                <c:pt idx="79">
                  <c:v>118.5</c:v>
                </c:pt>
                <c:pt idx="80">
                  <c:v>120</c:v>
                </c:pt>
                <c:pt idx="81">
                  <c:v>121.5</c:v>
                </c:pt>
                <c:pt idx="82">
                  <c:v>122.99999999999999</c:v>
                </c:pt>
                <c:pt idx="83">
                  <c:v>124.49999999999999</c:v>
                </c:pt>
                <c:pt idx="84">
                  <c:v>126</c:v>
                </c:pt>
                <c:pt idx="85">
                  <c:v>127.5</c:v>
                </c:pt>
                <c:pt idx="86">
                  <c:v>129</c:v>
                </c:pt>
                <c:pt idx="87">
                  <c:v>130.5</c:v>
                </c:pt>
                <c:pt idx="88">
                  <c:v>132</c:v>
                </c:pt>
                <c:pt idx="89">
                  <c:v>133.5</c:v>
                </c:pt>
                <c:pt idx="90">
                  <c:v>135</c:v>
                </c:pt>
                <c:pt idx="91">
                  <c:v>136.5</c:v>
                </c:pt>
                <c:pt idx="92">
                  <c:v>138</c:v>
                </c:pt>
                <c:pt idx="93">
                  <c:v>139.5</c:v>
                </c:pt>
                <c:pt idx="94">
                  <c:v>141</c:v>
                </c:pt>
                <c:pt idx="95">
                  <c:v>142.5</c:v>
                </c:pt>
                <c:pt idx="96">
                  <c:v>144</c:v>
                </c:pt>
                <c:pt idx="97">
                  <c:v>145.5</c:v>
                </c:pt>
                <c:pt idx="98">
                  <c:v>147</c:v>
                </c:pt>
                <c:pt idx="99">
                  <c:v>148.5</c:v>
                </c:pt>
                <c:pt idx="100">
                  <c:v>150</c:v>
                </c:pt>
              </c:numCache>
            </c:numRef>
          </c:xVal>
          <c:yVal>
            <c:numRef>
              <c:f>'COT Efficiency'!$BJ$6:$BJ$106</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extLst>
            <c:ext xmlns:c16="http://schemas.microsoft.com/office/drawing/2014/chart" uri="{C3380CC4-5D6E-409C-BE32-E72D297353CC}">
              <c16:uniqueId val="{00000000-FE53-4C98-B4CD-D166FEE9EB0E}"/>
            </c:ext>
          </c:extLst>
        </c:ser>
        <c:ser>
          <c:idx val="1"/>
          <c:order val="1"/>
          <c:tx>
            <c:v>previous</c:v>
          </c:tx>
          <c:spPr>
            <a:ln>
              <a:prstDash val="sysDash"/>
            </a:ln>
          </c:spPr>
          <c:marker>
            <c:symbol val="none"/>
          </c:marker>
          <c:xVal>
            <c:numRef>
              <c:f>'COT Efficiency'!$BK$6:$BK$106</c:f>
              <c:numCache>
                <c:formatCode>0.000</c:formatCode>
                <c:ptCount val="101"/>
                <c:pt idx="0">
                  <c:v>0.15</c:v>
                </c:pt>
                <c:pt idx="1">
                  <c:v>1.5</c:v>
                </c:pt>
                <c:pt idx="2">
                  <c:v>3</c:v>
                </c:pt>
                <c:pt idx="3">
                  <c:v>4.5</c:v>
                </c:pt>
                <c:pt idx="4">
                  <c:v>6</c:v>
                </c:pt>
                <c:pt idx="5">
                  <c:v>7.5</c:v>
                </c:pt>
                <c:pt idx="6">
                  <c:v>9</c:v>
                </c:pt>
                <c:pt idx="7">
                  <c:v>10.5</c:v>
                </c:pt>
                <c:pt idx="8">
                  <c:v>12</c:v>
                </c:pt>
                <c:pt idx="9">
                  <c:v>13.5</c:v>
                </c:pt>
                <c:pt idx="10">
                  <c:v>15</c:v>
                </c:pt>
                <c:pt idx="11">
                  <c:v>16.5</c:v>
                </c:pt>
                <c:pt idx="12">
                  <c:v>18</c:v>
                </c:pt>
                <c:pt idx="13">
                  <c:v>19.5</c:v>
                </c:pt>
                <c:pt idx="14">
                  <c:v>21</c:v>
                </c:pt>
                <c:pt idx="15">
                  <c:v>22.5</c:v>
                </c:pt>
                <c:pt idx="16">
                  <c:v>24</c:v>
                </c:pt>
                <c:pt idx="17">
                  <c:v>25.500000000000004</c:v>
                </c:pt>
                <c:pt idx="18">
                  <c:v>27</c:v>
                </c:pt>
                <c:pt idx="19">
                  <c:v>28.499999999999996</c:v>
                </c:pt>
                <c:pt idx="20">
                  <c:v>30</c:v>
                </c:pt>
                <c:pt idx="21">
                  <c:v>31.5</c:v>
                </c:pt>
                <c:pt idx="22">
                  <c:v>33</c:v>
                </c:pt>
                <c:pt idx="23">
                  <c:v>34.5</c:v>
                </c:pt>
                <c:pt idx="24">
                  <c:v>36</c:v>
                </c:pt>
                <c:pt idx="25">
                  <c:v>37.5</c:v>
                </c:pt>
                <c:pt idx="26">
                  <c:v>39</c:v>
                </c:pt>
                <c:pt idx="27">
                  <c:v>40.5</c:v>
                </c:pt>
                <c:pt idx="28">
                  <c:v>42</c:v>
                </c:pt>
                <c:pt idx="29">
                  <c:v>43.5</c:v>
                </c:pt>
                <c:pt idx="30">
                  <c:v>45</c:v>
                </c:pt>
                <c:pt idx="31">
                  <c:v>46.5</c:v>
                </c:pt>
                <c:pt idx="32">
                  <c:v>48</c:v>
                </c:pt>
                <c:pt idx="33">
                  <c:v>49.5</c:v>
                </c:pt>
                <c:pt idx="34">
                  <c:v>51.000000000000007</c:v>
                </c:pt>
                <c:pt idx="35">
                  <c:v>52.5</c:v>
                </c:pt>
                <c:pt idx="36">
                  <c:v>54</c:v>
                </c:pt>
                <c:pt idx="37">
                  <c:v>55.5</c:v>
                </c:pt>
                <c:pt idx="38">
                  <c:v>56.999999999999993</c:v>
                </c:pt>
                <c:pt idx="39">
                  <c:v>58.5</c:v>
                </c:pt>
                <c:pt idx="40">
                  <c:v>60</c:v>
                </c:pt>
                <c:pt idx="41">
                  <c:v>61.499999999999993</c:v>
                </c:pt>
                <c:pt idx="42">
                  <c:v>63</c:v>
                </c:pt>
                <c:pt idx="43">
                  <c:v>64.5</c:v>
                </c:pt>
                <c:pt idx="44">
                  <c:v>66</c:v>
                </c:pt>
                <c:pt idx="45">
                  <c:v>67.5</c:v>
                </c:pt>
                <c:pt idx="46">
                  <c:v>69</c:v>
                </c:pt>
                <c:pt idx="47">
                  <c:v>70.5</c:v>
                </c:pt>
                <c:pt idx="48">
                  <c:v>72</c:v>
                </c:pt>
                <c:pt idx="49">
                  <c:v>73.5</c:v>
                </c:pt>
                <c:pt idx="50">
                  <c:v>75</c:v>
                </c:pt>
                <c:pt idx="51">
                  <c:v>76.5</c:v>
                </c:pt>
                <c:pt idx="52">
                  <c:v>78</c:v>
                </c:pt>
                <c:pt idx="53">
                  <c:v>79.5</c:v>
                </c:pt>
                <c:pt idx="54">
                  <c:v>81</c:v>
                </c:pt>
                <c:pt idx="55">
                  <c:v>82.5</c:v>
                </c:pt>
                <c:pt idx="56">
                  <c:v>84</c:v>
                </c:pt>
                <c:pt idx="57">
                  <c:v>85.499999999999986</c:v>
                </c:pt>
                <c:pt idx="58">
                  <c:v>87</c:v>
                </c:pt>
                <c:pt idx="59">
                  <c:v>88.5</c:v>
                </c:pt>
                <c:pt idx="60">
                  <c:v>90</c:v>
                </c:pt>
                <c:pt idx="61">
                  <c:v>91.5</c:v>
                </c:pt>
                <c:pt idx="62">
                  <c:v>93</c:v>
                </c:pt>
                <c:pt idx="63">
                  <c:v>94.5</c:v>
                </c:pt>
                <c:pt idx="64">
                  <c:v>96</c:v>
                </c:pt>
                <c:pt idx="65">
                  <c:v>97.5</c:v>
                </c:pt>
                <c:pt idx="66">
                  <c:v>99</c:v>
                </c:pt>
                <c:pt idx="67">
                  <c:v>100.5</c:v>
                </c:pt>
                <c:pt idx="68">
                  <c:v>102.00000000000001</c:v>
                </c:pt>
                <c:pt idx="69">
                  <c:v>103.5</c:v>
                </c:pt>
                <c:pt idx="70">
                  <c:v>105</c:v>
                </c:pt>
                <c:pt idx="71">
                  <c:v>106.5</c:v>
                </c:pt>
                <c:pt idx="72">
                  <c:v>108</c:v>
                </c:pt>
                <c:pt idx="73">
                  <c:v>109.5</c:v>
                </c:pt>
                <c:pt idx="74">
                  <c:v>111</c:v>
                </c:pt>
                <c:pt idx="75">
                  <c:v>112.49999999999999</c:v>
                </c:pt>
                <c:pt idx="76">
                  <c:v>113.99999999999999</c:v>
                </c:pt>
                <c:pt idx="77">
                  <c:v>115.49999999999999</c:v>
                </c:pt>
                <c:pt idx="78">
                  <c:v>117</c:v>
                </c:pt>
                <c:pt idx="79">
                  <c:v>118.5</c:v>
                </c:pt>
                <c:pt idx="80">
                  <c:v>120</c:v>
                </c:pt>
                <c:pt idx="81">
                  <c:v>121.5</c:v>
                </c:pt>
                <c:pt idx="82">
                  <c:v>122.99999999999999</c:v>
                </c:pt>
                <c:pt idx="83">
                  <c:v>124.49999999999999</c:v>
                </c:pt>
                <c:pt idx="84">
                  <c:v>126</c:v>
                </c:pt>
                <c:pt idx="85">
                  <c:v>127.5</c:v>
                </c:pt>
                <c:pt idx="86">
                  <c:v>129</c:v>
                </c:pt>
                <c:pt idx="87">
                  <c:v>130.5</c:v>
                </c:pt>
                <c:pt idx="88">
                  <c:v>132</c:v>
                </c:pt>
                <c:pt idx="89">
                  <c:v>133.5</c:v>
                </c:pt>
                <c:pt idx="90">
                  <c:v>135</c:v>
                </c:pt>
                <c:pt idx="91">
                  <c:v>136.5</c:v>
                </c:pt>
                <c:pt idx="92">
                  <c:v>138</c:v>
                </c:pt>
                <c:pt idx="93">
                  <c:v>139.5</c:v>
                </c:pt>
                <c:pt idx="94">
                  <c:v>141</c:v>
                </c:pt>
                <c:pt idx="95">
                  <c:v>142.5</c:v>
                </c:pt>
                <c:pt idx="96">
                  <c:v>144</c:v>
                </c:pt>
                <c:pt idx="97">
                  <c:v>145.5</c:v>
                </c:pt>
                <c:pt idx="98">
                  <c:v>147</c:v>
                </c:pt>
                <c:pt idx="99">
                  <c:v>148.5</c:v>
                </c:pt>
                <c:pt idx="100">
                  <c:v>150</c:v>
                </c:pt>
              </c:numCache>
            </c:numRef>
          </c:xVal>
          <c:yVal>
            <c:numRef>
              <c:f>'COT Efficiency'!$BL$6:$BL$106</c:f>
              <c:numCache>
                <c:formatCode>0.00</c:formatCode>
                <c:ptCount val="101"/>
                <c:pt idx="0">
                  <c:v>59.702372085750142</c:v>
                </c:pt>
                <c:pt idx="1">
                  <c:v>83.682599061581868</c:v>
                </c:pt>
                <c:pt idx="2">
                  <c:v>85.591306536493136</c:v>
                </c:pt>
                <c:pt idx="3">
                  <c:v>86.246143423411425</c:v>
                </c:pt>
                <c:pt idx="4">
                  <c:v>86.576655770717792</c:v>
                </c:pt>
                <c:pt idx="5">
                  <c:v>86.775636491192159</c:v>
                </c:pt>
                <c:pt idx="6">
                  <c:v>86.908342895294993</c:v>
                </c:pt>
                <c:pt idx="7">
                  <c:v>87.002989620240314</c:v>
                </c:pt>
                <c:pt idx="8">
                  <c:v>87.073765890198644</c:v>
                </c:pt>
                <c:pt idx="9">
                  <c:v>87.128587175766796</c:v>
                </c:pt>
                <c:pt idx="10">
                  <c:v>87.172217484522335</c:v>
                </c:pt>
                <c:pt idx="11">
                  <c:v>87.207695786257617</c:v>
                </c:pt>
                <c:pt idx="12">
                  <c:v>87.237051991392704</c:v>
                </c:pt>
                <c:pt idx="13">
                  <c:v>87.261693661062651</c:v>
                </c:pt>
                <c:pt idx="14">
                  <c:v>87.282627535503536</c:v>
                </c:pt>
                <c:pt idx="15">
                  <c:v>87.300592726200748</c:v>
                </c:pt>
                <c:pt idx="16">
                  <c:v>87.316144106391718</c:v>
                </c:pt>
                <c:pt idx="17">
                  <c:v>87.329706350284411</c:v>
                </c:pt>
                <c:pt idx="18">
                  <c:v>87.341610005832351</c:v>
                </c:pt>
                <c:pt idx="19">
                  <c:v>87.352116204047192</c:v>
                </c:pt>
                <c:pt idx="20">
                  <c:v>87.361433972791943</c:v>
                </c:pt>
                <c:pt idx="21">
                  <c:v>87.369732614756487</c:v>
                </c:pt>
                <c:pt idx="22">
                  <c:v>87.377150716774679</c:v>
                </c:pt>
                <c:pt idx="23">
                  <c:v>87.383802813648998</c:v>
                </c:pt>
                <c:pt idx="24">
                  <c:v>87.389784389255496</c:v>
                </c:pt>
                <c:pt idx="25">
                  <c:v>87.395175679622284</c:v>
                </c:pt>
                <c:pt idx="26">
                  <c:v>87.400044599948558</c:v>
                </c:pt>
                <c:pt idx="27">
                  <c:v>87.404449022298479</c:v>
                </c:pt>
                <c:pt idx="28">
                  <c:v>87.408438566030782</c:v>
                </c:pt>
                <c:pt idx="29">
                  <c:v>87.412056018390444</c:v>
                </c:pt>
                <c:pt idx="30">
                  <c:v>87.415338471423681</c:v>
                </c:pt>
                <c:pt idx="31">
                  <c:v>87.418318239176173</c:v>
                </c:pt>
                <c:pt idx="32">
                  <c:v>87.421023603167043</c:v>
                </c:pt>
                <c:pt idx="33">
                  <c:v>87.423479422514077</c:v>
                </c:pt>
                <c:pt idx="34">
                  <c:v>87.425707636537126</c:v>
                </c:pt>
                <c:pt idx="35">
                  <c:v>87.427727681316185</c:v>
                </c:pt>
                <c:pt idx="36">
                  <c:v>87.42955683691271</c:v>
                </c:pt>
                <c:pt idx="37">
                  <c:v>87.431210518356053</c:v>
                </c:pt>
                <c:pt idx="38">
                  <c:v>87.432702520740989</c:v>
                </c:pt>
                <c:pt idx="39">
                  <c:v>87.434045226663045</c:v>
                </c:pt>
                <c:pt idx="40">
                  <c:v>87.435249782574815</c:v>
                </c:pt>
                <c:pt idx="41">
                  <c:v>87.436326249363404</c:v>
                </c:pt>
                <c:pt idx="42">
                  <c:v>87.437283731440814</c:v>
                </c:pt>
                <c:pt idx="43">
                  <c:v>87.438130487841121</c:v>
                </c:pt>
                <c:pt idx="44">
                  <c:v>87.438874028184088</c:v>
                </c:pt>
                <c:pt idx="45">
                  <c:v>87.439521195857154</c:v>
                </c:pt>
                <c:pt idx="46">
                  <c:v>87.440078240358233</c:v>
                </c:pt>
                <c:pt idx="47">
                  <c:v>87.440550880412815</c:v>
                </c:pt>
                <c:pt idx="48">
                  <c:v>87.462211050621846</c:v>
                </c:pt>
                <c:pt idx="49">
                  <c:v>87.500809495614803</c:v>
                </c:pt>
                <c:pt idx="50">
                  <c:v>87.537838791529083</c:v>
                </c:pt>
                <c:pt idx="51">
                  <c:v>87.573389266063103</c:v>
                </c:pt>
                <c:pt idx="52">
                  <c:v>87.607544443240442</c:v>
                </c:pt>
                <c:pt idx="53">
                  <c:v>87.640381672202352</c:v>
                </c:pt>
                <c:pt idx="54">
                  <c:v>87.671972687530356</c:v>
                </c:pt>
                <c:pt idx="55">
                  <c:v>87.702384109642679</c:v>
                </c:pt>
                <c:pt idx="56">
                  <c:v>87.731677892610605</c:v>
                </c:pt>
                <c:pt idx="57">
                  <c:v>87.759911725729523</c:v>
                </c:pt>
                <c:pt idx="58">
                  <c:v>87.787139394322296</c:v>
                </c:pt>
                <c:pt idx="59">
                  <c:v>87.752210991841338</c:v>
                </c:pt>
                <c:pt idx="60">
                  <c:v>87.806983051998316</c:v>
                </c:pt>
                <c:pt idx="61">
                  <c:v>87.859261931365808</c:v>
                </c:pt>
                <c:pt idx="62">
                  <c:v>87.909156839141303</c:v>
                </c:pt>
                <c:pt idx="63">
                  <c:v>87.956770566861337</c:v>
                </c:pt>
                <c:pt idx="64">
                  <c:v>88.002199959420324</c:v>
                </c:pt>
                <c:pt idx="65">
                  <c:v>88.045536344900114</c:v>
                </c:pt>
                <c:pt idx="66">
                  <c:v>88.086865927368436</c:v>
                </c:pt>
                <c:pt idx="67">
                  <c:v>88.126270146331038</c:v>
                </c:pt>
                <c:pt idx="68">
                  <c:v>88.1638260061073</c:v>
                </c:pt>
                <c:pt idx="69">
                  <c:v>88.199606378038467</c:v>
                </c:pt>
                <c:pt idx="70">
                  <c:v>88.233680278117845</c:v>
                </c:pt>
                <c:pt idx="71">
                  <c:v>88.266113122354795</c:v>
                </c:pt>
                <c:pt idx="72">
                  <c:v>88.296966961937997</c:v>
                </c:pt>
                <c:pt idx="73">
                  <c:v>88.326300700046502</c:v>
                </c:pt>
                <c:pt idx="74">
                  <c:v>88.354170291966327</c:v>
                </c:pt>
                <c:pt idx="75">
                  <c:v>88.380628930000583</c:v>
                </c:pt>
                <c:pt idx="76">
                  <c:v>88.405727214510961</c:v>
                </c:pt>
                <c:pt idx="77">
                  <c:v>88.429513312295569</c:v>
                </c:pt>
                <c:pt idx="78">
                  <c:v>88.452033103389056</c:v>
                </c:pt>
                <c:pt idx="79">
                  <c:v>88.47333031726599</c:v>
                </c:pt>
                <c:pt idx="80">
                  <c:v>88.493446659333912</c:v>
                </c:pt>
                <c:pt idx="81">
                  <c:v>88.512421928518876</c:v>
                </c:pt>
                <c:pt idx="82">
                  <c:v>88.530294126670512</c:v>
                </c:pt>
                <c:pt idx="83">
                  <c:v>88.547099560447151</c:v>
                </c:pt>
                <c:pt idx="84">
                  <c:v>88.562872936280286</c:v>
                </c:pt>
                <c:pt idx="85">
                  <c:v>88.577647448964157</c:v>
                </c:pt>
                <c:pt idx="86">
                  <c:v>88.591454864366881</c:v>
                </c:pt>
                <c:pt idx="87">
                  <c:v>88.604325596716222</c:v>
                </c:pt>
                <c:pt idx="88">
                  <c:v>88.616288780873063</c:v>
                </c:pt>
                <c:pt idx="89">
                  <c:v>88.627372339969995</c:v>
                </c:pt>
                <c:pt idx="90">
                  <c:v>88.637603048760539</c:v>
                </c:pt>
                <c:pt idx="91">
                  <c:v>88.647006592994998</c:v>
                </c:pt>
                <c:pt idx="92">
                  <c:v>88.65560762511214</c:v>
                </c:pt>
                <c:pt idx="93">
                  <c:v>88.663429816513059</c:v>
                </c:pt>
                <c:pt idx="94">
                  <c:v>88.670495906660364</c:v>
                </c:pt>
                <c:pt idx="95">
                  <c:v>88.676827749227442</c:v>
                </c:pt>
                <c:pt idx="96">
                  <c:v>88.682446355503387</c:v>
                </c:pt>
                <c:pt idx="97">
                  <c:v>88.687371935243902</c:v>
                </c:pt>
                <c:pt idx="98">
                  <c:v>88.69162393514253</c:v>
                </c:pt>
                <c:pt idx="99">
                  <c:v>88.695221075083666</c:v>
                </c:pt>
                <c:pt idx="100">
                  <c:v>88.698181382326453</c:v>
                </c:pt>
              </c:numCache>
            </c:numRef>
          </c:yVal>
          <c:smooth val="0"/>
          <c:extLst>
            <c:ext xmlns:c16="http://schemas.microsoft.com/office/drawing/2014/chart" uri="{C3380CC4-5D6E-409C-BE32-E72D297353CC}">
              <c16:uniqueId val="{00000001-FE53-4C98-B4CD-D166FEE9EB0E}"/>
            </c:ext>
          </c:extLst>
        </c:ser>
        <c:dLbls>
          <c:showLegendKey val="0"/>
          <c:showVal val="0"/>
          <c:showCatName val="0"/>
          <c:showSerName val="0"/>
          <c:showPercent val="0"/>
          <c:showBubbleSize val="0"/>
        </c:dLbls>
        <c:axId val="159485952"/>
        <c:axId val="159487872"/>
      </c:scatterChart>
      <c:valAx>
        <c:axId val="159485952"/>
        <c:scaling>
          <c:logBase val="10"/>
          <c:orientation val="minMax"/>
          <c:min val="0.1"/>
        </c:scaling>
        <c:delete val="0"/>
        <c:axPos val="b"/>
        <c:majorGridlines/>
        <c:minorGridlines/>
        <c:title>
          <c:tx>
            <c:rich>
              <a:bodyPr/>
              <a:lstStyle/>
              <a:p>
                <a:pPr>
                  <a:defRPr sz="1100" b="1" i="0" u="none" strike="noStrike" baseline="0">
                    <a:solidFill>
                      <a:srgbClr val="000000"/>
                    </a:solidFill>
                    <a:latin typeface="Arial"/>
                    <a:ea typeface="Arial"/>
                    <a:cs typeface="Arial"/>
                  </a:defRPr>
                </a:pPr>
                <a:r>
                  <a:rPr lang="en-US" sz="1100"/>
                  <a:t>Iout (mA)</a:t>
                </a:r>
              </a:p>
            </c:rich>
          </c:tx>
          <c:layout>
            <c:manualLayout>
              <c:xMode val="edge"/>
              <c:yMode val="edge"/>
              <c:x val="0.48181816967535745"/>
              <c:y val="0.94567406346934102"/>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1100" b="1" i="0" u="none" strike="noStrike" baseline="0">
                <a:solidFill>
                  <a:srgbClr val="000000"/>
                </a:solidFill>
                <a:latin typeface="Arial"/>
                <a:ea typeface="Arial"/>
                <a:cs typeface="Arial"/>
              </a:defRPr>
            </a:pPr>
            <a:endParaRPr lang="en-US"/>
          </a:p>
        </c:txPr>
        <c:crossAx val="159487872"/>
        <c:crossesAt val="1.0000000000000044E-4"/>
        <c:crossBetween val="midCat"/>
      </c:valAx>
      <c:valAx>
        <c:axId val="159487872"/>
        <c:scaling>
          <c:orientation val="minMax"/>
          <c:max val="95"/>
          <c:min val="60"/>
        </c:scaling>
        <c:delete val="0"/>
        <c:axPos val="l"/>
        <c:majorGridlines>
          <c:spPr>
            <a:ln w="3175">
              <a:solidFill>
                <a:srgbClr val="000000"/>
              </a:solidFill>
              <a:prstDash val="solid"/>
            </a:ln>
          </c:spPr>
        </c:majorGridlines>
        <c:minorGridlines/>
        <c:title>
          <c:tx>
            <c:rich>
              <a:bodyPr/>
              <a:lstStyle/>
              <a:p>
                <a:pPr>
                  <a:defRPr sz="1100" b="1" i="0" u="none" strike="noStrike" baseline="0">
                    <a:solidFill>
                      <a:srgbClr val="000000"/>
                    </a:solidFill>
                    <a:latin typeface="Arial"/>
                    <a:ea typeface="Arial"/>
                    <a:cs typeface="Arial"/>
                  </a:defRPr>
                </a:pPr>
                <a:r>
                  <a:rPr lang="en-US" sz="1100"/>
                  <a:t>Efficiency (%)</a:t>
                </a:r>
              </a:p>
            </c:rich>
          </c:tx>
          <c:layout>
            <c:manualLayout>
              <c:xMode val="edge"/>
              <c:yMode val="edge"/>
              <c:x val="6.4933664113903649E-3"/>
              <c:y val="0.3721088687819366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100" b="1" i="0" u="none" strike="noStrike" baseline="0">
                <a:solidFill>
                  <a:srgbClr val="000000"/>
                </a:solidFill>
                <a:latin typeface="Arial"/>
                <a:ea typeface="Arial"/>
                <a:cs typeface="Arial"/>
              </a:defRPr>
            </a:pPr>
            <a:endParaRPr lang="en-US"/>
          </a:p>
        </c:txPr>
        <c:crossAx val="159485952"/>
        <c:crossesAt val="1.0000000000000042E-4"/>
        <c:crossBetween val="midCat"/>
        <c:majorUnit val="5"/>
        <c:minorUnit val="2.5"/>
      </c:valAx>
      <c:spPr>
        <a:solidFill>
          <a:schemeClr val="bg1">
            <a:lumMod val="95000"/>
          </a:schemeClr>
        </a:solidFill>
        <a:ln w="38100">
          <a:solidFill>
            <a:srgbClr val="808080"/>
          </a:solidFill>
          <a:prstDash val="solid"/>
        </a:ln>
      </c:spPr>
    </c:plotArea>
    <c:legend>
      <c:legendPos val="r"/>
      <c:layout>
        <c:manualLayout>
          <c:xMode val="edge"/>
          <c:yMode val="edge"/>
          <c:x val="0.78732089310753961"/>
          <c:y val="0.72680712949855664"/>
          <c:w val="0.15539326668135944"/>
          <c:h val="0.11110233469461331"/>
        </c:manualLayout>
      </c:layout>
      <c:overlay val="0"/>
      <c:spPr>
        <a:solidFill>
          <a:srgbClr val="FFFFFF"/>
        </a:solidFill>
        <a:ln w="3175">
          <a:solidFill>
            <a:srgbClr val="000000"/>
          </a:solidFill>
          <a:prstDash val="solid"/>
        </a:ln>
      </c:spPr>
      <c:txPr>
        <a:bodyPr/>
        <a:lstStyle/>
        <a:p>
          <a:pPr>
            <a:defRPr sz="9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noFill/>
      <a:prstDash val="solid"/>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000000000000189" r="0.75000000000000189" t="1"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P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b="1" i="0" u="none" strike="noStrike" baseline="0">
                <a:solidFill>
                  <a:srgbClr val="000000"/>
                </a:solidFill>
                <a:latin typeface="Arial"/>
                <a:ea typeface="Arial"/>
                <a:cs typeface="Arial"/>
              </a:defRPr>
            </a:pPr>
            <a:r>
              <a:rPr lang="en-US" sz="2000"/>
              <a:t>Breakdown of COT Efficiency Losses vs. Iout</a:t>
            </a:r>
          </a:p>
        </c:rich>
      </c:tx>
      <c:layout>
        <c:manualLayout>
          <c:xMode val="edge"/>
          <c:yMode val="edge"/>
          <c:x val="0.21668095607596721"/>
          <c:y val="3.0815438913941871E-2"/>
        </c:manualLayout>
      </c:layout>
      <c:overlay val="0"/>
      <c:spPr>
        <a:noFill/>
        <a:ln w="25400">
          <a:noFill/>
        </a:ln>
      </c:spPr>
    </c:title>
    <c:autoTitleDeleted val="0"/>
    <c:plotArea>
      <c:layout>
        <c:manualLayout>
          <c:layoutTarget val="inner"/>
          <c:xMode val="edge"/>
          <c:yMode val="edge"/>
          <c:x val="0.18496430825131774"/>
          <c:y val="0.14694417652807107"/>
          <c:w val="0.46181411156941887"/>
          <c:h val="0.69570915435856628"/>
        </c:manualLayout>
      </c:layout>
      <c:areaChart>
        <c:grouping val="percentStacked"/>
        <c:varyColors val="0"/>
        <c:ser>
          <c:idx val="1"/>
          <c:order val="0"/>
          <c:tx>
            <c:strRef>
              <c:f>'COT Efficiency'!$BF$5</c:f>
              <c:strCache>
                <c:ptCount val="1"/>
                <c:pt idx="0">
                  <c:v>Cin Cout ESR %</c:v>
                </c:pt>
              </c:strCache>
            </c:strRef>
          </c:tx>
          <c:spPr>
            <a:solidFill>
              <a:srgbClr val="FFFF00"/>
            </a:solidFill>
            <a:ln w="12700">
              <a:solidFill>
                <a:srgbClr val="000000"/>
              </a:solidFill>
              <a:prstDash val="solid"/>
            </a:ln>
          </c:spPr>
          <c:val>
            <c:numRef>
              <c:f>'COT Efficiency'!$BF$6:$BF$106</c:f>
              <c:numCache>
                <c:formatCode>0.000%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D16D-4901-9D45-C7DA49BAB079}"/>
            </c:ext>
          </c:extLst>
        </c:ser>
        <c:ser>
          <c:idx val="3"/>
          <c:order val="1"/>
          <c:tx>
            <c:strRef>
              <c:f>'COT Efficiency'!$BC$5</c:f>
              <c:strCache>
                <c:ptCount val="1"/>
                <c:pt idx="0">
                  <c:v>Deadtime Loss %</c:v>
                </c:pt>
              </c:strCache>
            </c:strRef>
          </c:tx>
          <c:spPr>
            <a:solidFill>
              <a:srgbClr val="666699"/>
            </a:solidFill>
            <a:ln w="12700">
              <a:solidFill>
                <a:srgbClr val="000000"/>
              </a:solidFill>
              <a:prstDash val="solid"/>
            </a:ln>
          </c:spPr>
          <c:val>
            <c:numRef>
              <c:f>'COT Efficiency'!$BC$6:$BC$106</c:f>
              <c:numCache>
                <c:formatCode>0.000%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D16D-4901-9D45-C7DA49BAB079}"/>
            </c:ext>
          </c:extLst>
        </c:ser>
        <c:ser>
          <c:idx val="6"/>
          <c:order val="2"/>
          <c:tx>
            <c:strRef>
              <c:f>'COT Efficiency'!$AX$5</c:f>
              <c:strCache>
                <c:ptCount val="1"/>
                <c:pt idx="0">
                  <c:v>High-side MOSFET Rdson %</c:v>
                </c:pt>
              </c:strCache>
            </c:strRef>
          </c:tx>
          <c:spPr>
            <a:solidFill>
              <a:srgbClr val="FF0000"/>
            </a:solidFill>
            <a:ln w="12700">
              <a:solidFill>
                <a:srgbClr val="000000"/>
              </a:solidFill>
              <a:prstDash val="solid"/>
            </a:ln>
          </c:spPr>
          <c:val>
            <c:numRef>
              <c:f>'COT Efficiency'!$AX$6:$AX$106</c:f>
              <c:numCache>
                <c:formatCode>0.000%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2-D16D-4901-9D45-C7DA49BAB079}"/>
            </c:ext>
          </c:extLst>
        </c:ser>
        <c:ser>
          <c:idx val="7"/>
          <c:order val="3"/>
          <c:tx>
            <c:strRef>
              <c:f>'COT Efficiency'!$AY$5</c:f>
              <c:strCache>
                <c:ptCount val="1"/>
                <c:pt idx="0">
                  <c:v>Low-side MOSFET Rdson %</c:v>
                </c:pt>
              </c:strCache>
            </c:strRef>
          </c:tx>
          <c:spPr>
            <a:solidFill>
              <a:srgbClr val="FF6600"/>
            </a:solidFill>
            <a:ln w="12700">
              <a:solidFill>
                <a:srgbClr val="000000"/>
              </a:solidFill>
              <a:prstDash val="solid"/>
            </a:ln>
          </c:spPr>
          <c:val>
            <c:numRef>
              <c:f>'COT Efficiency'!$AY$6:$AY$106</c:f>
              <c:numCache>
                <c:formatCode>0.000%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3-D16D-4901-9D45-C7DA49BAB079}"/>
            </c:ext>
          </c:extLst>
        </c:ser>
        <c:ser>
          <c:idx val="4"/>
          <c:order val="4"/>
          <c:tx>
            <c:strRef>
              <c:f>'COT Efficiency'!$BE$5</c:f>
              <c:strCache>
                <c:ptCount val="1"/>
                <c:pt idx="0">
                  <c:v>Inductor Core Loss %</c:v>
                </c:pt>
              </c:strCache>
            </c:strRef>
          </c:tx>
          <c:spPr>
            <a:solidFill>
              <a:srgbClr val="99CC00"/>
            </a:solidFill>
            <a:ln w="12700">
              <a:solidFill>
                <a:srgbClr val="000000"/>
              </a:solidFill>
              <a:prstDash val="solid"/>
            </a:ln>
          </c:spPr>
          <c:val>
            <c:numRef>
              <c:f>'COT Efficiency'!$BE$6:$BE$106</c:f>
              <c:numCache>
                <c:formatCode>0.000%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4-D16D-4901-9D45-C7DA49BAB079}"/>
            </c:ext>
          </c:extLst>
        </c:ser>
        <c:ser>
          <c:idx val="8"/>
          <c:order val="5"/>
          <c:tx>
            <c:strRef>
              <c:f>'COT Efficiency'!$BD$5</c:f>
              <c:strCache>
                <c:ptCount val="1"/>
                <c:pt idx="0">
                  <c:v>Inductor Cu Loss %</c:v>
                </c:pt>
              </c:strCache>
            </c:strRef>
          </c:tx>
          <c:spPr>
            <a:solidFill>
              <a:srgbClr val="00FF00"/>
            </a:solidFill>
            <a:ln w="12700">
              <a:solidFill>
                <a:srgbClr val="000000"/>
              </a:solidFill>
              <a:prstDash val="solid"/>
            </a:ln>
          </c:spPr>
          <c:val>
            <c:numRef>
              <c:f>'COT Efficiency'!$BD$6:$BD$106</c:f>
              <c:numCache>
                <c:formatCode>0.000%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5-D16D-4901-9D45-C7DA49BAB079}"/>
            </c:ext>
          </c:extLst>
        </c:ser>
        <c:ser>
          <c:idx val="2"/>
          <c:order val="6"/>
          <c:tx>
            <c:strRef>
              <c:f>'COT Efficiency'!$AZ$5</c:f>
              <c:strCache>
                <c:ptCount val="1"/>
                <c:pt idx="0">
                  <c:v>Gate Drive (Qg) Loss from Vin %</c:v>
                </c:pt>
              </c:strCache>
            </c:strRef>
          </c:tx>
          <c:spPr>
            <a:solidFill>
              <a:srgbClr val="00FFFF"/>
            </a:solidFill>
            <a:ln w="12700">
              <a:solidFill>
                <a:srgbClr val="000000"/>
              </a:solidFill>
              <a:prstDash val="solid"/>
            </a:ln>
          </c:spPr>
          <c:val>
            <c:numRef>
              <c:f>'COT Efficiency'!$AZ$6:$AZ$106</c:f>
              <c:numCache>
                <c:formatCode>0.000%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6-D16D-4901-9D45-C7DA49BAB079}"/>
            </c:ext>
          </c:extLst>
        </c:ser>
        <c:ser>
          <c:idx val="5"/>
          <c:order val="7"/>
          <c:tx>
            <c:strRef>
              <c:f>'COT Efficiency'!$BA$5</c:f>
              <c:strCache>
                <c:ptCount val="1"/>
                <c:pt idx="0">
                  <c:v>High-side MOSFET Switching Loss %</c:v>
                </c:pt>
              </c:strCache>
            </c:strRef>
          </c:tx>
          <c:spPr>
            <a:solidFill>
              <a:srgbClr val="0000FF"/>
            </a:solidFill>
            <a:ln w="12700">
              <a:solidFill>
                <a:srgbClr val="000000"/>
              </a:solidFill>
              <a:prstDash val="solid"/>
            </a:ln>
          </c:spPr>
          <c:val>
            <c:numRef>
              <c:f>'COT Efficiency'!$BA$6:$BA$106</c:f>
              <c:numCache>
                <c:formatCode>0.000%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7-D16D-4901-9D45-C7DA49BAB079}"/>
            </c:ext>
          </c:extLst>
        </c:ser>
        <c:ser>
          <c:idx val="10"/>
          <c:order val="8"/>
          <c:tx>
            <c:strRef>
              <c:f>'COT Efficiency'!$BB$5</c:f>
              <c:strCache>
                <c:ptCount val="1"/>
                <c:pt idx="0">
                  <c:v>Reverse Recovery &amp; Leakage Loss %</c:v>
                </c:pt>
              </c:strCache>
            </c:strRef>
          </c:tx>
          <c:spPr>
            <a:solidFill>
              <a:srgbClr val="FFFF00"/>
            </a:solidFill>
            <a:ln w="12700">
              <a:solidFill>
                <a:srgbClr val="000000"/>
              </a:solidFill>
              <a:prstDash val="solid"/>
            </a:ln>
          </c:spPr>
          <c:val>
            <c:numRef>
              <c:f>'COT Efficiency'!$BB$6:$BB$106</c:f>
              <c:numCache>
                <c:formatCode>0.000%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8-D16D-4901-9D45-C7DA49BAB079}"/>
            </c:ext>
          </c:extLst>
        </c:ser>
        <c:ser>
          <c:idx val="0"/>
          <c:order val="9"/>
          <c:tx>
            <c:strRef>
              <c:f>'COT Efficiency'!$BG$5</c:f>
              <c:strCache>
                <c:ptCount val="1"/>
                <c:pt idx="0">
                  <c:v>Quiescent Current Loss %</c:v>
                </c:pt>
              </c:strCache>
            </c:strRef>
          </c:tx>
          <c:val>
            <c:numRef>
              <c:f>'COT Efficiency'!$BG$6:$BG$106</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9-D16D-4901-9D45-C7DA49BAB079}"/>
            </c:ext>
          </c:extLst>
        </c:ser>
        <c:ser>
          <c:idx val="9"/>
          <c:order val="10"/>
          <c:tx>
            <c:strRef>
              <c:f>'COT Efficiency'!$BI$5</c:f>
              <c:strCache>
                <c:ptCount val="1"/>
                <c:pt idx="0">
                  <c:v>Overall Eff %</c:v>
                </c:pt>
              </c:strCache>
            </c:strRef>
          </c:tx>
          <c:spPr>
            <a:solidFill>
              <a:srgbClr val="000000"/>
            </a:solidFill>
            <a:ln w="12700">
              <a:solidFill>
                <a:srgbClr val="000000"/>
              </a:solidFill>
              <a:prstDash val="solid"/>
            </a:ln>
          </c:spPr>
          <c:val>
            <c:numRef>
              <c:f>'COT Efficiency'!$BI$6:$BI$106</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A-D16D-4901-9D45-C7DA49BAB079}"/>
            </c:ext>
          </c:extLst>
        </c:ser>
        <c:dLbls>
          <c:showLegendKey val="0"/>
          <c:showVal val="0"/>
          <c:showCatName val="0"/>
          <c:showSerName val="0"/>
          <c:showPercent val="0"/>
          <c:showBubbleSize val="0"/>
        </c:dLbls>
        <c:axId val="146852096"/>
        <c:axId val="159252864"/>
      </c:areaChart>
      <c:catAx>
        <c:axId val="146852096"/>
        <c:scaling>
          <c:orientation val="minMax"/>
        </c:scaling>
        <c:delete val="0"/>
        <c:axPos val="b"/>
        <c:majorGridlines>
          <c:spPr>
            <a:ln w="3175">
              <a:solidFill>
                <a:srgbClr val="000000"/>
              </a:solidFill>
              <a:prstDash val="solid"/>
            </a:ln>
          </c:spPr>
        </c:majorGridlines>
        <c:title>
          <c:tx>
            <c:rich>
              <a:bodyPr/>
              <a:lstStyle/>
              <a:p>
                <a:pPr>
                  <a:defRPr sz="1725" b="1" i="0" u="none" strike="noStrike" baseline="0">
                    <a:solidFill>
                      <a:srgbClr val="000000"/>
                    </a:solidFill>
                    <a:latin typeface="Arial"/>
                    <a:ea typeface="Arial"/>
                    <a:cs typeface="Arial"/>
                  </a:defRPr>
                </a:pPr>
                <a:r>
                  <a:rPr lang="en-US"/>
                  <a:t>I</a:t>
                </a:r>
                <a:r>
                  <a:rPr lang="en-US" baseline="-25000"/>
                  <a:t>OUT</a:t>
                </a:r>
                <a:r>
                  <a:rPr lang="en-US"/>
                  <a:t> (log)</a:t>
                </a:r>
              </a:p>
            </c:rich>
          </c:tx>
          <c:layout>
            <c:manualLayout>
              <c:xMode val="edge"/>
              <c:yMode val="edge"/>
              <c:x val="0.37238179041606823"/>
              <c:y val="0.89147900498075083"/>
            </c:manualLayout>
          </c:layout>
          <c:overlay val="0"/>
          <c:spPr>
            <a:noFill/>
            <a:ln w="25400">
              <a:noFill/>
            </a:ln>
          </c:spPr>
        </c:title>
        <c:numFmt formatCode="#,##0" sourceLinked="0"/>
        <c:majorTickMark val="out"/>
        <c:minorTickMark val="none"/>
        <c:tickLblPos val="none"/>
        <c:spPr>
          <a:ln w="3175">
            <a:solidFill>
              <a:srgbClr val="000000"/>
            </a:solidFill>
            <a:prstDash val="solid"/>
          </a:ln>
        </c:spPr>
        <c:txPr>
          <a:bodyPr rot="-5400000" vert="horz"/>
          <a:lstStyle/>
          <a:p>
            <a:pPr>
              <a:defRPr sz="1725" b="0" i="0" u="none" strike="noStrike" baseline="0">
                <a:solidFill>
                  <a:srgbClr val="000000"/>
                </a:solidFill>
                <a:latin typeface="Arial"/>
                <a:ea typeface="Arial"/>
                <a:cs typeface="Arial"/>
              </a:defRPr>
            </a:pPr>
            <a:endParaRPr lang="en-US"/>
          </a:p>
        </c:txPr>
        <c:crossAx val="159252864"/>
        <c:crosses val="autoZero"/>
        <c:auto val="1"/>
        <c:lblAlgn val="ctr"/>
        <c:lblOffset val="100"/>
        <c:tickMarkSkip val="1"/>
        <c:noMultiLvlLbl val="0"/>
      </c:catAx>
      <c:valAx>
        <c:axId val="159252864"/>
        <c:scaling>
          <c:orientation val="minMax"/>
          <c:max val="0.2"/>
          <c:min val="0"/>
        </c:scaling>
        <c:delete val="0"/>
        <c:axPos val="l"/>
        <c:majorGridlines>
          <c:spPr>
            <a:ln w="3175">
              <a:solidFill>
                <a:srgbClr val="000000"/>
              </a:solidFill>
              <a:prstDash val="solid"/>
            </a:ln>
          </c:spPr>
        </c:majorGridlines>
        <c:minorGridlines/>
        <c:title>
          <c:tx>
            <c:rich>
              <a:bodyPr/>
              <a:lstStyle/>
              <a:p>
                <a:pPr>
                  <a:defRPr sz="1725" b="1" i="0" u="none" strike="noStrike" baseline="0">
                    <a:solidFill>
                      <a:srgbClr val="000000"/>
                    </a:solidFill>
                    <a:latin typeface="Arial"/>
                    <a:ea typeface="Arial"/>
                    <a:cs typeface="Arial"/>
                  </a:defRPr>
                </a:pPr>
                <a:r>
                  <a:rPr lang="en-US"/>
                  <a:t>Efficiency (%)</a:t>
                </a:r>
              </a:p>
            </c:rich>
          </c:tx>
          <c:layout>
            <c:manualLayout>
              <c:xMode val="edge"/>
              <c:yMode val="edge"/>
              <c:x val="8.9796428919729693E-2"/>
              <c:y val="0.3456705164996208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725" b="0" i="0" u="none" strike="noStrike" baseline="0">
                <a:solidFill>
                  <a:srgbClr val="000000"/>
                </a:solidFill>
                <a:latin typeface="Arial"/>
                <a:ea typeface="Arial"/>
                <a:cs typeface="Arial"/>
              </a:defRPr>
            </a:pPr>
            <a:endParaRPr lang="en-US"/>
          </a:p>
        </c:txPr>
        <c:crossAx val="146852096"/>
        <c:crosses val="autoZero"/>
        <c:crossBetween val="midCat"/>
        <c:majorUnit val="5.000000000000001E-2"/>
        <c:minorUnit val="2.5000000000000005E-2"/>
      </c:valAx>
      <c:spPr>
        <a:solidFill>
          <a:srgbClr val="C0C0C0"/>
        </a:solidFill>
        <a:ln w="12700">
          <a:solidFill>
            <a:srgbClr val="808080"/>
          </a:solidFill>
          <a:prstDash val="solid"/>
        </a:ln>
      </c:spPr>
    </c:plotArea>
    <c:legend>
      <c:legendPos val="r"/>
      <c:layout>
        <c:manualLayout>
          <c:xMode val="edge"/>
          <c:yMode val="edge"/>
          <c:x val="0.70666185810743165"/>
          <c:y val="9.3155590739667823E-2"/>
          <c:w val="0.26010897805044486"/>
          <c:h val="0.85864261581306134"/>
        </c:manualLayout>
      </c:layout>
      <c:overlay val="0"/>
      <c:spPr>
        <a:solidFill>
          <a:srgbClr val="FFFFFF"/>
        </a:solidFill>
        <a:ln w="3175">
          <a:solidFill>
            <a:srgbClr val="000000"/>
          </a:solidFill>
          <a:prstDash val="solid"/>
        </a:ln>
      </c:spPr>
      <c:txPr>
        <a:bodyPr/>
        <a:lstStyle/>
        <a:p>
          <a:pPr>
            <a:defRPr sz="1335" b="0" i="0" u="none" strike="noStrike" baseline="0">
              <a:solidFill>
                <a:srgbClr val="000000"/>
              </a:solidFill>
              <a:latin typeface="Arial"/>
              <a:ea typeface="Arial"/>
              <a:cs typeface="Arial"/>
            </a:defRPr>
          </a:pPr>
          <a:endParaRPr lang="en-US"/>
        </a:p>
      </c:txPr>
    </c:legend>
    <c:plotVisOnly val="1"/>
    <c:dispBlanksAs val="zero"/>
    <c:showDLblsOverMax val="0"/>
  </c:chart>
  <c:spPr>
    <a:solidFill>
      <a:srgbClr val="FFFFFF"/>
    </a:solidFill>
    <a:ln w="3175">
      <a:solidFill>
        <a:srgbClr val="000000"/>
      </a:solidFill>
      <a:prstDash val="solid"/>
    </a:ln>
  </c:spPr>
  <c:txPr>
    <a:bodyPr/>
    <a:lstStyle/>
    <a:p>
      <a:pPr>
        <a:defRPr sz="1725" b="0" i="0" u="none" strike="noStrike" baseline="0">
          <a:solidFill>
            <a:srgbClr val="000000"/>
          </a:solidFill>
          <a:latin typeface="Arial"/>
          <a:ea typeface="Arial"/>
          <a:cs typeface="Arial"/>
        </a:defRPr>
      </a:pPr>
      <a:endParaRPr lang="en-US"/>
    </a:p>
  </c:txPr>
  <c:printSettings>
    <c:headerFooter alignWithMargins="0"/>
    <c:pageMargins b="1" l="0.75000000000000189" r="0.75000000000000189" t="1" header="0.5" footer="0.5"/>
    <c:pageSetup orientation="landscape"/>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P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25" b="1" i="0" u="none" strike="noStrike" baseline="0">
                <a:solidFill>
                  <a:srgbClr val="000000"/>
                </a:solidFill>
                <a:latin typeface="Arial"/>
                <a:ea typeface="Arial"/>
                <a:cs typeface="Arial"/>
              </a:defRPr>
            </a:pPr>
            <a:r>
              <a:rPr lang="en-US"/>
              <a:t>MOSFET &amp; Inductor Dissipations</a:t>
            </a:r>
          </a:p>
        </c:rich>
      </c:tx>
      <c:layout>
        <c:manualLayout>
          <c:xMode val="edge"/>
          <c:yMode val="edge"/>
          <c:x val="0.37261651693016246"/>
          <c:y val="3.0131969422439647E-2"/>
        </c:manualLayout>
      </c:layout>
      <c:overlay val="0"/>
      <c:spPr>
        <a:noFill/>
        <a:ln w="25400">
          <a:noFill/>
        </a:ln>
      </c:spPr>
    </c:title>
    <c:autoTitleDeleted val="0"/>
    <c:plotArea>
      <c:layout>
        <c:manualLayout>
          <c:layoutTarget val="inner"/>
          <c:xMode val="edge"/>
          <c:yMode val="edge"/>
          <c:x val="0.11549893842887474"/>
          <c:y val="0.12692138023914851"/>
          <c:w val="0.81825902335456679"/>
          <c:h val="0.73598262282121851"/>
        </c:manualLayout>
      </c:layout>
      <c:scatterChart>
        <c:scatterStyle val="lineMarker"/>
        <c:varyColors val="0"/>
        <c:ser>
          <c:idx val="2"/>
          <c:order val="0"/>
          <c:tx>
            <c:strRef>
              <c:f>'COT Efficiency'!$AC$4</c:f>
              <c:strCache>
                <c:ptCount val="1"/>
                <c:pt idx="0">
                  <c:v>High-side MOSFET Losses </c:v>
                </c:pt>
              </c:strCache>
            </c:strRef>
          </c:tx>
          <c:spPr>
            <a:ln w="25400">
              <a:solidFill>
                <a:srgbClr val="000080"/>
              </a:solidFill>
              <a:prstDash val="solid"/>
            </a:ln>
          </c:spPr>
          <c:marker>
            <c:symbol val="none"/>
          </c:marker>
          <c:xVal>
            <c:numRef>
              <c:f>'COT Efficiency'!$BK$6:$BK$106</c:f>
              <c:numCache>
                <c:formatCode>0.000</c:formatCode>
                <c:ptCount val="101"/>
                <c:pt idx="0">
                  <c:v>0.15</c:v>
                </c:pt>
                <c:pt idx="1">
                  <c:v>1.5</c:v>
                </c:pt>
                <c:pt idx="2">
                  <c:v>3</c:v>
                </c:pt>
                <c:pt idx="3">
                  <c:v>4.5</c:v>
                </c:pt>
                <c:pt idx="4">
                  <c:v>6</c:v>
                </c:pt>
                <c:pt idx="5">
                  <c:v>7.5</c:v>
                </c:pt>
                <c:pt idx="6">
                  <c:v>9</c:v>
                </c:pt>
                <c:pt idx="7">
                  <c:v>10.5</c:v>
                </c:pt>
                <c:pt idx="8">
                  <c:v>12</c:v>
                </c:pt>
                <c:pt idx="9">
                  <c:v>13.5</c:v>
                </c:pt>
                <c:pt idx="10">
                  <c:v>15</c:v>
                </c:pt>
                <c:pt idx="11">
                  <c:v>16.5</c:v>
                </c:pt>
                <c:pt idx="12">
                  <c:v>18</c:v>
                </c:pt>
                <c:pt idx="13">
                  <c:v>19.5</c:v>
                </c:pt>
                <c:pt idx="14">
                  <c:v>21</c:v>
                </c:pt>
                <c:pt idx="15">
                  <c:v>22.5</c:v>
                </c:pt>
                <c:pt idx="16">
                  <c:v>24</c:v>
                </c:pt>
                <c:pt idx="17">
                  <c:v>25.500000000000004</c:v>
                </c:pt>
                <c:pt idx="18">
                  <c:v>27</c:v>
                </c:pt>
                <c:pt idx="19">
                  <c:v>28.499999999999996</c:v>
                </c:pt>
                <c:pt idx="20">
                  <c:v>30</c:v>
                </c:pt>
                <c:pt idx="21">
                  <c:v>31.5</c:v>
                </c:pt>
                <c:pt idx="22">
                  <c:v>33</c:v>
                </c:pt>
                <c:pt idx="23">
                  <c:v>34.5</c:v>
                </c:pt>
                <c:pt idx="24">
                  <c:v>36</c:v>
                </c:pt>
                <c:pt idx="25">
                  <c:v>37.5</c:v>
                </c:pt>
                <c:pt idx="26">
                  <c:v>39</c:v>
                </c:pt>
                <c:pt idx="27">
                  <c:v>40.5</c:v>
                </c:pt>
                <c:pt idx="28">
                  <c:v>42</c:v>
                </c:pt>
                <c:pt idx="29">
                  <c:v>43.5</c:v>
                </c:pt>
                <c:pt idx="30">
                  <c:v>45</c:v>
                </c:pt>
                <c:pt idx="31">
                  <c:v>46.5</c:v>
                </c:pt>
                <c:pt idx="32">
                  <c:v>48</c:v>
                </c:pt>
                <c:pt idx="33">
                  <c:v>49.5</c:v>
                </c:pt>
                <c:pt idx="34">
                  <c:v>51.000000000000007</c:v>
                </c:pt>
                <c:pt idx="35">
                  <c:v>52.5</c:v>
                </c:pt>
                <c:pt idx="36">
                  <c:v>54</c:v>
                </c:pt>
                <c:pt idx="37">
                  <c:v>55.5</c:v>
                </c:pt>
                <c:pt idx="38">
                  <c:v>56.999999999999993</c:v>
                </c:pt>
                <c:pt idx="39">
                  <c:v>58.5</c:v>
                </c:pt>
                <c:pt idx="40">
                  <c:v>60</c:v>
                </c:pt>
                <c:pt idx="41">
                  <c:v>61.499999999999993</c:v>
                </c:pt>
                <c:pt idx="42">
                  <c:v>63</c:v>
                </c:pt>
                <c:pt idx="43">
                  <c:v>64.5</c:v>
                </c:pt>
                <c:pt idx="44">
                  <c:v>66</c:v>
                </c:pt>
                <c:pt idx="45">
                  <c:v>67.5</c:v>
                </c:pt>
                <c:pt idx="46">
                  <c:v>69</c:v>
                </c:pt>
                <c:pt idx="47">
                  <c:v>70.5</c:v>
                </c:pt>
                <c:pt idx="48">
                  <c:v>72</c:v>
                </c:pt>
                <c:pt idx="49">
                  <c:v>73.5</c:v>
                </c:pt>
                <c:pt idx="50">
                  <c:v>75</c:v>
                </c:pt>
                <c:pt idx="51">
                  <c:v>76.5</c:v>
                </c:pt>
                <c:pt idx="52">
                  <c:v>78</c:v>
                </c:pt>
                <c:pt idx="53">
                  <c:v>79.5</c:v>
                </c:pt>
                <c:pt idx="54">
                  <c:v>81</c:v>
                </c:pt>
                <c:pt idx="55">
                  <c:v>82.5</c:v>
                </c:pt>
                <c:pt idx="56">
                  <c:v>84</c:v>
                </c:pt>
                <c:pt idx="57">
                  <c:v>85.499999999999986</c:v>
                </c:pt>
                <c:pt idx="58">
                  <c:v>87</c:v>
                </c:pt>
                <c:pt idx="59">
                  <c:v>88.5</c:v>
                </c:pt>
                <c:pt idx="60">
                  <c:v>90</c:v>
                </c:pt>
                <c:pt idx="61">
                  <c:v>91.5</c:v>
                </c:pt>
                <c:pt idx="62">
                  <c:v>93</c:v>
                </c:pt>
                <c:pt idx="63">
                  <c:v>94.5</c:v>
                </c:pt>
                <c:pt idx="64">
                  <c:v>96</c:v>
                </c:pt>
                <c:pt idx="65">
                  <c:v>97.5</c:v>
                </c:pt>
                <c:pt idx="66">
                  <c:v>99</c:v>
                </c:pt>
                <c:pt idx="67">
                  <c:v>100.5</c:v>
                </c:pt>
                <c:pt idx="68">
                  <c:v>102.00000000000001</c:v>
                </c:pt>
                <c:pt idx="69">
                  <c:v>103.5</c:v>
                </c:pt>
                <c:pt idx="70">
                  <c:v>105</c:v>
                </c:pt>
                <c:pt idx="71">
                  <c:v>106.5</c:v>
                </c:pt>
                <c:pt idx="72">
                  <c:v>108</c:v>
                </c:pt>
                <c:pt idx="73">
                  <c:v>109.5</c:v>
                </c:pt>
                <c:pt idx="74">
                  <c:v>111</c:v>
                </c:pt>
                <c:pt idx="75">
                  <c:v>112.49999999999999</c:v>
                </c:pt>
                <c:pt idx="76">
                  <c:v>113.99999999999999</c:v>
                </c:pt>
                <c:pt idx="77">
                  <c:v>115.49999999999999</c:v>
                </c:pt>
                <c:pt idx="78">
                  <c:v>117</c:v>
                </c:pt>
                <c:pt idx="79">
                  <c:v>118.5</c:v>
                </c:pt>
                <c:pt idx="80">
                  <c:v>120</c:v>
                </c:pt>
                <c:pt idx="81">
                  <c:v>121.5</c:v>
                </c:pt>
                <c:pt idx="82">
                  <c:v>122.99999999999999</c:v>
                </c:pt>
                <c:pt idx="83">
                  <c:v>124.49999999999999</c:v>
                </c:pt>
                <c:pt idx="84">
                  <c:v>126</c:v>
                </c:pt>
                <c:pt idx="85">
                  <c:v>127.5</c:v>
                </c:pt>
                <c:pt idx="86">
                  <c:v>129</c:v>
                </c:pt>
                <c:pt idx="87">
                  <c:v>130.5</c:v>
                </c:pt>
                <c:pt idx="88">
                  <c:v>132</c:v>
                </c:pt>
                <c:pt idx="89">
                  <c:v>133.5</c:v>
                </c:pt>
                <c:pt idx="90">
                  <c:v>135</c:v>
                </c:pt>
                <c:pt idx="91">
                  <c:v>136.5</c:v>
                </c:pt>
                <c:pt idx="92">
                  <c:v>138</c:v>
                </c:pt>
                <c:pt idx="93">
                  <c:v>139.5</c:v>
                </c:pt>
                <c:pt idx="94">
                  <c:v>141</c:v>
                </c:pt>
                <c:pt idx="95">
                  <c:v>142.5</c:v>
                </c:pt>
                <c:pt idx="96">
                  <c:v>144</c:v>
                </c:pt>
                <c:pt idx="97">
                  <c:v>145.5</c:v>
                </c:pt>
                <c:pt idx="98">
                  <c:v>147</c:v>
                </c:pt>
                <c:pt idx="99">
                  <c:v>148.5</c:v>
                </c:pt>
                <c:pt idx="100">
                  <c:v>150</c:v>
                </c:pt>
              </c:numCache>
            </c:numRef>
          </c:xVal>
          <c:yVal>
            <c:numRef>
              <c:f>'COT Efficiency'!$AJ$6:$AJ$106</c:f>
              <c:numCache>
                <c:formatCode>0.0000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extLst>
            <c:ext xmlns:c16="http://schemas.microsoft.com/office/drawing/2014/chart" uri="{C3380CC4-5D6E-409C-BE32-E72D297353CC}">
              <c16:uniqueId val="{00000000-D14E-4B3F-A67E-4E879A07EDE5}"/>
            </c:ext>
          </c:extLst>
        </c:ser>
        <c:ser>
          <c:idx val="3"/>
          <c:order val="1"/>
          <c:tx>
            <c:strRef>
              <c:f>'COT Efficiency'!$AK$4</c:f>
              <c:strCache>
                <c:ptCount val="1"/>
                <c:pt idx="0">
                  <c:v>Low-side MOSFET Losses </c:v>
                </c:pt>
              </c:strCache>
            </c:strRef>
          </c:tx>
          <c:spPr>
            <a:ln w="25400">
              <a:solidFill>
                <a:srgbClr val="FF0000"/>
              </a:solidFill>
              <a:prstDash val="dash"/>
            </a:ln>
          </c:spPr>
          <c:marker>
            <c:symbol val="none"/>
          </c:marker>
          <c:xVal>
            <c:numRef>
              <c:f>'COT Efficiency'!$BK$6:$BK$106</c:f>
              <c:numCache>
                <c:formatCode>0.000</c:formatCode>
                <c:ptCount val="101"/>
                <c:pt idx="0">
                  <c:v>0.15</c:v>
                </c:pt>
                <c:pt idx="1">
                  <c:v>1.5</c:v>
                </c:pt>
                <c:pt idx="2">
                  <c:v>3</c:v>
                </c:pt>
                <c:pt idx="3">
                  <c:v>4.5</c:v>
                </c:pt>
                <c:pt idx="4">
                  <c:v>6</c:v>
                </c:pt>
                <c:pt idx="5">
                  <c:v>7.5</c:v>
                </c:pt>
                <c:pt idx="6">
                  <c:v>9</c:v>
                </c:pt>
                <c:pt idx="7">
                  <c:v>10.5</c:v>
                </c:pt>
                <c:pt idx="8">
                  <c:v>12</c:v>
                </c:pt>
                <c:pt idx="9">
                  <c:v>13.5</c:v>
                </c:pt>
                <c:pt idx="10">
                  <c:v>15</c:v>
                </c:pt>
                <c:pt idx="11">
                  <c:v>16.5</c:v>
                </c:pt>
                <c:pt idx="12">
                  <c:v>18</c:v>
                </c:pt>
                <c:pt idx="13">
                  <c:v>19.5</c:v>
                </c:pt>
                <c:pt idx="14">
                  <c:v>21</c:v>
                </c:pt>
                <c:pt idx="15">
                  <c:v>22.5</c:v>
                </c:pt>
                <c:pt idx="16">
                  <c:v>24</c:v>
                </c:pt>
                <c:pt idx="17">
                  <c:v>25.500000000000004</c:v>
                </c:pt>
                <c:pt idx="18">
                  <c:v>27</c:v>
                </c:pt>
                <c:pt idx="19">
                  <c:v>28.499999999999996</c:v>
                </c:pt>
                <c:pt idx="20">
                  <c:v>30</c:v>
                </c:pt>
                <c:pt idx="21">
                  <c:v>31.5</c:v>
                </c:pt>
                <c:pt idx="22">
                  <c:v>33</c:v>
                </c:pt>
                <c:pt idx="23">
                  <c:v>34.5</c:v>
                </c:pt>
                <c:pt idx="24">
                  <c:v>36</c:v>
                </c:pt>
                <c:pt idx="25">
                  <c:v>37.5</c:v>
                </c:pt>
                <c:pt idx="26">
                  <c:v>39</c:v>
                </c:pt>
                <c:pt idx="27">
                  <c:v>40.5</c:v>
                </c:pt>
                <c:pt idx="28">
                  <c:v>42</c:v>
                </c:pt>
                <c:pt idx="29">
                  <c:v>43.5</c:v>
                </c:pt>
                <c:pt idx="30">
                  <c:v>45</c:v>
                </c:pt>
                <c:pt idx="31">
                  <c:v>46.5</c:v>
                </c:pt>
                <c:pt idx="32">
                  <c:v>48</c:v>
                </c:pt>
                <c:pt idx="33">
                  <c:v>49.5</c:v>
                </c:pt>
                <c:pt idx="34">
                  <c:v>51.000000000000007</c:v>
                </c:pt>
                <c:pt idx="35">
                  <c:v>52.5</c:v>
                </c:pt>
                <c:pt idx="36">
                  <c:v>54</c:v>
                </c:pt>
                <c:pt idx="37">
                  <c:v>55.5</c:v>
                </c:pt>
                <c:pt idx="38">
                  <c:v>56.999999999999993</c:v>
                </c:pt>
                <c:pt idx="39">
                  <c:v>58.5</c:v>
                </c:pt>
                <c:pt idx="40">
                  <c:v>60</c:v>
                </c:pt>
                <c:pt idx="41">
                  <c:v>61.499999999999993</c:v>
                </c:pt>
                <c:pt idx="42">
                  <c:v>63</c:v>
                </c:pt>
                <c:pt idx="43">
                  <c:v>64.5</c:v>
                </c:pt>
                <c:pt idx="44">
                  <c:v>66</c:v>
                </c:pt>
                <c:pt idx="45">
                  <c:v>67.5</c:v>
                </c:pt>
                <c:pt idx="46">
                  <c:v>69</c:v>
                </c:pt>
                <c:pt idx="47">
                  <c:v>70.5</c:v>
                </c:pt>
                <c:pt idx="48">
                  <c:v>72</c:v>
                </c:pt>
                <c:pt idx="49">
                  <c:v>73.5</c:v>
                </c:pt>
                <c:pt idx="50">
                  <c:v>75</c:v>
                </c:pt>
                <c:pt idx="51">
                  <c:v>76.5</c:v>
                </c:pt>
                <c:pt idx="52">
                  <c:v>78</c:v>
                </c:pt>
                <c:pt idx="53">
                  <c:v>79.5</c:v>
                </c:pt>
                <c:pt idx="54">
                  <c:v>81</c:v>
                </c:pt>
                <c:pt idx="55">
                  <c:v>82.5</c:v>
                </c:pt>
                <c:pt idx="56">
                  <c:v>84</c:v>
                </c:pt>
                <c:pt idx="57">
                  <c:v>85.499999999999986</c:v>
                </c:pt>
                <c:pt idx="58">
                  <c:v>87</c:v>
                </c:pt>
                <c:pt idx="59">
                  <c:v>88.5</c:v>
                </c:pt>
                <c:pt idx="60">
                  <c:v>90</c:v>
                </c:pt>
                <c:pt idx="61">
                  <c:v>91.5</c:v>
                </c:pt>
                <c:pt idx="62">
                  <c:v>93</c:v>
                </c:pt>
                <c:pt idx="63">
                  <c:v>94.5</c:v>
                </c:pt>
                <c:pt idx="64">
                  <c:v>96</c:v>
                </c:pt>
                <c:pt idx="65">
                  <c:v>97.5</c:v>
                </c:pt>
                <c:pt idx="66">
                  <c:v>99</c:v>
                </c:pt>
                <c:pt idx="67">
                  <c:v>100.5</c:v>
                </c:pt>
                <c:pt idx="68">
                  <c:v>102.00000000000001</c:v>
                </c:pt>
                <c:pt idx="69">
                  <c:v>103.5</c:v>
                </c:pt>
                <c:pt idx="70">
                  <c:v>105</c:v>
                </c:pt>
                <c:pt idx="71">
                  <c:v>106.5</c:v>
                </c:pt>
                <c:pt idx="72">
                  <c:v>108</c:v>
                </c:pt>
                <c:pt idx="73">
                  <c:v>109.5</c:v>
                </c:pt>
                <c:pt idx="74">
                  <c:v>111</c:v>
                </c:pt>
                <c:pt idx="75">
                  <c:v>112.49999999999999</c:v>
                </c:pt>
                <c:pt idx="76">
                  <c:v>113.99999999999999</c:v>
                </c:pt>
                <c:pt idx="77">
                  <c:v>115.49999999999999</c:v>
                </c:pt>
                <c:pt idx="78">
                  <c:v>117</c:v>
                </c:pt>
                <c:pt idx="79">
                  <c:v>118.5</c:v>
                </c:pt>
                <c:pt idx="80">
                  <c:v>120</c:v>
                </c:pt>
                <c:pt idx="81">
                  <c:v>121.5</c:v>
                </c:pt>
                <c:pt idx="82">
                  <c:v>122.99999999999999</c:v>
                </c:pt>
                <c:pt idx="83">
                  <c:v>124.49999999999999</c:v>
                </c:pt>
                <c:pt idx="84">
                  <c:v>126</c:v>
                </c:pt>
                <c:pt idx="85">
                  <c:v>127.5</c:v>
                </c:pt>
                <c:pt idx="86">
                  <c:v>129</c:v>
                </c:pt>
                <c:pt idx="87">
                  <c:v>130.5</c:v>
                </c:pt>
                <c:pt idx="88">
                  <c:v>132</c:v>
                </c:pt>
                <c:pt idx="89">
                  <c:v>133.5</c:v>
                </c:pt>
                <c:pt idx="90">
                  <c:v>135</c:v>
                </c:pt>
                <c:pt idx="91">
                  <c:v>136.5</c:v>
                </c:pt>
                <c:pt idx="92">
                  <c:v>138</c:v>
                </c:pt>
                <c:pt idx="93">
                  <c:v>139.5</c:v>
                </c:pt>
                <c:pt idx="94">
                  <c:v>141</c:v>
                </c:pt>
                <c:pt idx="95">
                  <c:v>142.5</c:v>
                </c:pt>
                <c:pt idx="96">
                  <c:v>144</c:v>
                </c:pt>
                <c:pt idx="97">
                  <c:v>145.5</c:v>
                </c:pt>
                <c:pt idx="98">
                  <c:v>147</c:v>
                </c:pt>
                <c:pt idx="99">
                  <c:v>148.5</c:v>
                </c:pt>
                <c:pt idx="100">
                  <c:v>150</c:v>
                </c:pt>
              </c:numCache>
            </c:numRef>
          </c:xVal>
          <c:yVal>
            <c:numRef>
              <c:f>'COT Efficiency'!$AP$6:$AP$106</c:f>
              <c:numCache>
                <c:formatCode>0.0000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extLst>
            <c:ext xmlns:c16="http://schemas.microsoft.com/office/drawing/2014/chart" uri="{C3380CC4-5D6E-409C-BE32-E72D297353CC}">
              <c16:uniqueId val="{00000001-D14E-4B3F-A67E-4E879A07EDE5}"/>
            </c:ext>
          </c:extLst>
        </c:ser>
        <c:ser>
          <c:idx val="0"/>
          <c:order val="2"/>
          <c:tx>
            <c:strRef>
              <c:f>'COT Efficiency'!$V$5</c:f>
              <c:strCache>
                <c:ptCount val="1"/>
                <c:pt idx="0">
                  <c:v>Total Inductor Loss (W)</c:v>
                </c:pt>
              </c:strCache>
            </c:strRef>
          </c:tx>
          <c:spPr>
            <a:ln w="25400">
              <a:solidFill>
                <a:srgbClr val="00B050"/>
              </a:solidFill>
              <a:prstDash val="lgDash"/>
            </a:ln>
          </c:spPr>
          <c:marker>
            <c:symbol val="none"/>
          </c:marker>
          <c:xVal>
            <c:numRef>
              <c:f>'COT Efficiency'!$BK$6:$BK$106</c:f>
              <c:numCache>
                <c:formatCode>0.000</c:formatCode>
                <c:ptCount val="101"/>
                <c:pt idx="0">
                  <c:v>0.15</c:v>
                </c:pt>
                <c:pt idx="1">
                  <c:v>1.5</c:v>
                </c:pt>
                <c:pt idx="2">
                  <c:v>3</c:v>
                </c:pt>
                <c:pt idx="3">
                  <c:v>4.5</c:v>
                </c:pt>
                <c:pt idx="4">
                  <c:v>6</c:v>
                </c:pt>
                <c:pt idx="5">
                  <c:v>7.5</c:v>
                </c:pt>
                <c:pt idx="6">
                  <c:v>9</c:v>
                </c:pt>
                <c:pt idx="7">
                  <c:v>10.5</c:v>
                </c:pt>
                <c:pt idx="8">
                  <c:v>12</c:v>
                </c:pt>
                <c:pt idx="9">
                  <c:v>13.5</c:v>
                </c:pt>
                <c:pt idx="10">
                  <c:v>15</c:v>
                </c:pt>
                <c:pt idx="11">
                  <c:v>16.5</c:v>
                </c:pt>
                <c:pt idx="12">
                  <c:v>18</c:v>
                </c:pt>
                <c:pt idx="13">
                  <c:v>19.5</c:v>
                </c:pt>
                <c:pt idx="14">
                  <c:v>21</c:v>
                </c:pt>
                <c:pt idx="15">
                  <c:v>22.5</c:v>
                </c:pt>
                <c:pt idx="16">
                  <c:v>24</c:v>
                </c:pt>
                <c:pt idx="17">
                  <c:v>25.500000000000004</c:v>
                </c:pt>
                <c:pt idx="18">
                  <c:v>27</c:v>
                </c:pt>
                <c:pt idx="19">
                  <c:v>28.499999999999996</c:v>
                </c:pt>
                <c:pt idx="20">
                  <c:v>30</c:v>
                </c:pt>
                <c:pt idx="21">
                  <c:v>31.5</c:v>
                </c:pt>
                <c:pt idx="22">
                  <c:v>33</c:v>
                </c:pt>
                <c:pt idx="23">
                  <c:v>34.5</c:v>
                </c:pt>
                <c:pt idx="24">
                  <c:v>36</c:v>
                </c:pt>
                <c:pt idx="25">
                  <c:v>37.5</c:v>
                </c:pt>
                <c:pt idx="26">
                  <c:v>39</c:v>
                </c:pt>
                <c:pt idx="27">
                  <c:v>40.5</c:v>
                </c:pt>
                <c:pt idx="28">
                  <c:v>42</c:v>
                </c:pt>
                <c:pt idx="29">
                  <c:v>43.5</c:v>
                </c:pt>
                <c:pt idx="30">
                  <c:v>45</c:v>
                </c:pt>
                <c:pt idx="31">
                  <c:v>46.5</c:v>
                </c:pt>
                <c:pt idx="32">
                  <c:v>48</c:v>
                </c:pt>
                <c:pt idx="33">
                  <c:v>49.5</c:v>
                </c:pt>
                <c:pt idx="34">
                  <c:v>51.000000000000007</c:v>
                </c:pt>
                <c:pt idx="35">
                  <c:v>52.5</c:v>
                </c:pt>
                <c:pt idx="36">
                  <c:v>54</c:v>
                </c:pt>
                <c:pt idx="37">
                  <c:v>55.5</c:v>
                </c:pt>
                <c:pt idx="38">
                  <c:v>56.999999999999993</c:v>
                </c:pt>
                <c:pt idx="39">
                  <c:v>58.5</c:v>
                </c:pt>
                <c:pt idx="40">
                  <c:v>60</c:v>
                </c:pt>
                <c:pt idx="41">
                  <c:v>61.499999999999993</c:v>
                </c:pt>
                <c:pt idx="42">
                  <c:v>63</c:v>
                </c:pt>
                <c:pt idx="43">
                  <c:v>64.5</c:v>
                </c:pt>
                <c:pt idx="44">
                  <c:v>66</c:v>
                </c:pt>
                <c:pt idx="45">
                  <c:v>67.5</c:v>
                </c:pt>
                <c:pt idx="46">
                  <c:v>69</c:v>
                </c:pt>
                <c:pt idx="47">
                  <c:v>70.5</c:v>
                </c:pt>
                <c:pt idx="48">
                  <c:v>72</c:v>
                </c:pt>
                <c:pt idx="49">
                  <c:v>73.5</c:v>
                </c:pt>
                <c:pt idx="50">
                  <c:v>75</c:v>
                </c:pt>
                <c:pt idx="51">
                  <c:v>76.5</c:v>
                </c:pt>
                <c:pt idx="52">
                  <c:v>78</c:v>
                </c:pt>
                <c:pt idx="53">
                  <c:v>79.5</c:v>
                </c:pt>
                <c:pt idx="54">
                  <c:v>81</c:v>
                </c:pt>
                <c:pt idx="55">
                  <c:v>82.5</c:v>
                </c:pt>
                <c:pt idx="56">
                  <c:v>84</c:v>
                </c:pt>
                <c:pt idx="57">
                  <c:v>85.499999999999986</c:v>
                </c:pt>
                <c:pt idx="58">
                  <c:v>87</c:v>
                </c:pt>
                <c:pt idx="59">
                  <c:v>88.5</c:v>
                </c:pt>
                <c:pt idx="60">
                  <c:v>90</c:v>
                </c:pt>
                <c:pt idx="61">
                  <c:v>91.5</c:v>
                </c:pt>
                <c:pt idx="62">
                  <c:v>93</c:v>
                </c:pt>
                <c:pt idx="63">
                  <c:v>94.5</c:v>
                </c:pt>
                <c:pt idx="64">
                  <c:v>96</c:v>
                </c:pt>
                <c:pt idx="65">
                  <c:v>97.5</c:v>
                </c:pt>
                <c:pt idx="66">
                  <c:v>99</c:v>
                </c:pt>
                <c:pt idx="67">
                  <c:v>100.5</c:v>
                </c:pt>
                <c:pt idx="68">
                  <c:v>102.00000000000001</c:v>
                </c:pt>
                <c:pt idx="69">
                  <c:v>103.5</c:v>
                </c:pt>
                <c:pt idx="70">
                  <c:v>105</c:v>
                </c:pt>
                <c:pt idx="71">
                  <c:v>106.5</c:v>
                </c:pt>
                <c:pt idx="72">
                  <c:v>108</c:v>
                </c:pt>
                <c:pt idx="73">
                  <c:v>109.5</c:v>
                </c:pt>
                <c:pt idx="74">
                  <c:v>111</c:v>
                </c:pt>
                <c:pt idx="75">
                  <c:v>112.49999999999999</c:v>
                </c:pt>
                <c:pt idx="76">
                  <c:v>113.99999999999999</c:v>
                </c:pt>
                <c:pt idx="77">
                  <c:v>115.49999999999999</c:v>
                </c:pt>
                <c:pt idx="78">
                  <c:v>117</c:v>
                </c:pt>
                <c:pt idx="79">
                  <c:v>118.5</c:v>
                </c:pt>
                <c:pt idx="80">
                  <c:v>120</c:v>
                </c:pt>
                <c:pt idx="81">
                  <c:v>121.5</c:v>
                </c:pt>
                <c:pt idx="82">
                  <c:v>122.99999999999999</c:v>
                </c:pt>
                <c:pt idx="83">
                  <c:v>124.49999999999999</c:v>
                </c:pt>
                <c:pt idx="84">
                  <c:v>126</c:v>
                </c:pt>
                <c:pt idx="85">
                  <c:v>127.5</c:v>
                </c:pt>
                <c:pt idx="86">
                  <c:v>129</c:v>
                </c:pt>
                <c:pt idx="87">
                  <c:v>130.5</c:v>
                </c:pt>
                <c:pt idx="88">
                  <c:v>132</c:v>
                </c:pt>
                <c:pt idx="89">
                  <c:v>133.5</c:v>
                </c:pt>
                <c:pt idx="90">
                  <c:v>135</c:v>
                </c:pt>
                <c:pt idx="91">
                  <c:v>136.5</c:v>
                </c:pt>
                <c:pt idx="92">
                  <c:v>138</c:v>
                </c:pt>
                <c:pt idx="93">
                  <c:v>139.5</c:v>
                </c:pt>
                <c:pt idx="94">
                  <c:v>141</c:v>
                </c:pt>
                <c:pt idx="95">
                  <c:v>142.5</c:v>
                </c:pt>
                <c:pt idx="96">
                  <c:v>144</c:v>
                </c:pt>
                <c:pt idx="97">
                  <c:v>145.5</c:v>
                </c:pt>
                <c:pt idx="98">
                  <c:v>147</c:v>
                </c:pt>
                <c:pt idx="99">
                  <c:v>148.5</c:v>
                </c:pt>
                <c:pt idx="100">
                  <c:v>150</c:v>
                </c:pt>
              </c:numCache>
            </c:numRef>
          </c:xVal>
          <c:yVal>
            <c:numRef>
              <c:f>'COT Efficiency'!$V$6:$V$106</c:f>
              <c:numCache>
                <c:formatCode>0.0000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extLst>
            <c:ext xmlns:c16="http://schemas.microsoft.com/office/drawing/2014/chart" uri="{C3380CC4-5D6E-409C-BE32-E72D297353CC}">
              <c16:uniqueId val="{00000002-D14E-4B3F-A67E-4E879A07EDE5}"/>
            </c:ext>
          </c:extLst>
        </c:ser>
        <c:dLbls>
          <c:showLegendKey val="0"/>
          <c:showVal val="0"/>
          <c:showCatName val="0"/>
          <c:showSerName val="0"/>
          <c:showPercent val="0"/>
          <c:showBubbleSize val="0"/>
        </c:dLbls>
        <c:axId val="159295744"/>
        <c:axId val="159306112"/>
      </c:scatterChart>
      <c:valAx>
        <c:axId val="159295744"/>
        <c:scaling>
          <c:orientation val="minMax"/>
          <c:min val="0"/>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a:t>Iout (mA)</a:t>
                </a:r>
              </a:p>
            </c:rich>
          </c:tx>
          <c:layout>
            <c:manualLayout>
              <c:xMode val="edge"/>
              <c:yMode val="edge"/>
              <c:x val="0.48841805795509147"/>
              <c:y val="0.92812222977001757"/>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59306112"/>
        <c:crosses val="autoZero"/>
        <c:crossBetween val="midCat"/>
      </c:valAx>
      <c:valAx>
        <c:axId val="159306112"/>
        <c:scaling>
          <c:orientation val="minMax"/>
        </c:scaling>
        <c:delete val="0"/>
        <c:axPos val="l"/>
        <c:majorGridlines>
          <c:spPr>
            <a:ln w="3175">
              <a:solidFill>
                <a:srgbClr val="000000"/>
              </a:solidFill>
              <a:prstDash val="solid"/>
            </a:ln>
          </c:spPr>
        </c:majorGridlines>
        <c:title>
          <c:tx>
            <c:rich>
              <a:bodyPr/>
              <a:lstStyle/>
              <a:p>
                <a:pPr>
                  <a:defRPr sz="1100" b="1" i="0" u="none" strike="noStrike" baseline="0">
                    <a:solidFill>
                      <a:srgbClr val="000000"/>
                    </a:solidFill>
                    <a:latin typeface="Arial"/>
                    <a:ea typeface="Arial"/>
                    <a:cs typeface="Arial"/>
                  </a:defRPr>
                </a:pPr>
                <a:r>
                  <a:rPr lang="en-US" sz="1100"/>
                  <a:t>Power Disipation (W)</a:t>
                </a:r>
              </a:p>
            </c:rich>
          </c:tx>
          <c:layout>
            <c:manualLayout>
              <c:xMode val="edge"/>
              <c:yMode val="edge"/>
              <c:x val="1.910828025477734E-2"/>
              <c:y val="0.37298429430192825"/>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59295744"/>
        <c:crosses val="autoZero"/>
        <c:crossBetween val="midCat"/>
      </c:valAx>
      <c:spPr>
        <a:solidFill>
          <a:schemeClr val="bg1">
            <a:lumMod val="95000"/>
          </a:schemeClr>
        </a:solidFill>
        <a:ln w="12700">
          <a:solidFill>
            <a:srgbClr val="808080"/>
          </a:solidFill>
          <a:prstDash val="solid"/>
        </a:ln>
      </c:spPr>
    </c:plotArea>
    <c:legend>
      <c:legendPos val="r"/>
      <c:layout>
        <c:manualLayout>
          <c:xMode val="edge"/>
          <c:yMode val="edge"/>
          <c:x val="0.13445630576004464"/>
          <c:y val="0.14722888183191415"/>
          <c:w val="0.26461167950535469"/>
          <c:h val="0.15077691641594146"/>
        </c:manualLayout>
      </c:layout>
      <c:overlay val="0"/>
      <c:spPr>
        <a:solidFill>
          <a:srgbClr val="FFFFFF"/>
        </a:solidFill>
        <a:ln w="3175">
          <a:solidFill>
            <a:srgbClr val="000000"/>
          </a:solidFill>
          <a:prstDash val="solid"/>
        </a:ln>
      </c:spPr>
      <c:txPr>
        <a:bodyPr/>
        <a:lstStyle/>
        <a:p>
          <a:pPr>
            <a:defRPr sz="11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000000000000822" r="0.75000000000000822" t="1" header="0.5" footer="0.5"/>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P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000000"/>
                </a:solidFill>
                <a:latin typeface="Arial"/>
                <a:ea typeface="Arial"/>
                <a:cs typeface="Arial"/>
              </a:defRPr>
            </a:pPr>
            <a:r>
              <a:rPr lang="en-US" sz="1400"/>
              <a:t>COT Efficiency (linear scale)</a:t>
            </a:r>
          </a:p>
        </c:rich>
      </c:tx>
      <c:layout>
        <c:manualLayout>
          <c:xMode val="edge"/>
          <c:yMode val="edge"/>
          <c:x val="0.39174303593730181"/>
          <c:y val="3.0180964221577591E-2"/>
        </c:manualLayout>
      </c:layout>
      <c:overlay val="0"/>
      <c:spPr>
        <a:noFill/>
        <a:ln w="25400">
          <a:noFill/>
        </a:ln>
      </c:spPr>
    </c:title>
    <c:autoTitleDeleted val="0"/>
    <c:plotArea>
      <c:layout>
        <c:manualLayout>
          <c:layoutTarget val="inner"/>
          <c:xMode val="edge"/>
          <c:yMode val="edge"/>
          <c:x val="0.10666292925557985"/>
          <c:y val="0.11527039633828409"/>
          <c:w val="0.85836459439149781"/>
          <c:h val="0.76421691082177223"/>
        </c:manualLayout>
      </c:layout>
      <c:scatterChart>
        <c:scatterStyle val="lineMarker"/>
        <c:varyColors val="0"/>
        <c:ser>
          <c:idx val="0"/>
          <c:order val="0"/>
          <c:tx>
            <c:v>current</c:v>
          </c:tx>
          <c:spPr>
            <a:ln w="28575">
              <a:solidFill>
                <a:srgbClr val="000080"/>
              </a:solidFill>
              <a:prstDash val="solid"/>
            </a:ln>
          </c:spPr>
          <c:marker>
            <c:symbol val="none"/>
          </c:marker>
          <c:xVal>
            <c:numRef>
              <c:f>'COT Efficiency'!$BK$6:$BK$106</c:f>
              <c:numCache>
                <c:formatCode>0.000</c:formatCode>
                <c:ptCount val="101"/>
                <c:pt idx="0">
                  <c:v>0.15</c:v>
                </c:pt>
                <c:pt idx="1">
                  <c:v>1.5</c:v>
                </c:pt>
                <c:pt idx="2">
                  <c:v>3</c:v>
                </c:pt>
                <c:pt idx="3">
                  <c:v>4.5</c:v>
                </c:pt>
                <c:pt idx="4">
                  <c:v>6</c:v>
                </c:pt>
                <c:pt idx="5">
                  <c:v>7.5</c:v>
                </c:pt>
                <c:pt idx="6">
                  <c:v>9</c:v>
                </c:pt>
                <c:pt idx="7">
                  <c:v>10.5</c:v>
                </c:pt>
                <c:pt idx="8">
                  <c:v>12</c:v>
                </c:pt>
                <c:pt idx="9">
                  <c:v>13.5</c:v>
                </c:pt>
                <c:pt idx="10">
                  <c:v>15</c:v>
                </c:pt>
                <c:pt idx="11">
                  <c:v>16.5</c:v>
                </c:pt>
                <c:pt idx="12">
                  <c:v>18</c:v>
                </c:pt>
                <c:pt idx="13">
                  <c:v>19.5</c:v>
                </c:pt>
                <c:pt idx="14">
                  <c:v>21</c:v>
                </c:pt>
                <c:pt idx="15">
                  <c:v>22.5</c:v>
                </c:pt>
                <c:pt idx="16">
                  <c:v>24</c:v>
                </c:pt>
                <c:pt idx="17">
                  <c:v>25.500000000000004</c:v>
                </c:pt>
                <c:pt idx="18">
                  <c:v>27</c:v>
                </c:pt>
                <c:pt idx="19">
                  <c:v>28.499999999999996</c:v>
                </c:pt>
                <c:pt idx="20">
                  <c:v>30</c:v>
                </c:pt>
                <c:pt idx="21">
                  <c:v>31.5</c:v>
                </c:pt>
                <c:pt idx="22">
                  <c:v>33</c:v>
                </c:pt>
                <c:pt idx="23">
                  <c:v>34.5</c:v>
                </c:pt>
                <c:pt idx="24">
                  <c:v>36</c:v>
                </c:pt>
                <c:pt idx="25">
                  <c:v>37.5</c:v>
                </c:pt>
                <c:pt idx="26">
                  <c:v>39</c:v>
                </c:pt>
                <c:pt idx="27">
                  <c:v>40.5</c:v>
                </c:pt>
                <c:pt idx="28">
                  <c:v>42</c:v>
                </c:pt>
                <c:pt idx="29">
                  <c:v>43.5</c:v>
                </c:pt>
                <c:pt idx="30">
                  <c:v>45</c:v>
                </c:pt>
                <c:pt idx="31">
                  <c:v>46.5</c:v>
                </c:pt>
                <c:pt idx="32">
                  <c:v>48</c:v>
                </c:pt>
                <c:pt idx="33">
                  <c:v>49.5</c:v>
                </c:pt>
                <c:pt idx="34">
                  <c:v>51.000000000000007</c:v>
                </c:pt>
                <c:pt idx="35">
                  <c:v>52.5</c:v>
                </c:pt>
                <c:pt idx="36">
                  <c:v>54</c:v>
                </c:pt>
                <c:pt idx="37">
                  <c:v>55.5</c:v>
                </c:pt>
                <c:pt idx="38">
                  <c:v>56.999999999999993</c:v>
                </c:pt>
                <c:pt idx="39">
                  <c:v>58.5</c:v>
                </c:pt>
                <c:pt idx="40">
                  <c:v>60</c:v>
                </c:pt>
                <c:pt idx="41">
                  <c:v>61.499999999999993</c:v>
                </c:pt>
                <c:pt idx="42">
                  <c:v>63</c:v>
                </c:pt>
                <c:pt idx="43">
                  <c:v>64.5</c:v>
                </c:pt>
                <c:pt idx="44">
                  <c:v>66</c:v>
                </c:pt>
                <c:pt idx="45">
                  <c:v>67.5</c:v>
                </c:pt>
                <c:pt idx="46">
                  <c:v>69</c:v>
                </c:pt>
                <c:pt idx="47">
                  <c:v>70.5</c:v>
                </c:pt>
                <c:pt idx="48">
                  <c:v>72</c:v>
                </c:pt>
                <c:pt idx="49">
                  <c:v>73.5</c:v>
                </c:pt>
                <c:pt idx="50">
                  <c:v>75</c:v>
                </c:pt>
                <c:pt idx="51">
                  <c:v>76.5</c:v>
                </c:pt>
                <c:pt idx="52">
                  <c:v>78</c:v>
                </c:pt>
                <c:pt idx="53">
                  <c:v>79.5</c:v>
                </c:pt>
                <c:pt idx="54">
                  <c:v>81</c:v>
                </c:pt>
                <c:pt idx="55">
                  <c:v>82.5</c:v>
                </c:pt>
                <c:pt idx="56">
                  <c:v>84</c:v>
                </c:pt>
                <c:pt idx="57">
                  <c:v>85.499999999999986</c:v>
                </c:pt>
                <c:pt idx="58">
                  <c:v>87</c:v>
                </c:pt>
                <c:pt idx="59">
                  <c:v>88.5</c:v>
                </c:pt>
                <c:pt idx="60">
                  <c:v>90</c:v>
                </c:pt>
                <c:pt idx="61">
                  <c:v>91.5</c:v>
                </c:pt>
                <c:pt idx="62">
                  <c:v>93</c:v>
                </c:pt>
                <c:pt idx="63">
                  <c:v>94.5</c:v>
                </c:pt>
                <c:pt idx="64">
                  <c:v>96</c:v>
                </c:pt>
                <c:pt idx="65">
                  <c:v>97.5</c:v>
                </c:pt>
                <c:pt idx="66">
                  <c:v>99</c:v>
                </c:pt>
                <c:pt idx="67">
                  <c:v>100.5</c:v>
                </c:pt>
                <c:pt idx="68">
                  <c:v>102.00000000000001</c:v>
                </c:pt>
                <c:pt idx="69">
                  <c:v>103.5</c:v>
                </c:pt>
                <c:pt idx="70">
                  <c:v>105</c:v>
                </c:pt>
                <c:pt idx="71">
                  <c:v>106.5</c:v>
                </c:pt>
                <c:pt idx="72">
                  <c:v>108</c:v>
                </c:pt>
                <c:pt idx="73">
                  <c:v>109.5</c:v>
                </c:pt>
                <c:pt idx="74">
                  <c:v>111</c:v>
                </c:pt>
                <c:pt idx="75">
                  <c:v>112.49999999999999</c:v>
                </c:pt>
                <c:pt idx="76">
                  <c:v>113.99999999999999</c:v>
                </c:pt>
                <c:pt idx="77">
                  <c:v>115.49999999999999</c:v>
                </c:pt>
                <c:pt idx="78">
                  <c:v>117</c:v>
                </c:pt>
                <c:pt idx="79">
                  <c:v>118.5</c:v>
                </c:pt>
                <c:pt idx="80">
                  <c:v>120</c:v>
                </c:pt>
                <c:pt idx="81">
                  <c:v>121.5</c:v>
                </c:pt>
                <c:pt idx="82">
                  <c:v>122.99999999999999</c:v>
                </c:pt>
                <c:pt idx="83">
                  <c:v>124.49999999999999</c:v>
                </c:pt>
                <c:pt idx="84">
                  <c:v>126</c:v>
                </c:pt>
                <c:pt idx="85">
                  <c:v>127.5</c:v>
                </c:pt>
                <c:pt idx="86">
                  <c:v>129</c:v>
                </c:pt>
                <c:pt idx="87">
                  <c:v>130.5</c:v>
                </c:pt>
                <c:pt idx="88">
                  <c:v>132</c:v>
                </c:pt>
                <c:pt idx="89">
                  <c:v>133.5</c:v>
                </c:pt>
                <c:pt idx="90">
                  <c:v>135</c:v>
                </c:pt>
                <c:pt idx="91">
                  <c:v>136.5</c:v>
                </c:pt>
                <c:pt idx="92">
                  <c:v>138</c:v>
                </c:pt>
                <c:pt idx="93">
                  <c:v>139.5</c:v>
                </c:pt>
                <c:pt idx="94">
                  <c:v>141</c:v>
                </c:pt>
                <c:pt idx="95">
                  <c:v>142.5</c:v>
                </c:pt>
                <c:pt idx="96">
                  <c:v>144</c:v>
                </c:pt>
                <c:pt idx="97">
                  <c:v>145.5</c:v>
                </c:pt>
                <c:pt idx="98">
                  <c:v>147</c:v>
                </c:pt>
                <c:pt idx="99">
                  <c:v>148.5</c:v>
                </c:pt>
                <c:pt idx="100">
                  <c:v>150</c:v>
                </c:pt>
              </c:numCache>
            </c:numRef>
          </c:xVal>
          <c:yVal>
            <c:numRef>
              <c:f>'COT Efficiency'!$BJ$6:$BJ$106</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extLst>
            <c:ext xmlns:c16="http://schemas.microsoft.com/office/drawing/2014/chart" uri="{C3380CC4-5D6E-409C-BE32-E72D297353CC}">
              <c16:uniqueId val="{00000000-4977-4B15-9E24-FFE9599935A2}"/>
            </c:ext>
          </c:extLst>
        </c:ser>
        <c:ser>
          <c:idx val="1"/>
          <c:order val="1"/>
          <c:tx>
            <c:v>previous</c:v>
          </c:tx>
          <c:spPr>
            <a:ln>
              <a:prstDash val="sysDash"/>
            </a:ln>
          </c:spPr>
          <c:marker>
            <c:symbol val="none"/>
          </c:marker>
          <c:xVal>
            <c:numRef>
              <c:f>'COT Efficiency'!$BK$6:$BK$106</c:f>
              <c:numCache>
                <c:formatCode>0.000</c:formatCode>
                <c:ptCount val="101"/>
                <c:pt idx="0">
                  <c:v>0.15</c:v>
                </c:pt>
                <c:pt idx="1">
                  <c:v>1.5</c:v>
                </c:pt>
                <c:pt idx="2">
                  <c:v>3</c:v>
                </c:pt>
                <c:pt idx="3">
                  <c:v>4.5</c:v>
                </c:pt>
                <c:pt idx="4">
                  <c:v>6</c:v>
                </c:pt>
                <c:pt idx="5">
                  <c:v>7.5</c:v>
                </c:pt>
                <c:pt idx="6">
                  <c:v>9</c:v>
                </c:pt>
                <c:pt idx="7">
                  <c:v>10.5</c:v>
                </c:pt>
                <c:pt idx="8">
                  <c:v>12</c:v>
                </c:pt>
                <c:pt idx="9">
                  <c:v>13.5</c:v>
                </c:pt>
                <c:pt idx="10">
                  <c:v>15</c:v>
                </c:pt>
                <c:pt idx="11">
                  <c:v>16.5</c:v>
                </c:pt>
                <c:pt idx="12">
                  <c:v>18</c:v>
                </c:pt>
                <c:pt idx="13">
                  <c:v>19.5</c:v>
                </c:pt>
                <c:pt idx="14">
                  <c:v>21</c:v>
                </c:pt>
                <c:pt idx="15">
                  <c:v>22.5</c:v>
                </c:pt>
                <c:pt idx="16">
                  <c:v>24</c:v>
                </c:pt>
                <c:pt idx="17">
                  <c:v>25.500000000000004</c:v>
                </c:pt>
                <c:pt idx="18">
                  <c:v>27</c:v>
                </c:pt>
                <c:pt idx="19">
                  <c:v>28.499999999999996</c:v>
                </c:pt>
                <c:pt idx="20">
                  <c:v>30</c:v>
                </c:pt>
                <c:pt idx="21">
                  <c:v>31.5</c:v>
                </c:pt>
                <c:pt idx="22">
                  <c:v>33</c:v>
                </c:pt>
                <c:pt idx="23">
                  <c:v>34.5</c:v>
                </c:pt>
                <c:pt idx="24">
                  <c:v>36</c:v>
                </c:pt>
                <c:pt idx="25">
                  <c:v>37.5</c:v>
                </c:pt>
                <c:pt idx="26">
                  <c:v>39</c:v>
                </c:pt>
                <c:pt idx="27">
                  <c:v>40.5</c:v>
                </c:pt>
                <c:pt idx="28">
                  <c:v>42</c:v>
                </c:pt>
                <c:pt idx="29">
                  <c:v>43.5</c:v>
                </c:pt>
                <c:pt idx="30">
                  <c:v>45</c:v>
                </c:pt>
                <c:pt idx="31">
                  <c:v>46.5</c:v>
                </c:pt>
                <c:pt idx="32">
                  <c:v>48</c:v>
                </c:pt>
                <c:pt idx="33">
                  <c:v>49.5</c:v>
                </c:pt>
                <c:pt idx="34">
                  <c:v>51.000000000000007</c:v>
                </c:pt>
                <c:pt idx="35">
                  <c:v>52.5</c:v>
                </c:pt>
                <c:pt idx="36">
                  <c:v>54</c:v>
                </c:pt>
                <c:pt idx="37">
                  <c:v>55.5</c:v>
                </c:pt>
                <c:pt idx="38">
                  <c:v>56.999999999999993</c:v>
                </c:pt>
                <c:pt idx="39">
                  <c:v>58.5</c:v>
                </c:pt>
                <c:pt idx="40">
                  <c:v>60</c:v>
                </c:pt>
                <c:pt idx="41">
                  <c:v>61.499999999999993</c:v>
                </c:pt>
                <c:pt idx="42">
                  <c:v>63</c:v>
                </c:pt>
                <c:pt idx="43">
                  <c:v>64.5</c:v>
                </c:pt>
                <c:pt idx="44">
                  <c:v>66</c:v>
                </c:pt>
                <c:pt idx="45">
                  <c:v>67.5</c:v>
                </c:pt>
                <c:pt idx="46">
                  <c:v>69</c:v>
                </c:pt>
                <c:pt idx="47">
                  <c:v>70.5</c:v>
                </c:pt>
                <c:pt idx="48">
                  <c:v>72</c:v>
                </c:pt>
                <c:pt idx="49">
                  <c:v>73.5</c:v>
                </c:pt>
                <c:pt idx="50">
                  <c:v>75</c:v>
                </c:pt>
                <c:pt idx="51">
                  <c:v>76.5</c:v>
                </c:pt>
                <c:pt idx="52">
                  <c:v>78</c:v>
                </c:pt>
                <c:pt idx="53">
                  <c:v>79.5</c:v>
                </c:pt>
                <c:pt idx="54">
                  <c:v>81</c:v>
                </c:pt>
                <c:pt idx="55">
                  <c:v>82.5</c:v>
                </c:pt>
                <c:pt idx="56">
                  <c:v>84</c:v>
                </c:pt>
                <c:pt idx="57">
                  <c:v>85.499999999999986</c:v>
                </c:pt>
                <c:pt idx="58">
                  <c:v>87</c:v>
                </c:pt>
                <c:pt idx="59">
                  <c:v>88.5</c:v>
                </c:pt>
                <c:pt idx="60">
                  <c:v>90</c:v>
                </c:pt>
                <c:pt idx="61">
                  <c:v>91.5</c:v>
                </c:pt>
                <c:pt idx="62">
                  <c:v>93</c:v>
                </c:pt>
                <c:pt idx="63">
                  <c:v>94.5</c:v>
                </c:pt>
                <c:pt idx="64">
                  <c:v>96</c:v>
                </c:pt>
                <c:pt idx="65">
                  <c:v>97.5</c:v>
                </c:pt>
                <c:pt idx="66">
                  <c:v>99</c:v>
                </c:pt>
                <c:pt idx="67">
                  <c:v>100.5</c:v>
                </c:pt>
                <c:pt idx="68">
                  <c:v>102.00000000000001</c:v>
                </c:pt>
                <c:pt idx="69">
                  <c:v>103.5</c:v>
                </c:pt>
                <c:pt idx="70">
                  <c:v>105</c:v>
                </c:pt>
                <c:pt idx="71">
                  <c:v>106.5</c:v>
                </c:pt>
                <c:pt idx="72">
                  <c:v>108</c:v>
                </c:pt>
                <c:pt idx="73">
                  <c:v>109.5</c:v>
                </c:pt>
                <c:pt idx="74">
                  <c:v>111</c:v>
                </c:pt>
                <c:pt idx="75">
                  <c:v>112.49999999999999</c:v>
                </c:pt>
                <c:pt idx="76">
                  <c:v>113.99999999999999</c:v>
                </c:pt>
                <c:pt idx="77">
                  <c:v>115.49999999999999</c:v>
                </c:pt>
                <c:pt idx="78">
                  <c:v>117</c:v>
                </c:pt>
                <c:pt idx="79">
                  <c:v>118.5</c:v>
                </c:pt>
                <c:pt idx="80">
                  <c:v>120</c:v>
                </c:pt>
                <c:pt idx="81">
                  <c:v>121.5</c:v>
                </c:pt>
                <c:pt idx="82">
                  <c:v>122.99999999999999</c:v>
                </c:pt>
                <c:pt idx="83">
                  <c:v>124.49999999999999</c:v>
                </c:pt>
                <c:pt idx="84">
                  <c:v>126</c:v>
                </c:pt>
                <c:pt idx="85">
                  <c:v>127.5</c:v>
                </c:pt>
                <c:pt idx="86">
                  <c:v>129</c:v>
                </c:pt>
                <c:pt idx="87">
                  <c:v>130.5</c:v>
                </c:pt>
                <c:pt idx="88">
                  <c:v>132</c:v>
                </c:pt>
                <c:pt idx="89">
                  <c:v>133.5</c:v>
                </c:pt>
                <c:pt idx="90">
                  <c:v>135</c:v>
                </c:pt>
                <c:pt idx="91">
                  <c:v>136.5</c:v>
                </c:pt>
                <c:pt idx="92">
                  <c:v>138</c:v>
                </c:pt>
                <c:pt idx="93">
                  <c:v>139.5</c:v>
                </c:pt>
                <c:pt idx="94">
                  <c:v>141</c:v>
                </c:pt>
                <c:pt idx="95">
                  <c:v>142.5</c:v>
                </c:pt>
                <c:pt idx="96">
                  <c:v>144</c:v>
                </c:pt>
                <c:pt idx="97">
                  <c:v>145.5</c:v>
                </c:pt>
                <c:pt idx="98">
                  <c:v>147</c:v>
                </c:pt>
                <c:pt idx="99">
                  <c:v>148.5</c:v>
                </c:pt>
                <c:pt idx="100">
                  <c:v>150</c:v>
                </c:pt>
              </c:numCache>
            </c:numRef>
          </c:xVal>
          <c:yVal>
            <c:numRef>
              <c:f>'COT Efficiency'!$BL$6:$BL$106</c:f>
              <c:numCache>
                <c:formatCode>0.00</c:formatCode>
                <c:ptCount val="101"/>
                <c:pt idx="0">
                  <c:v>59.702372085750142</c:v>
                </c:pt>
                <c:pt idx="1">
                  <c:v>83.682599061581868</c:v>
                </c:pt>
                <c:pt idx="2">
                  <c:v>85.591306536493136</c:v>
                </c:pt>
                <c:pt idx="3">
                  <c:v>86.246143423411425</c:v>
                </c:pt>
                <c:pt idx="4">
                  <c:v>86.576655770717792</c:v>
                </c:pt>
                <c:pt idx="5">
                  <c:v>86.775636491192159</c:v>
                </c:pt>
                <c:pt idx="6">
                  <c:v>86.908342895294993</c:v>
                </c:pt>
                <c:pt idx="7">
                  <c:v>87.002989620240314</c:v>
                </c:pt>
                <c:pt idx="8">
                  <c:v>87.073765890198644</c:v>
                </c:pt>
                <c:pt idx="9">
                  <c:v>87.128587175766796</c:v>
                </c:pt>
                <c:pt idx="10">
                  <c:v>87.172217484522335</c:v>
                </c:pt>
                <c:pt idx="11">
                  <c:v>87.207695786257617</c:v>
                </c:pt>
                <c:pt idx="12">
                  <c:v>87.237051991392704</c:v>
                </c:pt>
                <c:pt idx="13">
                  <c:v>87.261693661062651</c:v>
                </c:pt>
                <c:pt idx="14">
                  <c:v>87.282627535503536</c:v>
                </c:pt>
                <c:pt idx="15">
                  <c:v>87.300592726200748</c:v>
                </c:pt>
                <c:pt idx="16">
                  <c:v>87.316144106391718</c:v>
                </c:pt>
                <c:pt idx="17">
                  <c:v>87.329706350284411</c:v>
                </c:pt>
                <c:pt idx="18">
                  <c:v>87.341610005832351</c:v>
                </c:pt>
                <c:pt idx="19">
                  <c:v>87.352116204047192</c:v>
                </c:pt>
                <c:pt idx="20">
                  <c:v>87.361433972791943</c:v>
                </c:pt>
                <c:pt idx="21">
                  <c:v>87.369732614756487</c:v>
                </c:pt>
                <c:pt idx="22">
                  <c:v>87.377150716774679</c:v>
                </c:pt>
                <c:pt idx="23">
                  <c:v>87.383802813648998</c:v>
                </c:pt>
                <c:pt idx="24">
                  <c:v>87.389784389255496</c:v>
                </c:pt>
                <c:pt idx="25">
                  <c:v>87.395175679622284</c:v>
                </c:pt>
                <c:pt idx="26">
                  <c:v>87.400044599948558</c:v>
                </c:pt>
                <c:pt idx="27">
                  <c:v>87.404449022298479</c:v>
                </c:pt>
                <c:pt idx="28">
                  <c:v>87.408438566030782</c:v>
                </c:pt>
                <c:pt idx="29">
                  <c:v>87.412056018390444</c:v>
                </c:pt>
                <c:pt idx="30">
                  <c:v>87.415338471423681</c:v>
                </c:pt>
                <c:pt idx="31">
                  <c:v>87.418318239176173</c:v>
                </c:pt>
                <c:pt idx="32">
                  <c:v>87.421023603167043</c:v>
                </c:pt>
                <c:pt idx="33">
                  <c:v>87.423479422514077</c:v>
                </c:pt>
                <c:pt idx="34">
                  <c:v>87.425707636537126</c:v>
                </c:pt>
                <c:pt idx="35">
                  <c:v>87.427727681316185</c:v>
                </c:pt>
                <c:pt idx="36">
                  <c:v>87.42955683691271</c:v>
                </c:pt>
                <c:pt idx="37">
                  <c:v>87.431210518356053</c:v>
                </c:pt>
                <c:pt idx="38">
                  <c:v>87.432702520740989</c:v>
                </c:pt>
                <c:pt idx="39">
                  <c:v>87.434045226663045</c:v>
                </c:pt>
                <c:pt idx="40">
                  <c:v>87.435249782574815</c:v>
                </c:pt>
                <c:pt idx="41">
                  <c:v>87.436326249363404</c:v>
                </c:pt>
                <c:pt idx="42">
                  <c:v>87.437283731440814</c:v>
                </c:pt>
                <c:pt idx="43">
                  <c:v>87.438130487841121</c:v>
                </c:pt>
                <c:pt idx="44">
                  <c:v>87.438874028184088</c:v>
                </c:pt>
                <c:pt idx="45">
                  <c:v>87.439521195857154</c:v>
                </c:pt>
                <c:pt idx="46">
                  <c:v>87.440078240358233</c:v>
                </c:pt>
                <c:pt idx="47">
                  <c:v>87.440550880412815</c:v>
                </c:pt>
                <c:pt idx="48">
                  <c:v>87.462211050621846</c:v>
                </c:pt>
                <c:pt idx="49">
                  <c:v>87.500809495614803</c:v>
                </c:pt>
                <c:pt idx="50">
                  <c:v>87.537838791529083</c:v>
                </c:pt>
                <c:pt idx="51">
                  <c:v>87.573389266063103</c:v>
                </c:pt>
                <c:pt idx="52">
                  <c:v>87.607544443240442</c:v>
                </c:pt>
                <c:pt idx="53">
                  <c:v>87.640381672202352</c:v>
                </c:pt>
                <c:pt idx="54">
                  <c:v>87.671972687530356</c:v>
                </c:pt>
                <c:pt idx="55">
                  <c:v>87.702384109642679</c:v>
                </c:pt>
                <c:pt idx="56">
                  <c:v>87.731677892610605</c:v>
                </c:pt>
                <c:pt idx="57">
                  <c:v>87.759911725729523</c:v>
                </c:pt>
                <c:pt idx="58">
                  <c:v>87.787139394322296</c:v>
                </c:pt>
                <c:pt idx="59">
                  <c:v>87.752210991841338</c:v>
                </c:pt>
                <c:pt idx="60">
                  <c:v>87.806983051998316</c:v>
                </c:pt>
                <c:pt idx="61">
                  <c:v>87.859261931365808</c:v>
                </c:pt>
                <c:pt idx="62">
                  <c:v>87.909156839141303</c:v>
                </c:pt>
                <c:pt idx="63">
                  <c:v>87.956770566861337</c:v>
                </c:pt>
                <c:pt idx="64">
                  <c:v>88.002199959420324</c:v>
                </c:pt>
                <c:pt idx="65">
                  <c:v>88.045536344900114</c:v>
                </c:pt>
                <c:pt idx="66">
                  <c:v>88.086865927368436</c:v>
                </c:pt>
                <c:pt idx="67">
                  <c:v>88.126270146331038</c:v>
                </c:pt>
                <c:pt idx="68">
                  <c:v>88.1638260061073</c:v>
                </c:pt>
                <c:pt idx="69">
                  <c:v>88.199606378038467</c:v>
                </c:pt>
                <c:pt idx="70">
                  <c:v>88.233680278117845</c:v>
                </c:pt>
                <c:pt idx="71">
                  <c:v>88.266113122354795</c:v>
                </c:pt>
                <c:pt idx="72">
                  <c:v>88.296966961937997</c:v>
                </c:pt>
                <c:pt idx="73">
                  <c:v>88.326300700046502</c:v>
                </c:pt>
                <c:pt idx="74">
                  <c:v>88.354170291966327</c:v>
                </c:pt>
                <c:pt idx="75">
                  <c:v>88.380628930000583</c:v>
                </c:pt>
                <c:pt idx="76">
                  <c:v>88.405727214510961</c:v>
                </c:pt>
                <c:pt idx="77">
                  <c:v>88.429513312295569</c:v>
                </c:pt>
                <c:pt idx="78">
                  <c:v>88.452033103389056</c:v>
                </c:pt>
                <c:pt idx="79">
                  <c:v>88.47333031726599</c:v>
                </c:pt>
                <c:pt idx="80">
                  <c:v>88.493446659333912</c:v>
                </c:pt>
                <c:pt idx="81">
                  <c:v>88.512421928518876</c:v>
                </c:pt>
                <c:pt idx="82">
                  <c:v>88.530294126670512</c:v>
                </c:pt>
                <c:pt idx="83">
                  <c:v>88.547099560447151</c:v>
                </c:pt>
                <c:pt idx="84">
                  <c:v>88.562872936280286</c:v>
                </c:pt>
                <c:pt idx="85">
                  <c:v>88.577647448964157</c:v>
                </c:pt>
                <c:pt idx="86">
                  <c:v>88.591454864366881</c:v>
                </c:pt>
                <c:pt idx="87">
                  <c:v>88.604325596716222</c:v>
                </c:pt>
                <c:pt idx="88">
                  <c:v>88.616288780873063</c:v>
                </c:pt>
                <c:pt idx="89">
                  <c:v>88.627372339969995</c:v>
                </c:pt>
                <c:pt idx="90">
                  <c:v>88.637603048760539</c:v>
                </c:pt>
                <c:pt idx="91">
                  <c:v>88.647006592994998</c:v>
                </c:pt>
                <c:pt idx="92">
                  <c:v>88.65560762511214</c:v>
                </c:pt>
                <c:pt idx="93">
                  <c:v>88.663429816513059</c:v>
                </c:pt>
                <c:pt idx="94">
                  <c:v>88.670495906660364</c:v>
                </c:pt>
                <c:pt idx="95">
                  <c:v>88.676827749227442</c:v>
                </c:pt>
                <c:pt idx="96">
                  <c:v>88.682446355503387</c:v>
                </c:pt>
                <c:pt idx="97">
                  <c:v>88.687371935243902</c:v>
                </c:pt>
                <c:pt idx="98">
                  <c:v>88.69162393514253</c:v>
                </c:pt>
                <c:pt idx="99">
                  <c:v>88.695221075083666</c:v>
                </c:pt>
                <c:pt idx="100">
                  <c:v>88.698181382326453</c:v>
                </c:pt>
              </c:numCache>
            </c:numRef>
          </c:yVal>
          <c:smooth val="0"/>
          <c:extLst>
            <c:ext xmlns:c16="http://schemas.microsoft.com/office/drawing/2014/chart" uri="{C3380CC4-5D6E-409C-BE32-E72D297353CC}">
              <c16:uniqueId val="{00000001-4977-4B15-9E24-FFE9599935A2}"/>
            </c:ext>
          </c:extLst>
        </c:ser>
        <c:dLbls>
          <c:showLegendKey val="0"/>
          <c:showVal val="0"/>
          <c:showCatName val="0"/>
          <c:showSerName val="0"/>
          <c:showPercent val="0"/>
          <c:showBubbleSize val="0"/>
        </c:dLbls>
        <c:axId val="160073600"/>
        <c:axId val="160083968"/>
      </c:scatterChart>
      <c:valAx>
        <c:axId val="160073600"/>
        <c:scaling>
          <c:orientation val="minMax"/>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a:t>Iout (mA)</a:t>
                </a:r>
              </a:p>
            </c:rich>
          </c:tx>
          <c:layout>
            <c:manualLayout>
              <c:xMode val="edge"/>
              <c:yMode val="edge"/>
              <c:x val="0.48181816967535768"/>
              <c:y val="0.94567406346934124"/>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100" b="1" i="0" u="none" strike="noStrike" baseline="0">
                <a:solidFill>
                  <a:srgbClr val="000000"/>
                </a:solidFill>
                <a:latin typeface="Arial"/>
                <a:ea typeface="Arial"/>
                <a:cs typeface="Arial"/>
              </a:defRPr>
            </a:pPr>
            <a:endParaRPr lang="en-US"/>
          </a:p>
        </c:txPr>
        <c:crossAx val="160083968"/>
        <c:crossesAt val="1.0000000000000049E-4"/>
        <c:crossBetween val="midCat"/>
      </c:valAx>
      <c:valAx>
        <c:axId val="160083968"/>
        <c:scaling>
          <c:orientation val="minMax"/>
          <c:max val="95"/>
          <c:min val="65"/>
        </c:scaling>
        <c:delete val="0"/>
        <c:axPos val="l"/>
        <c:majorGridlines>
          <c:spPr>
            <a:ln w="3175">
              <a:solidFill>
                <a:srgbClr val="000000"/>
              </a:solidFill>
              <a:prstDash val="solid"/>
            </a:ln>
          </c:spPr>
        </c:majorGridlines>
        <c:title>
          <c:tx>
            <c:rich>
              <a:bodyPr/>
              <a:lstStyle/>
              <a:p>
                <a:pPr>
                  <a:defRPr sz="1100" b="1" i="0" u="none" strike="noStrike" baseline="0">
                    <a:solidFill>
                      <a:srgbClr val="000000"/>
                    </a:solidFill>
                    <a:latin typeface="Arial"/>
                    <a:ea typeface="Arial"/>
                    <a:cs typeface="Arial"/>
                  </a:defRPr>
                </a:pPr>
                <a:r>
                  <a:rPr lang="en-US" sz="1100"/>
                  <a:t>Efficiency (%)</a:t>
                </a:r>
              </a:p>
            </c:rich>
          </c:tx>
          <c:layout>
            <c:manualLayout>
              <c:xMode val="edge"/>
              <c:yMode val="edge"/>
              <c:x val="8.3198504296552022E-3"/>
              <c:y val="0.3959716521407454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100" b="1" i="0" u="none" strike="noStrike" baseline="0">
                <a:solidFill>
                  <a:srgbClr val="000000"/>
                </a:solidFill>
                <a:latin typeface="Arial"/>
                <a:ea typeface="Arial"/>
                <a:cs typeface="Arial"/>
              </a:defRPr>
            </a:pPr>
            <a:endParaRPr lang="en-US"/>
          </a:p>
        </c:txPr>
        <c:crossAx val="160073600"/>
        <c:crossesAt val="1.0000000000000047E-4"/>
        <c:crossBetween val="midCat"/>
        <c:majorUnit val="5"/>
        <c:minorUnit val="2.5"/>
      </c:valAx>
      <c:spPr>
        <a:solidFill>
          <a:schemeClr val="bg1">
            <a:lumMod val="95000"/>
          </a:schemeClr>
        </a:solidFill>
        <a:ln w="38100">
          <a:solidFill>
            <a:srgbClr val="808080"/>
          </a:solidFill>
          <a:prstDash val="solid"/>
        </a:ln>
      </c:spPr>
    </c:plotArea>
    <c:legend>
      <c:legendPos val="r"/>
      <c:layout>
        <c:manualLayout>
          <c:xMode val="edge"/>
          <c:yMode val="edge"/>
          <c:x val="0.79272673466152466"/>
          <c:y val="0.73153737727228541"/>
          <c:w val="0.15539326668135944"/>
          <c:h val="0.11081121804218916"/>
        </c:manualLayout>
      </c:layout>
      <c:overlay val="0"/>
      <c:spPr>
        <a:solidFill>
          <a:srgbClr val="FFFFFF"/>
        </a:solidFill>
        <a:ln w="3175">
          <a:solidFill>
            <a:srgbClr val="000000"/>
          </a:solidFill>
          <a:prstDash val="solid"/>
        </a:ln>
      </c:spPr>
      <c:txPr>
        <a:bodyPr/>
        <a:lstStyle/>
        <a:p>
          <a:pPr>
            <a:defRPr sz="9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noFill/>
      <a:prstDash val="solid"/>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000000000000211" r="0.75000000000000211" t="1" header="0.5" footer="0.5"/>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P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25" b="1" i="0" u="none" strike="noStrike" baseline="0">
                <a:solidFill>
                  <a:srgbClr val="000000"/>
                </a:solidFill>
                <a:latin typeface="Arial"/>
                <a:ea typeface="Arial"/>
                <a:cs typeface="Arial"/>
              </a:defRPr>
            </a:pPr>
            <a:r>
              <a:rPr lang="en-US"/>
              <a:t>Switching Frequency vs. Output Current</a:t>
            </a:r>
          </a:p>
        </c:rich>
      </c:tx>
      <c:layout>
        <c:manualLayout>
          <c:xMode val="edge"/>
          <c:yMode val="edge"/>
          <c:x val="0.35748349959793974"/>
          <c:y val="3.6508881865404873E-2"/>
        </c:manualLayout>
      </c:layout>
      <c:overlay val="0"/>
      <c:spPr>
        <a:noFill/>
        <a:ln w="25400">
          <a:noFill/>
        </a:ln>
      </c:spPr>
    </c:title>
    <c:autoTitleDeleted val="0"/>
    <c:plotArea>
      <c:layout>
        <c:manualLayout>
          <c:layoutTarget val="inner"/>
          <c:xMode val="edge"/>
          <c:yMode val="edge"/>
          <c:x val="9.0605764978420433E-2"/>
          <c:y val="0.13615023474178403"/>
          <c:w val="0.87442181767902227"/>
          <c:h val="0.71478719452411865"/>
        </c:manualLayout>
      </c:layout>
      <c:scatterChart>
        <c:scatterStyle val="lineMarker"/>
        <c:varyColors val="0"/>
        <c:ser>
          <c:idx val="2"/>
          <c:order val="0"/>
          <c:tx>
            <c:strRef>
              <c:f>'COT Efficiency'!$BN$5</c:f>
              <c:strCache>
                <c:ptCount val="1"/>
                <c:pt idx="0">
                  <c:v>Frequency (kHz)</c:v>
                </c:pt>
              </c:strCache>
            </c:strRef>
          </c:tx>
          <c:spPr>
            <a:ln w="25400">
              <a:solidFill>
                <a:srgbClr val="0070C0"/>
              </a:solidFill>
            </a:ln>
          </c:spPr>
          <c:marker>
            <c:symbol val="none"/>
          </c:marker>
          <c:xVal>
            <c:numRef>
              <c:f>'COT Efficiency'!$BK$6:$BK$106</c:f>
              <c:numCache>
                <c:formatCode>0.000</c:formatCode>
                <c:ptCount val="101"/>
                <c:pt idx="0">
                  <c:v>0.15</c:v>
                </c:pt>
                <c:pt idx="1">
                  <c:v>1.5</c:v>
                </c:pt>
                <c:pt idx="2">
                  <c:v>3</c:v>
                </c:pt>
                <c:pt idx="3">
                  <c:v>4.5</c:v>
                </c:pt>
                <c:pt idx="4">
                  <c:v>6</c:v>
                </c:pt>
                <c:pt idx="5">
                  <c:v>7.5</c:v>
                </c:pt>
                <c:pt idx="6">
                  <c:v>9</c:v>
                </c:pt>
                <c:pt idx="7">
                  <c:v>10.5</c:v>
                </c:pt>
                <c:pt idx="8">
                  <c:v>12</c:v>
                </c:pt>
                <c:pt idx="9">
                  <c:v>13.5</c:v>
                </c:pt>
                <c:pt idx="10">
                  <c:v>15</c:v>
                </c:pt>
                <c:pt idx="11">
                  <c:v>16.5</c:v>
                </c:pt>
                <c:pt idx="12">
                  <c:v>18</c:v>
                </c:pt>
                <c:pt idx="13">
                  <c:v>19.5</c:v>
                </c:pt>
                <c:pt idx="14">
                  <c:v>21</c:v>
                </c:pt>
                <c:pt idx="15">
                  <c:v>22.5</c:v>
                </c:pt>
                <c:pt idx="16">
                  <c:v>24</c:v>
                </c:pt>
                <c:pt idx="17">
                  <c:v>25.500000000000004</c:v>
                </c:pt>
                <c:pt idx="18">
                  <c:v>27</c:v>
                </c:pt>
                <c:pt idx="19">
                  <c:v>28.499999999999996</c:v>
                </c:pt>
                <c:pt idx="20">
                  <c:v>30</c:v>
                </c:pt>
                <c:pt idx="21">
                  <c:v>31.5</c:v>
                </c:pt>
                <c:pt idx="22">
                  <c:v>33</c:v>
                </c:pt>
                <c:pt idx="23">
                  <c:v>34.5</c:v>
                </c:pt>
                <c:pt idx="24">
                  <c:v>36</c:v>
                </c:pt>
                <c:pt idx="25">
                  <c:v>37.5</c:v>
                </c:pt>
                <c:pt idx="26">
                  <c:v>39</c:v>
                </c:pt>
                <c:pt idx="27">
                  <c:v>40.5</c:v>
                </c:pt>
                <c:pt idx="28">
                  <c:v>42</c:v>
                </c:pt>
                <c:pt idx="29">
                  <c:v>43.5</c:v>
                </c:pt>
                <c:pt idx="30">
                  <c:v>45</c:v>
                </c:pt>
                <c:pt idx="31">
                  <c:v>46.5</c:v>
                </c:pt>
                <c:pt idx="32">
                  <c:v>48</c:v>
                </c:pt>
                <c:pt idx="33">
                  <c:v>49.5</c:v>
                </c:pt>
                <c:pt idx="34">
                  <c:v>51.000000000000007</c:v>
                </c:pt>
                <c:pt idx="35">
                  <c:v>52.5</c:v>
                </c:pt>
                <c:pt idx="36">
                  <c:v>54</c:v>
                </c:pt>
                <c:pt idx="37">
                  <c:v>55.5</c:v>
                </c:pt>
                <c:pt idx="38">
                  <c:v>56.999999999999993</c:v>
                </c:pt>
                <c:pt idx="39">
                  <c:v>58.5</c:v>
                </c:pt>
                <c:pt idx="40">
                  <c:v>60</c:v>
                </c:pt>
                <c:pt idx="41">
                  <c:v>61.499999999999993</c:v>
                </c:pt>
                <c:pt idx="42">
                  <c:v>63</c:v>
                </c:pt>
                <c:pt idx="43">
                  <c:v>64.5</c:v>
                </c:pt>
                <c:pt idx="44">
                  <c:v>66</c:v>
                </c:pt>
                <c:pt idx="45">
                  <c:v>67.5</c:v>
                </c:pt>
                <c:pt idx="46">
                  <c:v>69</c:v>
                </c:pt>
                <c:pt idx="47">
                  <c:v>70.5</c:v>
                </c:pt>
                <c:pt idx="48">
                  <c:v>72</c:v>
                </c:pt>
                <c:pt idx="49">
                  <c:v>73.5</c:v>
                </c:pt>
                <c:pt idx="50">
                  <c:v>75</c:v>
                </c:pt>
                <c:pt idx="51">
                  <c:v>76.5</c:v>
                </c:pt>
                <c:pt idx="52">
                  <c:v>78</c:v>
                </c:pt>
                <c:pt idx="53">
                  <c:v>79.5</c:v>
                </c:pt>
                <c:pt idx="54">
                  <c:v>81</c:v>
                </c:pt>
                <c:pt idx="55">
                  <c:v>82.5</c:v>
                </c:pt>
                <c:pt idx="56">
                  <c:v>84</c:v>
                </c:pt>
                <c:pt idx="57">
                  <c:v>85.499999999999986</c:v>
                </c:pt>
                <c:pt idx="58">
                  <c:v>87</c:v>
                </c:pt>
                <c:pt idx="59">
                  <c:v>88.5</c:v>
                </c:pt>
                <c:pt idx="60">
                  <c:v>90</c:v>
                </c:pt>
                <c:pt idx="61">
                  <c:v>91.5</c:v>
                </c:pt>
                <c:pt idx="62">
                  <c:v>93</c:v>
                </c:pt>
                <c:pt idx="63">
                  <c:v>94.5</c:v>
                </c:pt>
                <c:pt idx="64">
                  <c:v>96</c:v>
                </c:pt>
                <c:pt idx="65">
                  <c:v>97.5</c:v>
                </c:pt>
                <c:pt idx="66">
                  <c:v>99</c:v>
                </c:pt>
                <c:pt idx="67">
                  <c:v>100.5</c:v>
                </c:pt>
                <c:pt idx="68">
                  <c:v>102.00000000000001</c:v>
                </c:pt>
                <c:pt idx="69">
                  <c:v>103.5</c:v>
                </c:pt>
                <c:pt idx="70">
                  <c:v>105</c:v>
                </c:pt>
                <c:pt idx="71">
                  <c:v>106.5</c:v>
                </c:pt>
                <c:pt idx="72">
                  <c:v>108</c:v>
                </c:pt>
                <c:pt idx="73">
                  <c:v>109.5</c:v>
                </c:pt>
                <c:pt idx="74">
                  <c:v>111</c:v>
                </c:pt>
                <c:pt idx="75">
                  <c:v>112.49999999999999</c:v>
                </c:pt>
                <c:pt idx="76">
                  <c:v>113.99999999999999</c:v>
                </c:pt>
                <c:pt idx="77">
                  <c:v>115.49999999999999</c:v>
                </c:pt>
                <c:pt idx="78">
                  <c:v>117</c:v>
                </c:pt>
                <c:pt idx="79">
                  <c:v>118.5</c:v>
                </c:pt>
                <c:pt idx="80">
                  <c:v>120</c:v>
                </c:pt>
                <c:pt idx="81">
                  <c:v>121.5</c:v>
                </c:pt>
                <c:pt idx="82">
                  <c:v>122.99999999999999</c:v>
                </c:pt>
                <c:pt idx="83">
                  <c:v>124.49999999999999</c:v>
                </c:pt>
                <c:pt idx="84">
                  <c:v>126</c:v>
                </c:pt>
                <c:pt idx="85">
                  <c:v>127.5</c:v>
                </c:pt>
                <c:pt idx="86">
                  <c:v>129</c:v>
                </c:pt>
                <c:pt idx="87">
                  <c:v>130.5</c:v>
                </c:pt>
                <c:pt idx="88">
                  <c:v>132</c:v>
                </c:pt>
                <c:pt idx="89">
                  <c:v>133.5</c:v>
                </c:pt>
                <c:pt idx="90">
                  <c:v>135</c:v>
                </c:pt>
                <c:pt idx="91">
                  <c:v>136.5</c:v>
                </c:pt>
                <c:pt idx="92">
                  <c:v>138</c:v>
                </c:pt>
                <c:pt idx="93">
                  <c:v>139.5</c:v>
                </c:pt>
                <c:pt idx="94">
                  <c:v>141</c:v>
                </c:pt>
                <c:pt idx="95">
                  <c:v>142.5</c:v>
                </c:pt>
                <c:pt idx="96">
                  <c:v>144</c:v>
                </c:pt>
                <c:pt idx="97">
                  <c:v>145.5</c:v>
                </c:pt>
                <c:pt idx="98">
                  <c:v>147</c:v>
                </c:pt>
                <c:pt idx="99">
                  <c:v>148.5</c:v>
                </c:pt>
                <c:pt idx="100">
                  <c:v>150</c:v>
                </c:pt>
              </c:numCache>
            </c:numRef>
          </c:xVal>
          <c:yVal>
            <c:numRef>
              <c:f>'COT Efficiency'!$BN$6:$BN$106</c:f>
              <c:numCache>
                <c:formatCode>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extLst>
            <c:ext xmlns:c16="http://schemas.microsoft.com/office/drawing/2014/chart" uri="{C3380CC4-5D6E-409C-BE32-E72D297353CC}">
              <c16:uniqueId val="{00000000-A180-4B52-82F0-01EE05FB3CD6}"/>
            </c:ext>
          </c:extLst>
        </c:ser>
        <c:dLbls>
          <c:showLegendKey val="0"/>
          <c:showVal val="0"/>
          <c:showCatName val="0"/>
          <c:showSerName val="0"/>
          <c:showPercent val="0"/>
          <c:showBubbleSize val="0"/>
        </c:dLbls>
        <c:axId val="160125312"/>
        <c:axId val="160127232"/>
      </c:scatterChart>
      <c:valAx>
        <c:axId val="160125312"/>
        <c:scaling>
          <c:orientation val="minMax"/>
        </c:scaling>
        <c:delete val="0"/>
        <c:axPos val="b"/>
        <c:majorGridlines/>
        <c:minorGridlines/>
        <c:title>
          <c:tx>
            <c:rich>
              <a:bodyPr/>
              <a:lstStyle/>
              <a:p>
                <a:pPr>
                  <a:defRPr sz="1100" b="1" i="0" u="none" strike="noStrike" baseline="0">
                    <a:solidFill>
                      <a:srgbClr val="000000"/>
                    </a:solidFill>
                    <a:latin typeface="Arial"/>
                    <a:ea typeface="Arial"/>
                    <a:cs typeface="Arial"/>
                  </a:defRPr>
                </a:pPr>
                <a:r>
                  <a:rPr lang="en-US" sz="1100"/>
                  <a:t>Iout (mA)</a:t>
                </a:r>
              </a:p>
            </c:rich>
          </c:tx>
          <c:layout>
            <c:manualLayout>
              <c:xMode val="edge"/>
              <c:yMode val="edge"/>
              <c:x val="0.4845144356955382"/>
              <c:y val="0.93329971804568546"/>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60127232"/>
        <c:crossesAt val="1.0000000000000049E-4"/>
        <c:crossBetween val="midCat"/>
        <c:minorUnit val="20"/>
      </c:valAx>
      <c:valAx>
        <c:axId val="160127232"/>
        <c:scaling>
          <c:orientation val="minMax"/>
          <c:min val="0"/>
        </c:scaling>
        <c:delete val="0"/>
        <c:axPos val="l"/>
        <c:majorGridlines>
          <c:spPr>
            <a:ln w="3175">
              <a:solidFill>
                <a:srgbClr val="000000"/>
              </a:solidFill>
              <a:prstDash val="solid"/>
            </a:ln>
          </c:spPr>
        </c:majorGridlines>
        <c:minorGridlines/>
        <c:title>
          <c:tx>
            <c:rich>
              <a:bodyPr/>
              <a:lstStyle/>
              <a:p>
                <a:pPr>
                  <a:defRPr sz="1100" b="1" i="0" u="none" strike="noStrike" baseline="0">
                    <a:solidFill>
                      <a:srgbClr val="000000"/>
                    </a:solidFill>
                    <a:latin typeface="Arial"/>
                    <a:ea typeface="Arial"/>
                    <a:cs typeface="Arial"/>
                  </a:defRPr>
                </a:pPr>
                <a:r>
                  <a:rPr lang="en-US" sz="1100"/>
                  <a:t>Frequency ( kHz)</a:t>
                </a:r>
              </a:p>
            </c:rich>
          </c:tx>
          <c:layout>
            <c:manualLayout>
              <c:xMode val="edge"/>
              <c:yMode val="edge"/>
              <c:x val="1.3628253084416517E-2"/>
              <c:y val="0.35046178392434163"/>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60125312"/>
        <c:crossesAt val="1.0000000000000049E-4"/>
        <c:crossBetween val="midCat"/>
        <c:minorUnit val="25"/>
      </c:valAx>
      <c:spPr>
        <a:solidFill>
          <a:sysClr val="window" lastClr="FFFFFF">
            <a:lumMod val="95000"/>
          </a:sysClr>
        </a:solidFill>
        <a:ln w="12700">
          <a:solidFill>
            <a:srgbClr val="808080"/>
          </a:solidFill>
          <a:prstDash val="solid"/>
        </a:ln>
      </c:spPr>
    </c:plotArea>
    <c:legend>
      <c:legendPos val="r"/>
      <c:layout>
        <c:manualLayout>
          <c:xMode val="edge"/>
          <c:yMode val="edge"/>
          <c:x val="0.62856144066590369"/>
          <c:y val="0.75256517529276357"/>
          <c:w val="0.18663630645764842"/>
          <c:h val="6.7668304802966914E-2"/>
        </c:manualLayout>
      </c:layout>
      <c:overlay val="0"/>
      <c:spPr>
        <a:solidFill>
          <a:srgbClr val="FFFFFF"/>
        </a:solidFill>
        <a:ln w="3175">
          <a:solidFill>
            <a:srgbClr val="000000"/>
          </a:solidFill>
          <a:prstDash val="solid"/>
        </a:ln>
      </c:spPr>
      <c:txPr>
        <a:bodyPr/>
        <a:lstStyle/>
        <a:p>
          <a:pPr>
            <a:defRPr sz="11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000000000000222" r="0.75000000000000222" t="1"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P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t>Breakdown of </a:t>
            </a:r>
            <a:r>
              <a:rPr lang="en-US" sz="1800" b="1" i="0" baseline="0">
                <a:solidFill>
                  <a:srgbClr val="FF0000"/>
                </a:solidFill>
              </a:rPr>
              <a:t>COT</a:t>
            </a:r>
            <a:r>
              <a:rPr lang="en-US" sz="1800" b="1" i="0" baseline="0"/>
              <a:t> Efficiency Losses (</a:t>
            </a:r>
            <a:r>
              <a:rPr lang="en-US" sz="1800" b="1" i="0" u="none" strike="noStrike" baseline="0"/>
              <a:t>I</a:t>
            </a:r>
            <a:r>
              <a:rPr lang="en-US" sz="1800" b="1" i="0" u="none" strike="noStrike" baseline="-25000"/>
              <a:t>OUT</a:t>
            </a:r>
            <a:r>
              <a:rPr lang="en-US" sz="1800" b="1" i="0" u="none" strike="noStrike" baseline="0"/>
              <a:t> = </a:t>
            </a:r>
            <a:r>
              <a:rPr lang="en-US" sz="1800" b="1" i="0" baseline="0"/>
              <a:t>100mA)</a:t>
            </a:r>
            <a:endParaRPr lang="en-US" sz="1800"/>
          </a:p>
        </c:rich>
      </c:tx>
      <c:layout>
        <c:manualLayout>
          <c:xMode val="edge"/>
          <c:yMode val="edge"/>
          <c:x val="0.32963167587477016"/>
          <c:y val="3.5906642728904876E-2"/>
        </c:manualLayout>
      </c:layout>
      <c:overlay val="0"/>
    </c:title>
    <c:autoTitleDeleted val="0"/>
    <c:plotArea>
      <c:layout>
        <c:manualLayout>
          <c:layoutTarget val="inner"/>
          <c:xMode val="edge"/>
          <c:yMode val="edge"/>
          <c:x val="9.2844202898550721E-2"/>
          <c:y val="0.14821658962288614"/>
          <c:w val="0.89442960513913661"/>
          <c:h val="0.76382419881536368"/>
        </c:manualLayout>
      </c:layout>
      <c:barChart>
        <c:barDir val="col"/>
        <c:grouping val="clustered"/>
        <c:varyColors val="0"/>
        <c:ser>
          <c:idx val="6"/>
          <c:order val="0"/>
          <c:tx>
            <c:strRef>
              <c:f>'COT Efficiency'!$AX$5</c:f>
              <c:strCache>
                <c:ptCount val="1"/>
                <c:pt idx="0">
                  <c:v>High-side MOSFET Rdson %</c:v>
                </c:pt>
              </c:strCache>
            </c:strRef>
          </c:tx>
          <c:spPr>
            <a:solidFill>
              <a:srgbClr val="FF0000"/>
            </a:solidFill>
            <a:ln w="12700">
              <a:solidFill>
                <a:srgbClr val="000000"/>
              </a:solidFill>
              <a:prstDash val="solid"/>
            </a:ln>
          </c:spPr>
          <c:invertIfNegative val="0"/>
          <c:dLbls>
            <c:dLbl>
              <c:idx val="0"/>
              <c:tx>
                <c:rich>
                  <a:bodyPr/>
                  <a:lstStyle/>
                  <a:p>
                    <a:r>
                      <a:rPr lang="en-US"/>
                      <a:t>High-side MOSFET</a:t>
                    </a:r>
                  </a:p>
                  <a:p>
                    <a:r>
                      <a:rPr lang="en-US"/>
                      <a:t>Rdson</a:t>
                    </a:r>
                  </a:p>
                </c:rich>
              </c:tx>
              <c:dLblPos val="outEnd"/>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B209-46AD-B858-E1CACB7FAB7B}"/>
                </c:ext>
              </c:extLst>
            </c:dLbl>
            <c:spPr>
              <a:noFill/>
              <a:ln>
                <a:noFill/>
              </a:ln>
              <a:effectLst/>
            </c:spPr>
            <c:txPr>
              <a:bodyPr/>
              <a:lstStyle/>
              <a:p>
                <a:pPr>
                  <a:defRPr sz="1200" b="1"/>
                </a:pPr>
                <a:endParaRPr lang="en-US"/>
              </a:p>
            </c:txPr>
            <c:dLblPos val="outEnd"/>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'COT Efficiency'!$AX$109</c:f>
              <c:numCache>
                <c:formatCode>0.000%</c:formatCode>
                <c:ptCount val="1"/>
                <c:pt idx="0">
                  <c:v>8.1000709018000279E-3</c:v>
                </c:pt>
              </c:numCache>
            </c:numRef>
          </c:val>
          <c:extLst>
            <c:ext xmlns:c16="http://schemas.microsoft.com/office/drawing/2014/chart" uri="{C3380CC4-5D6E-409C-BE32-E72D297353CC}">
              <c16:uniqueId val="{00000001-B209-46AD-B858-E1CACB7FAB7B}"/>
            </c:ext>
          </c:extLst>
        </c:ser>
        <c:ser>
          <c:idx val="5"/>
          <c:order val="1"/>
          <c:tx>
            <c:strRef>
              <c:f>'COT Efficiency'!$BA$5</c:f>
              <c:strCache>
                <c:ptCount val="1"/>
                <c:pt idx="0">
                  <c:v>High-side MOSFET Switching Loss %</c:v>
                </c:pt>
              </c:strCache>
            </c:strRef>
          </c:tx>
          <c:spPr>
            <a:solidFill>
              <a:srgbClr val="0000FF"/>
            </a:solidFill>
            <a:ln w="12700">
              <a:solidFill>
                <a:srgbClr val="000000"/>
              </a:solidFill>
              <a:prstDash val="solid"/>
            </a:ln>
          </c:spPr>
          <c:invertIfNegative val="0"/>
          <c:dLbls>
            <c:dLbl>
              <c:idx val="0"/>
              <c:layout>
                <c:manualLayout>
                  <c:x val="-9.2081031307550637E-4"/>
                  <c:y val="-7.1813285457809741E-3"/>
                </c:manualLayout>
              </c:layout>
              <c:tx>
                <c:rich>
                  <a:bodyPr/>
                  <a:lstStyle/>
                  <a:p>
                    <a:r>
                      <a:rPr lang="en-US"/>
                      <a:t>High-side MOSFET</a:t>
                    </a:r>
                  </a:p>
                  <a:p>
                    <a:r>
                      <a:rPr lang="en-US"/>
                      <a:t>Switching</a:t>
                    </a:r>
                  </a:p>
                </c:rich>
              </c:tx>
              <c:dLblPos val="outEnd"/>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B209-46AD-B858-E1CACB7FAB7B}"/>
                </c:ext>
              </c:extLst>
            </c:dLbl>
            <c:spPr>
              <a:noFill/>
              <a:ln>
                <a:noFill/>
              </a:ln>
              <a:effectLst/>
            </c:spPr>
            <c:txPr>
              <a:bodyPr/>
              <a:lstStyle/>
              <a:p>
                <a:pPr>
                  <a:defRPr sz="1200" b="1"/>
                </a:pPr>
                <a:endParaRPr lang="en-US"/>
              </a:p>
            </c:txPr>
            <c:dLblPos val="outEnd"/>
            <c:showLegendKey val="0"/>
            <c:showVal val="0"/>
            <c:showCatName val="0"/>
            <c:showSerName val="0"/>
            <c:showPercent val="0"/>
            <c:showBubbleSize val="0"/>
            <c:extLst>
              <c:ext xmlns:c15="http://schemas.microsoft.com/office/drawing/2012/chart" uri="{CE6537A1-D6FC-4f65-9D91-7224C49458BB}">
                <c15:showLeaderLines val="0"/>
              </c:ext>
            </c:extLst>
          </c:dLbls>
          <c:val>
            <c:numRef>
              <c:f>'COT Efficiency'!$BA$109</c:f>
              <c:numCache>
                <c:formatCode>0.000%</c:formatCode>
                <c:ptCount val="1"/>
                <c:pt idx="0">
                  <c:v>9.9057039827182662E-3</c:v>
                </c:pt>
              </c:numCache>
            </c:numRef>
          </c:val>
          <c:extLst>
            <c:ext xmlns:c16="http://schemas.microsoft.com/office/drawing/2014/chart" uri="{C3380CC4-5D6E-409C-BE32-E72D297353CC}">
              <c16:uniqueId val="{00000003-B209-46AD-B858-E1CACB7FAB7B}"/>
            </c:ext>
          </c:extLst>
        </c:ser>
        <c:ser>
          <c:idx val="7"/>
          <c:order val="2"/>
          <c:tx>
            <c:strRef>
              <c:f>'COT Efficiency'!$AY$5</c:f>
              <c:strCache>
                <c:ptCount val="1"/>
                <c:pt idx="0">
                  <c:v>Low-side MOSFET Rdson %</c:v>
                </c:pt>
              </c:strCache>
            </c:strRef>
          </c:tx>
          <c:spPr>
            <a:solidFill>
              <a:srgbClr val="FF6600"/>
            </a:solidFill>
            <a:ln w="12700">
              <a:solidFill>
                <a:srgbClr val="000000"/>
              </a:solidFill>
              <a:prstDash val="solid"/>
            </a:ln>
          </c:spPr>
          <c:invertIfNegative val="0"/>
          <c:dLbls>
            <c:dLbl>
              <c:idx val="0"/>
              <c:tx>
                <c:rich>
                  <a:bodyPr/>
                  <a:lstStyle/>
                  <a:p>
                    <a:r>
                      <a:rPr lang="en-US" sz="1200" b="1"/>
                      <a:t>L</a:t>
                    </a:r>
                    <a:r>
                      <a:rPr lang="en-US" sz="1200"/>
                      <a:t>ow-side MOSFET</a:t>
                    </a:r>
                  </a:p>
                  <a:p>
                    <a:r>
                      <a:rPr lang="en-US" sz="1200"/>
                      <a:t>Rdson</a:t>
                    </a:r>
                  </a:p>
                </c:rich>
              </c:tx>
              <c:dLblPos val="outEnd"/>
              <c:showLegendKey val="0"/>
              <c:showVal val="1"/>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B209-46AD-B858-E1CACB7FAB7B}"/>
                </c:ext>
              </c:extLst>
            </c:dLbl>
            <c:spPr>
              <a:noFill/>
              <a:ln>
                <a:noFill/>
              </a:ln>
              <a:effectLst/>
            </c:spPr>
            <c:txPr>
              <a:bodyPr/>
              <a:lstStyle/>
              <a:p>
                <a:pPr>
                  <a:defRPr b="1"/>
                </a:pPr>
                <a:endParaRPr lang="en-US"/>
              </a:p>
            </c:txPr>
            <c:dLblPos val="outEnd"/>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val>
            <c:numRef>
              <c:f>'COT Efficiency'!$AY$109</c:f>
              <c:numCache>
                <c:formatCode>0.000%</c:formatCode>
                <c:ptCount val="1"/>
                <c:pt idx="0">
                  <c:v>1.4614802049391215E-2</c:v>
                </c:pt>
              </c:numCache>
            </c:numRef>
          </c:val>
          <c:extLst>
            <c:ext xmlns:c16="http://schemas.microsoft.com/office/drawing/2014/chart" uri="{C3380CC4-5D6E-409C-BE32-E72D297353CC}">
              <c16:uniqueId val="{00000005-B209-46AD-B858-E1CACB7FAB7B}"/>
            </c:ext>
          </c:extLst>
        </c:ser>
        <c:ser>
          <c:idx val="3"/>
          <c:order val="3"/>
          <c:tx>
            <c:strRef>
              <c:f>'COT Efficiency'!$BC$5</c:f>
              <c:strCache>
                <c:ptCount val="1"/>
                <c:pt idx="0">
                  <c:v>Deadtime Loss %</c:v>
                </c:pt>
              </c:strCache>
            </c:strRef>
          </c:tx>
          <c:spPr>
            <a:solidFill>
              <a:srgbClr val="666699"/>
            </a:solidFill>
            <a:ln w="12700">
              <a:solidFill>
                <a:srgbClr val="000000"/>
              </a:solidFill>
              <a:prstDash val="solid"/>
            </a:ln>
          </c:spPr>
          <c:invertIfNegative val="0"/>
          <c:dLbls>
            <c:dLbl>
              <c:idx val="0"/>
              <c:layout>
                <c:manualLayout>
                  <c:x val="0"/>
                  <c:y val="-9.5751047277079695E-3"/>
                </c:manualLayout>
              </c:layout>
              <c:tx>
                <c:rich>
                  <a:bodyPr/>
                  <a:lstStyle/>
                  <a:p>
                    <a:r>
                      <a:rPr lang="en-US"/>
                      <a:t>Low-side MOSFET</a:t>
                    </a:r>
                  </a:p>
                  <a:p>
                    <a:r>
                      <a:rPr lang="en-US"/>
                      <a:t>Deadtime </a:t>
                    </a:r>
                  </a:p>
                </c:rich>
              </c:tx>
              <c:dLblPos val="outEnd"/>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B209-46AD-B858-E1CACB7FAB7B}"/>
                </c:ext>
              </c:extLst>
            </c:dLbl>
            <c:spPr>
              <a:noFill/>
              <a:ln>
                <a:noFill/>
              </a:ln>
              <a:effectLst/>
            </c:spPr>
            <c:txPr>
              <a:bodyPr/>
              <a:lstStyle/>
              <a:p>
                <a:pPr>
                  <a:defRPr sz="1200" b="1"/>
                </a:pPr>
                <a:endParaRPr lang="en-US"/>
              </a:p>
            </c:txPr>
            <c:dLblPos val="outEnd"/>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'COT Efficiency'!$BC$109</c:f>
              <c:numCache>
                <c:formatCode>0.000%</c:formatCode>
                <c:ptCount val="1"/>
                <c:pt idx="0">
                  <c:v>1.6465542803473395E-3</c:v>
                </c:pt>
              </c:numCache>
            </c:numRef>
          </c:val>
          <c:extLst>
            <c:ext xmlns:c16="http://schemas.microsoft.com/office/drawing/2014/chart" uri="{C3380CC4-5D6E-409C-BE32-E72D297353CC}">
              <c16:uniqueId val="{00000007-B209-46AD-B858-E1CACB7FAB7B}"/>
            </c:ext>
          </c:extLst>
        </c:ser>
        <c:ser>
          <c:idx val="2"/>
          <c:order val="4"/>
          <c:tx>
            <c:strRef>
              <c:f>'COT Efficiency'!$AZ$5</c:f>
              <c:strCache>
                <c:ptCount val="1"/>
                <c:pt idx="0">
                  <c:v>Gate Drive (Qg) Loss from Vin %</c:v>
                </c:pt>
              </c:strCache>
            </c:strRef>
          </c:tx>
          <c:spPr>
            <a:solidFill>
              <a:srgbClr val="00FFFF"/>
            </a:solidFill>
            <a:ln w="12700">
              <a:solidFill>
                <a:srgbClr val="000000"/>
              </a:solidFill>
              <a:prstDash val="solid"/>
            </a:ln>
          </c:spPr>
          <c:invertIfNegative val="0"/>
          <c:dLbls>
            <c:dLbl>
              <c:idx val="0"/>
              <c:tx>
                <c:rich>
                  <a:bodyPr/>
                  <a:lstStyle/>
                  <a:p>
                    <a:r>
                      <a:rPr lang="en-US"/>
                      <a:t>Gate Drive (Qg)</a:t>
                    </a:r>
                  </a:p>
                  <a:p>
                    <a:r>
                      <a:rPr lang="en-US"/>
                      <a:t>Loss</a:t>
                    </a:r>
                  </a:p>
                </c:rich>
              </c:tx>
              <c:dLblPos val="outEnd"/>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B209-46AD-B858-E1CACB7FAB7B}"/>
                </c:ext>
              </c:extLst>
            </c:dLbl>
            <c:spPr>
              <a:noFill/>
              <a:ln>
                <a:noFill/>
              </a:ln>
              <a:effectLst/>
            </c:spPr>
            <c:txPr>
              <a:bodyPr rot="0" vert="horz"/>
              <a:lstStyle/>
              <a:p>
                <a:pPr>
                  <a:defRPr sz="1200" b="1"/>
                </a:pPr>
                <a:endParaRPr lang="en-US"/>
              </a:p>
            </c:txPr>
            <c:dLblPos val="outEnd"/>
            <c:showLegendKey val="0"/>
            <c:showVal val="0"/>
            <c:showCatName val="0"/>
            <c:showSerName val="0"/>
            <c:showPercent val="0"/>
            <c:showBubbleSize val="0"/>
            <c:extLst>
              <c:ext xmlns:c15="http://schemas.microsoft.com/office/drawing/2012/chart" uri="{CE6537A1-D6FC-4f65-9D91-7224C49458BB}">
                <c15:showLeaderLines val="0"/>
              </c:ext>
            </c:extLst>
          </c:dLbls>
          <c:val>
            <c:numRef>
              <c:f>'COT Efficiency'!$AZ$109</c:f>
              <c:numCache>
                <c:formatCode>0.000%</c:formatCode>
                <c:ptCount val="1"/>
                <c:pt idx="0">
                  <c:v>2.4831534664325892E-2</c:v>
                </c:pt>
              </c:numCache>
            </c:numRef>
          </c:val>
          <c:extLst>
            <c:ext xmlns:c16="http://schemas.microsoft.com/office/drawing/2014/chart" uri="{C3380CC4-5D6E-409C-BE32-E72D297353CC}">
              <c16:uniqueId val="{00000009-B209-46AD-B858-E1CACB7FAB7B}"/>
            </c:ext>
          </c:extLst>
        </c:ser>
        <c:ser>
          <c:idx val="1"/>
          <c:order val="5"/>
          <c:tx>
            <c:strRef>
              <c:f>'COT Efficiency'!$BB$5</c:f>
              <c:strCache>
                <c:ptCount val="1"/>
                <c:pt idx="0">
                  <c:v>Reverse Recovery &amp; Leakage Loss %</c:v>
                </c:pt>
              </c:strCache>
            </c:strRef>
          </c:tx>
          <c:invertIfNegative val="0"/>
          <c:dLbls>
            <c:dLbl>
              <c:idx val="0"/>
              <c:tx>
                <c:rich>
                  <a:bodyPr/>
                  <a:lstStyle/>
                  <a:p>
                    <a:r>
                      <a:rPr lang="en-US" sz="1200" b="1"/>
                      <a:t>Reverse Recovery</a:t>
                    </a:r>
                  </a:p>
                  <a:p>
                    <a:r>
                      <a:rPr lang="en-US" sz="1200" b="1"/>
                      <a:t>Loss</a:t>
                    </a:r>
                  </a:p>
                </c:rich>
              </c:tx>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B209-46AD-B858-E1CACB7FAB7B}"/>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'COT Efficiency'!$BB$109</c:f>
              <c:numCache>
                <c:formatCode>0.000%</c:formatCode>
                <c:ptCount val="1"/>
                <c:pt idx="0">
                  <c:v>1.1631608311305648E-2</c:v>
                </c:pt>
              </c:numCache>
            </c:numRef>
          </c:val>
          <c:extLst>
            <c:ext xmlns:c16="http://schemas.microsoft.com/office/drawing/2014/chart" uri="{C3380CC4-5D6E-409C-BE32-E72D297353CC}">
              <c16:uniqueId val="{0000000B-B209-46AD-B858-E1CACB7FAB7B}"/>
            </c:ext>
          </c:extLst>
        </c:ser>
        <c:ser>
          <c:idx val="8"/>
          <c:order val="6"/>
          <c:tx>
            <c:strRef>
              <c:f>'COT Efficiency'!$BD$5</c:f>
              <c:strCache>
                <c:ptCount val="1"/>
                <c:pt idx="0">
                  <c:v>Inductor Cu Loss %</c:v>
                </c:pt>
              </c:strCache>
            </c:strRef>
          </c:tx>
          <c:spPr>
            <a:solidFill>
              <a:srgbClr val="00FF00"/>
            </a:solidFill>
            <a:ln w="12700">
              <a:solidFill>
                <a:srgbClr val="000000"/>
              </a:solidFill>
              <a:prstDash val="solid"/>
            </a:ln>
          </c:spPr>
          <c:invertIfNegative val="0"/>
          <c:dLbls>
            <c:dLbl>
              <c:idx val="0"/>
              <c:tx>
                <c:rich>
                  <a:bodyPr/>
                  <a:lstStyle/>
                  <a:p>
                    <a:r>
                      <a:rPr lang="en-US"/>
                      <a:t>Inductor DCR</a:t>
                    </a:r>
                  </a:p>
                  <a:p>
                    <a:r>
                      <a:rPr lang="en-US"/>
                      <a:t>Loss</a:t>
                    </a:r>
                  </a:p>
                </c:rich>
              </c:tx>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B209-46AD-B858-E1CACB7FAB7B}"/>
                </c:ext>
              </c:extLst>
            </c:dLbl>
            <c:spPr>
              <a:noFill/>
              <a:ln>
                <a:noFill/>
              </a:ln>
              <a:effectLst/>
            </c:spPr>
            <c:txPr>
              <a:bodyPr/>
              <a:lstStyle/>
              <a:p>
                <a:pPr>
                  <a:defRPr sz="1200" b="1"/>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val>
            <c:numRef>
              <c:f>'COT Efficiency'!$BD$109</c:f>
              <c:numCache>
                <c:formatCode>0.000%</c:formatCode>
                <c:ptCount val="1"/>
                <c:pt idx="0">
                  <c:v>1.6051760250250457E-2</c:v>
                </c:pt>
              </c:numCache>
            </c:numRef>
          </c:val>
          <c:extLst>
            <c:ext xmlns:c16="http://schemas.microsoft.com/office/drawing/2014/chart" uri="{C3380CC4-5D6E-409C-BE32-E72D297353CC}">
              <c16:uniqueId val="{0000000D-B209-46AD-B858-E1CACB7FAB7B}"/>
            </c:ext>
          </c:extLst>
        </c:ser>
        <c:ser>
          <c:idx val="4"/>
          <c:order val="7"/>
          <c:tx>
            <c:strRef>
              <c:f>'COT Efficiency'!$BE$5</c:f>
              <c:strCache>
                <c:ptCount val="1"/>
                <c:pt idx="0">
                  <c:v>Inductor Core Loss %</c:v>
                </c:pt>
              </c:strCache>
            </c:strRef>
          </c:tx>
          <c:spPr>
            <a:solidFill>
              <a:srgbClr val="99CC00"/>
            </a:solidFill>
            <a:ln w="12700">
              <a:solidFill>
                <a:srgbClr val="000000"/>
              </a:solidFill>
              <a:prstDash val="solid"/>
            </a:ln>
          </c:spPr>
          <c:invertIfNegative val="0"/>
          <c:dLbls>
            <c:dLbl>
              <c:idx val="0"/>
              <c:tx>
                <c:rich>
                  <a:bodyPr/>
                  <a:lstStyle/>
                  <a:p>
                    <a:r>
                      <a:rPr lang="en-US"/>
                      <a:t>Inductor Core</a:t>
                    </a:r>
                  </a:p>
                  <a:p>
                    <a:r>
                      <a:rPr lang="en-US"/>
                      <a:t>Loss</a:t>
                    </a:r>
                  </a:p>
                </c:rich>
              </c:tx>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B209-46AD-B858-E1CACB7FAB7B}"/>
                </c:ext>
              </c:extLst>
            </c:dLbl>
            <c:spPr>
              <a:noFill/>
              <a:ln>
                <a:noFill/>
              </a:ln>
              <a:effectLst/>
            </c:spPr>
            <c:txPr>
              <a:bodyPr/>
              <a:lstStyle/>
              <a:p>
                <a:pPr>
                  <a:defRPr sz="1200" b="1"/>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val>
            <c:numRef>
              <c:f>'COT Efficiency'!$BE$109</c:f>
              <c:numCache>
                <c:formatCode>0.000%</c:formatCode>
                <c:ptCount val="1"/>
                <c:pt idx="0">
                  <c:v>6.8152413568584669E-3</c:v>
                </c:pt>
              </c:numCache>
            </c:numRef>
          </c:val>
          <c:extLst>
            <c:ext xmlns:c16="http://schemas.microsoft.com/office/drawing/2014/chart" uri="{C3380CC4-5D6E-409C-BE32-E72D297353CC}">
              <c16:uniqueId val="{0000000F-B209-46AD-B858-E1CACB7FAB7B}"/>
            </c:ext>
          </c:extLst>
        </c:ser>
        <c:ser>
          <c:idx val="0"/>
          <c:order val="8"/>
          <c:tx>
            <c:strRef>
              <c:f>'COT Efficiency'!$BG$5</c:f>
              <c:strCache>
                <c:ptCount val="1"/>
                <c:pt idx="0">
                  <c:v>Quiescent Current Loss %</c:v>
                </c:pt>
              </c:strCache>
            </c:strRef>
          </c:tx>
          <c:invertIfNegative val="0"/>
          <c:dLbls>
            <c:dLbl>
              <c:idx val="0"/>
              <c:tx>
                <c:rich>
                  <a:bodyPr/>
                  <a:lstStyle/>
                  <a:p>
                    <a:r>
                      <a:rPr lang="en-US"/>
                      <a:t>Quiescent Current</a:t>
                    </a:r>
                  </a:p>
                  <a:p>
                    <a:r>
                      <a:rPr lang="en-US"/>
                      <a:t>Loss </a:t>
                    </a:r>
                  </a:p>
                </c:rich>
              </c:tx>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B209-46AD-B858-E1CACB7FAB7B}"/>
                </c:ext>
              </c:extLst>
            </c:dLbl>
            <c:numFmt formatCode="0.0E+00" sourceLinked="0"/>
            <c:spPr>
              <a:noFill/>
            </c:spPr>
            <c:txPr>
              <a:bodyPr rot="0" vert="horz" anchor="ctr" anchorCtr="0"/>
              <a:lstStyle/>
              <a:p>
                <a:pPr>
                  <a:defRPr sz="1200" b="1"/>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val>
            <c:numRef>
              <c:f>'COT Efficiency'!$BG$109</c:f>
              <c:numCache>
                <c:formatCode>0.000%</c:formatCode>
                <c:ptCount val="1"/>
                <c:pt idx="0">
                  <c:v>1.2837829865088564E-2</c:v>
                </c:pt>
              </c:numCache>
            </c:numRef>
          </c:val>
          <c:extLst>
            <c:ext xmlns:c16="http://schemas.microsoft.com/office/drawing/2014/chart" uri="{C3380CC4-5D6E-409C-BE32-E72D297353CC}">
              <c16:uniqueId val="{00000011-B209-46AD-B858-E1CACB7FAB7B}"/>
            </c:ext>
          </c:extLst>
        </c:ser>
        <c:dLbls>
          <c:showLegendKey val="0"/>
          <c:showVal val="0"/>
          <c:showCatName val="0"/>
          <c:showSerName val="0"/>
          <c:showPercent val="0"/>
          <c:showBubbleSize val="0"/>
        </c:dLbls>
        <c:gapWidth val="101"/>
        <c:overlap val="-70"/>
        <c:axId val="160294016"/>
        <c:axId val="160295552"/>
      </c:barChart>
      <c:catAx>
        <c:axId val="160294016"/>
        <c:scaling>
          <c:orientation val="minMax"/>
        </c:scaling>
        <c:delete val="0"/>
        <c:axPos val="b"/>
        <c:numFmt formatCode="General" sourceLinked="1"/>
        <c:majorTickMark val="none"/>
        <c:minorTickMark val="none"/>
        <c:tickLblPos val="none"/>
        <c:spPr>
          <a:ln w="3175">
            <a:solidFill>
              <a:srgbClr val="000000"/>
            </a:solidFill>
            <a:prstDash val="solid"/>
          </a:ln>
        </c:spPr>
        <c:txPr>
          <a:bodyPr rot="0" vert="horz"/>
          <a:lstStyle/>
          <a:p>
            <a:pPr>
              <a:defRPr sz="1725" b="0" i="0" u="none" strike="noStrike" baseline="0">
                <a:solidFill>
                  <a:srgbClr val="000000"/>
                </a:solidFill>
                <a:latin typeface="Arial"/>
                <a:ea typeface="Arial"/>
                <a:cs typeface="Arial"/>
              </a:defRPr>
            </a:pPr>
            <a:endParaRPr lang="en-US"/>
          </a:p>
        </c:txPr>
        <c:crossAx val="160295552"/>
        <c:crossesAt val="0"/>
        <c:auto val="1"/>
        <c:lblAlgn val="ctr"/>
        <c:lblOffset val="100"/>
        <c:noMultiLvlLbl val="0"/>
      </c:catAx>
      <c:valAx>
        <c:axId val="160295552"/>
        <c:scaling>
          <c:orientation val="minMax"/>
          <c:min val="0"/>
        </c:scaling>
        <c:delete val="0"/>
        <c:axPos val="l"/>
        <c:majorGridlines>
          <c:spPr>
            <a:ln>
              <a:prstDash val="lgDash"/>
            </a:ln>
          </c:spPr>
        </c:majorGridlines>
        <c:title>
          <c:tx>
            <c:rich>
              <a:bodyPr/>
              <a:lstStyle/>
              <a:p>
                <a:pPr>
                  <a:defRPr b="1"/>
                </a:pPr>
                <a:r>
                  <a:rPr lang="en-US" b="1"/>
                  <a:t>Loss</a:t>
                </a:r>
                <a:r>
                  <a:rPr lang="en-US" b="1" baseline="0"/>
                  <a:t> Contributors</a:t>
                </a:r>
                <a:endParaRPr lang="en-US" b="1"/>
              </a:p>
            </c:rich>
          </c:tx>
          <c:layout>
            <c:manualLayout>
              <c:xMode val="edge"/>
              <c:yMode val="edge"/>
              <c:x val="9.9337306593581982E-3"/>
              <c:y val="0.30210944457795558"/>
            </c:manualLayout>
          </c:layout>
          <c:overlay val="0"/>
        </c:title>
        <c:numFmt formatCode="0.0%" sourceLinked="0"/>
        <c:majorTickMark val="out"/>
        <c:minorTickMark val="out"/>
        <c:tickLblPos val="low"/>
        <c:crossAx val="160294016"/>
        <c:crosses val="autoZero"/>
        <c:crossBetween val="between"/>
        <c:majorUnit val="5.0000000000000036E-3"/>
      </c:valAx>
      <c:spPr>
        <a:solidFill>
          <a:schemeClr val="bg1">
            <a:lumMod val="95000"/>
          </a:schemeClr>
        </a:solidFill>
        <a:ln w="25400">
          <a:noFill/>
        </a:ln>
      </c:spPr>
    </c:plotArea>
    <c:plotVisOnly val="1"/>
    <c:dispBlanksAs val="zero"/>
    <c:showDLblsOverMax val="0"/>
  </c:chart>
  <c:spPr>
    <a:solidFill>
      <a:srgbClr val="FFFFFF"/>
    </a:solidFill>
    <a:ln w="3175">
      <a:noFill/>
      <a:prstDash val="solid"/>
    </a:ln>
  </c:spPr>
  <c:txPr>
    <a:bodyPr/>
    <a:lstStyle/>
    <a:p>
      <a:pPr>
        <a:defRPr sz="1725" b="0" i="0" u="none" strike="noStrike" baseline="0">
          <a:solidFill>
            <a:srgbClr val="000000"/>
          </a:solidFill>
          <a:latin typeface="Arial"/>
          <a:ea typeface="Arial"/>
          <a:cs typeface="Arial"/>
        </a:defRPr>
      </a:pPr>
      <a:endParaRPr lang="en-US"/>
    </a:p>
  </c:txPr>
  <c:printSettings>
    <c:headerFooter alignWithMargins="0"/>
    <c:pageMargins b="1" l="0.75000000000000255" r="0.75000000000000255" t="1" header="0.5" footer="0.5"/>
    <c:pageSetup orientation="landscape"/>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P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sz="1200"/>
              <a:t>Inductor Losses</a:t>
            </a:r>
          </a:p>
        </c:rich>
      </c:tx>
      <c:layout>
        <c:manualLayout>
          <c:xMode val="edge"/>
          <c:yMode val="edge"/>
          <c:x val="0.42831712615557532"/>
          <c:y val="4.3722320087735113E-2"/>
        </c:manualLayout>
      </c:layout>
      <c:overlay val="0"/>
      <c:spPr>
        <a:noFill/>
        <a:ln w="25400">
          <a:noFill/>
        </a:ln>
      </c:spPr>
    </c:title>
    <c:autoTitleDeleted val="0"/>
    <c:plotArea>
      <c:layout>
        <c:manualLayout>
          <c:layoutTarget val="inner"/>
          <c:xMode val="edge"/>
          <c:yMode val="edge"/>
          <c:x val="0.11549893842887474"/>
          <c:y val="0.12692138023914851"/>
          <c:w val="0.81825902335456702"/>
          <c:h val="0.73598262282121851"/>
        </c:manualLayout>
      </c:layout>
      <c:scatterChart>
        <c:scatterStyle val="lineMarker"/>
        <c:varyColors val="0"/>
        <c:ser>
          <c:idx val="2"/>
          <c:order val="0"/>
          <c:tx>
            <c:strRef>
              <c:f>'COT Efficiency'!$T$5</c:f>
              <c:strCache>
                <c:ptCount val="1"/>
                <c:pt idx="0">
                  <c:v>Inductor DCR Loss @ 25°C (W)</c:v>
                </c:pt>
              </c:strCache>
            </c:strRef>
          </c:tx>
          <c:spPr>
            <a:ln w="25400">
              <a:solidFill>
                <a:srgbClr val="000080"/>
              </a:solidFill>
              <a:prstDash val="solid"/>
            </a:ln>
          </c:spPr>
          <c:marker>
            <c:symbol val="none"/>
          </c:marker>
          <c:xVal>
            <c:numRef>
              <c:f>'COT Efficiency'!$BK$6:$BK$106</c:f>
              <c:numCache>
                <c:formatCode>0.000</c:formatCode>
                <c:ptCount val="101"/>
                <c:pt idx="0">
                  <c:v>0.15</c:v>
                </c:pt>
                <c:pt idx="1">
                  <c:v>1.5</c:v>
                </c:pt>
                <c:pt idx="2">
                  <c:v>3</c:v>
                </c:pt>
                <c:pt idx="3">
                  <c:v>4.5</c:v>
                </c:pt>
                <c:pt idx="4">
                  <c:v>6</c:v>
                </c:pt>
                <c:pt idx="5">
                  <c:v>7.5</c:v>
                </c:pt>
                <c:pt idx="6">
                  <c:v>9</c:v>
                </c:pt>
                <c:pt idx="7">
                  <c:v>10.5</c:v>
                </c:pt>
                <c:pt idx="8">
                  <c:v>12</c:v>
                </c:pt>
                <c:pt idx="9">
                  <c:v>13.5</c:v>
                </c:pt>
                <c:pt idx="10">
                  <c:v>15</c:v>
                </c:pt>
                <c:pt idx="11">
                  <c:v>16.5</c:v>
                </c:pt>
                <c:pt idx="12">
                  <c:v>18</c:v>
                </c:pt>
                <c:pt idx="13">
                  <c:v>19.5</c:v>
                </c:pt>
                <c:pt idx="14">
                  <c:v>21</c:v>
                </c:pt>
                <c:pt idx="15">
                  <c:v>22.5</c:v>
                </c:pt>
                <c:pt idx="16">
                  <c:v>24</c:v>
                </c:pt>
                <c:pt idx="17">
                  <c:v>25.500000000000004</c:v>
                </c:pt>
                <c:pt idx="18">
                  <c:v>27</c:v>
                </c:pt>
                <c:pt idx="19">
                  <c:v>28.499999999999996</c:v>
                </c:pt>
                <c:pt idx="20">
                  <c:v>30</c:v>
                </c:pt>
                <c:pt idx="21">
                  <c:v>31.5</c:v>
                </c:pt>
                <c:pt idx="22">
                  <c:v>33</c:v>
                </c:pt>
                <c:pt idx="23">
                  <c:v>34.5</c:v>
                </c:pt>
                <c:pt idx="24">
                  <c:v>36</c:v>
                </c:pt>
                <c:pt idx="25">
                  <c:v>37.5</c:v>
                </c:pt>
                <c:pt idx="26">
                  <c:v>39</c:v>
                </c:pt>
                <c:pt idx="27">
                  <c:v>40.5</c:v>
                </c:pt>
                <c:pt idx="28">
                  <c:v>42</c:v>
                </c:pt>
                <c:pt idx="29">
                  <c:v>43.5</c:v>
                </c:pt>
                <c:pt idx="30">
                  <c:v>45</c:v>
                </c:pt>
                <c:pt idx="31">
                  <c:v>46.5</c:v>
                </c:pt>
                <c:pt idx="32">
                  <c:v>48</c:v>
                </c:pt>
                <c:pt idx="33">
                  <c:v>49.5</c:v>
                </c:pt>
                <c:pt idx="34">
                  <c:v>51.000000000000007</c:v>
                </c:pt>
                <c:pt idx="35">
                  <c:v>52.5</c:v>
                </c:pt>
                <c:pt idx="36">
                  <c:v>54</c:v>
                </c:pt>
                <c:pt idx="37">
                  <c:v>55.5</c:v>
                </c:pt>
                <c:pt idx="38">
                  <c:v>56.999999999999993</c:v>
                </c:pt>
                <c:pt idx="39">
                  <c:v>58.5</c:v>
                </c:pt>
                <c:pt idx="40">
                  <c:v>60</c:v>
                </c:pt>
                <c:pt idx="41">
                  <c:v>61.499999999999993</c:v>
                </c:pt>
                <c:pt idx="42">
                  <c:v>63</c:v>
                </c:pt>
                <c:pt idx="43">
                  <c:v>64.5</c:v>
                </c:pt>
                <c:pt idx="44">
                  <c:v>66</c:v>
                </c:pt>
                <c:pt idx="45">
                  <c:v>67.5</c:v>
                </c:pt>
                <c:pt idx="46">
                  <c:v>69</c:v>
                </c:pt>
                <c:pt idx="47">
                  <c:v>70.5</c:v>
                </c:pt>
                <c:pt idx="48">
                  <c:v>72</c:v>
                </c:pt>
                <c:pt idx="49">
                  <c:v>73.5</c:v>
                </c:pt>
                <c:pt idx="50">
                  <c:v>75</c:v>
                </c:pt>
                <c:pt idx="51">
                  <c:v>76.5</c:v>
                </c:pt>
                <c:pt idx="52">
                  <c:v>78</c:v>
                </c:pt>
                <c:pt idx="53">
                  <c:v>79.5</c:v>
                </c:pt>
                <c:pt idx="54">
                  <c:v>81</c:v>
                </c:pt>
                <c:pt idx="55">
                  <c:v>82.5</c:v>
                </c:pt>
                <c:pt idx="56">
                  <c:v>84</c:v>
                </c:pt>
                <c:pt idx="57">
                  <c:v>85.499999999999986</c:v>
                </c:pt>
                <c:pt idx="58">
                  <c:v>87</c:v>
                </c:pt>
                <c:pt idx="59">
                  <c:v>88.5</c:v>
                </c:pt>
                <c:pt idx="60">
                  <c:v>90</c:v>
                </c:pt>
                <c:pt idx="61">
                  <c:v>91.5</c:v>
                </c:pt>
                <c:pt idx="62">
                  <c:v>93</c:v>
                </c:pt>
                <c:pt idx="63">
                  <c:v>94.5</c:v>
                </c:pt>
                <c:pt idx="64">
                  <c:v>96</c:v>
                </c:pt>
                <c:pt idx="65">
                  <c:v>97.5</c:v>
                </c:pt>
                <c:pt idx="66">
                  <c:v>99</c:v>
                </c:pt>
                <c:pt idx="67">
                  <c:v>100.5</c:v>
                </c:pt>
                <c:pt idx="68">
                  <c:v>102.00000000000001</c:v>
                </c:pt>
                <c:pt idx="69">
                  <c:v>103.5</c:v>
                </c:pt>
                <c:pt idx="70">
                  <c:v>105</c:v>
                </c:pt>
                <c:pt idx="71">
                  <c:v>106.5</c:v>
                </c:pt>
                <c:pt idx="72">
                  <c:v>108</c:v>
                </c:pt>
                <c:pt idx="73">
                  <c:v>109.5</c:v>
                </c:pt>
                <c:pt idx="74">
                  <c:v>111</c:v>
                </c:pt>
                <c:pt idx="75">
                  <c:v>112.49999999999999</c:v>
                </c:pt>
                <c:pt idx="76">
                  <c:v>113.99999999999999</c:v>
                </c:pt>
                <c:pt idx="77">
                  <c:v>115.49999999999999</c:v>
                </c:pt>
                <c:pt idx="78">
                  <c:v>117</c:v>
                </c:pt>
                <c:pt idx="79">
                  <c:v>118.5</c:v>
                </c:pt>
                <c:pt idx="80">
                  <c:v>120</c:v>
                </c:pt>
                <c:pt idx="81">
                  <c:v>121.5</c:v>
                </c:pt>
                <c:pt idx="82">
                  <c:v>122.99999999999999</c:v>
                </c:pt>
                <c:pt idx="83">
                  <c:v>124.49999999999999</c:v>
                </c:pt>
                <c:pt idx="84">
                  <c:v>126</c:v>
                </c:pt>
                <c:pt idx="85">
                  <c:v>127.5</c:v>
                </c:pt>
                <c:pt idx="86">
                  <c:v>129</c:v>
                </c:pt>
                <c:pt idx="87">
                  <c:v>130.5</c:v>
                </c:pt>
                <c:pt idx="88">
                  <c:v>132</c:v>
                </c:pt>
                <c:pt idx="89">
                  <c:v>133.5</c:v>
                </c:pt>
                <c:pt idx="90">
                  <c:v>135</c:v>
                </c:pt>
                <c:pt idx="91">
                  <c:v>136.5</c:v>
                </c:pt>
                <c:pt idx="92">
                  <c:v>138</c:v>
                </c:pt>
                <c:pt idx="93">
                  <c:v>139.5</c:v>
                </c:pt>
                <c:pt idx="94">
                  <c:v>141</c:v>
                </c:pt>
                <c:pt idx="95">
                  <c:v>142.5</c:v>
                </c:pt>
                <c:pt idx="96">
                  <c:v>144</c:v>
                </c:pt>
                <c:pt idx="97">
                  <c:v>145.5</c:v>
                </c:pt>
                <c:pt idx="98">
                  <c:v>147</c:v>
                </c:pt>
                <c:pt idx="99">
                  <c:v>148.5</c:v>
                </c:pt>
                <c:pt idx="100">
                  <c:v>150</c:v>
                </c:pt>
              </c:numCache>
            </c:numRef>
          </c:xVal>
          <c:yVal>
            <c:numRef>
              <c:f>'COT Efficiency'!$T$6:$T$106</c:f>
              <c:numCache>
                <c:formatCode>0.0000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extLst>
            <c:ext xmlns:c16="http://schemas.microsoft.com/office/drawing/2014/chart" uri="{C3380CC4-5D6E-409C-BE32-E72D297353CC}">
              <c16:uniqueId val="{00000000-540D-4B37-8FDA-0399ACE79D60}"/>
            </c:ext>
          </c:extLst>
        </c:ser>
        <c:ser>
          <c:idx val="3"/>
          <c:order val="1"/>
          <c:tx>
            <c:strRef>
              <c:f>'COT Efficiency'!$U$5</c:f>
              <c:strCache>
                <c:ptCount val="1"/>
                <c:pt idx="0">
                  <c:v>Inductor Core Loss  (W)</c:v>
                </c:pt>
              </c:strCache>
            </c:strRef>
          </c:tx>
          <c:spPr>
            <a:ln w="25400">
              <a:solidFill>
                <a:srgbClr val="FF0000"/>
              </a:solidFill>
              <a:prstDash val="dash"/>
            </a:ln>
          </c:spPr>
          <c:marker>
            <c:symbol val="none"/>
          </c:marker>
          <c:xVal>
            <c:numRef>
              <c:f>'COT Efficiency'!$BK$6:$BK$106</c:f>
              <c:numCache>
                <c:formatCode>0.000</c:formatCode>
                <c:ptCount val="101"/>
                <c:pt idx="0">
                  <c:v>0.15</c:v>
                </c:pt>
                <c:pt idx="1">
                  <c:v>1.5</c:v>
                </c:pt>
                <c:pt idx="2">
                  <c:v>3</c:v>
                </c:pt>
                <c:pt idx="3">
                  <c:v>4.5</c:v>
                </c:pt>
                <c:pt idx="4">
                  <c:v>6</c:v>
                </c:pt>
                <c:pt idx="5">
                  <c:v>7.5</c:v>
                </c:pt>
                <c:pt idx="6">
                  <c:v>9</c:v>
                </c:pt>
                <c:pt idx="7">
                  <c:v>10.5</c:v>
                </c:pt>
                <c:pt idx="8">
                  <c:v>12</c:v>
                </c:pt>
                <c:pt idx="9">
                  <c:v>13.5</c:v>
                </c:pt>
                <c:pt idx="10">
                  <c:v>15</c:v>
                </c:pt>
                <c:pt idx="11">
                  <c:v>16.5</c:v>
                </c:pt>
                <c:pt idx="12">
                  <c:v>18</c:v>
                </c:pt>
                <c:pt idx="13">
                  <c:v>19.5</c:v>
                </c:pt>
                <c:pt idx="14">
                  <c:v>21</c:v>
                </c:pt>
                <c:pt idx="15">
                  <c:v>22.5</c:v>
                </c:pt>
                <c:pt idx="16">
                  <c:v>24</c:v>
                </c:pt>
                <c:pt idx="17">
                  <c:v>25.500000000000004</c:v>
                </c:pt>
                <c:pt idx="18">
                  <c:v>27</c:v>
                </c:pt>
                <c:pt idx="19">
                  <c:v>28.499999999999996</c:v>
                </c:pt>
                <c:pt idx="20">
                  <c:v>30</c:v>
                </c:pt>
                <c:pt idx="21">
                  <c:v>31.5</c:v>
                </c:pt>
                <c:pt idx="22">
                  <c:v>33</c:v>
                </c:pt>
                <c:pt idx="23">
                  <c:v>34.5</c:v>
                </c:pt>
                <c:pt idx="24">
                  <c:v>36</c:v>
                </c:pt>
                <c:pt idx="25">
                  <c:v>37.5</c:v>
                </c:pt>
                <c:pt idx="26">
                  <c:v>39</c:v>
                </c:pt>
                <c:pt idx="27">
                  <c:v>40.5</c:v>
                </c:pt>
                <c:pt idx="28">
                  <c:v>42</c:v>
                </c:pt>
                <c:pt idx="29">
                  <c:v>43.5</c:v>
                </c:pt>
                <c:pt idx="30">
                  <c:v>45</c:v>
                </c:pt>
                <c:pt idx="31">
                  <c:v>46.5</c:v>
                </c:pt>
                <c:pt idx="32">
                  <c:v>48</c:v>
                </c:pt>
                <c:pt idx="33">
                  <c:v>49.5</c:v>
                </c:pt>
                <c:pt idx="34">
                  <c:v>51.000000000000007</c:v>
                </c:pt>
                <c:pt idx="35">
                  <c:v>52.5</c:v>
                </c:pt>
                <c:pt idx="36">
                  <c:v>54</c:v>
                </c:pt>
                <c:pt idx="37">
                  <c:v>55.5</c:v>
                </c:pt>
                <c:pt idx="38">
                  <c:v>56.999999999999993</c:v>
                </c:pt>
                <c:pt idx="39">
                  <c:v>58.5</c:v>
                </c:pt>
                <c:pt idx="40">
                  <c:v>60</c:v>
                </c:pt>
                <c:pt idx="41">
                  <c:v>61.499999999999993</c:v>
                </c:pt>
                <c:pt idx="42">
                  <c:v>63</c:v>
                </c:pt>
                <c:pt idx="43">
                  <c:v>64.5</c:v>
                </c:pt>
                <c:pt idx="44">
                  <c:v>66</c:v>
                </c:pt>
                <c:pt idx="45">
                  <c:v>67.5</c:v>
                </c:pt>
                <c:pt idx="46">
                  <c:v>69</c:v>
                </c:pt>
                <c:pt idx="47">
                  <c:v>70.5</c:v>
                </c:pt>
                <c:pt idx="48">
                  <c:v>72</c:v>
                </c:pt>
                <c:pt idx="49">
                  <c:v>73.5</c:v>
                </c:pt>
                <c:pt idx="50">
                  <c:v>75</c:v>
                </c:pt>
                <c:pt idx="51">
                  <c:v>76.5</c:v>
                </c:pt>
                <c:pt idx="52">
                  <c:v>78</c:v>
                </c:pt>
                <c:pt idx="53">
                  <c:v>79.5</c:v>
                </c:pt>
                <c:pt idx="54">
                  <c:v>81</c:v>
                </c:pt>
                <c:pt idx="55">
                  <c:v>82.5</c:v>
                </c:pt>
                <c:pt idx="56">
                  <c:v>84</c:v>
                </c:pt>
                <c:pt idx="57">
                  <c:v>85.499999999999986</c:v>
                </c:pt>
                <c:pt idx="58">
                  <c:v>87</c:v>
                </c:pt>
                <c:pt idx="59">
                  <c:v>88.5</c:v>
                </c:pt>
                <c:pt idx="60">
                  <c:v>90</c:v>
                </c:pt>
                <c:pt idx="61">
                  <c:v>91.5</c:v>
                </c:pt>
                <c:pt idx="62">
                  <c:v>93</c:v>
                </c:pt>
                <c:pt idx="63">
                  <c:v>94.5</c:v>
                </c:pt>
                <c:pt idx="64">
                  <c:v>96</c:v>
                </c:pt>
                <c:pt idx="65">
                  <c:v>97.5</c:v>
                </c:pt>
                <c:pt idx="66">
                  <c:v>99</c:v>
                </c:pt>
                <c:pt idx="67">
                  <c:v>100.5</c:v>
                </c:pt>
                <c:pt idx="68">
                  <c:v>102.00000000000001</c:v>
                </c:pt>
                <c:pt idx="69">
                  <c:v>103.5</c:v>
                </c:pt>
                <c:pt idx="70">
                  <c:v>105</c:v>
                </c:pt>
                <c:pt idx="71">
                  <c:v>106.5</c:v>
                </c:pt>
                <c:pt idx="72">
                  <c:v>108</c:v>
                </c:pt>
                <c:pt idx="73">
                  <c:v>109.5</c:v>
                </c:pt>
                <c:pt idx="74">
                  <c:v>111</c:v>
                </c:pt>
                <c:pt idx="75">
                  <c:v>112.49999999999999</c:v>
                </c:pt>
                <c:pt idx="76">
                  <c:v>113.99999999999999</c:v>
                </c:pt>
                <c:pt idx="77">
                  <c:v>115.49999999999999</c:v>
                </c:pt>
                <c:pt idx="78">
                  <c:v>117</c:v>
                </c:pt>
                <c:pt idx="79">
                  <c:v>118.5</c:v>
                </c:pt>
                <c:pt idx="80">
                  <c:v>120</c:v>
                </c:pt>
                <c:pt idx="81">
                  <c:v>121.5</c:v>
                </c:pt>
                <c:pt idx="82">
                  <c:v>122.99999999999999</c:v>
                </c:pt>
                <c:pt idx="83">
                  <c:v>124.49999999999999</c:v>
                </c:pt>
                <c:pt idx="84">
                  <c:v>126</c:v>
                </c:pt>
                <c:pt idx="85">
                  <c:v>127.5</c:v>
                </c:pt>
                <c:pt idx="86">
                  <c:v>129</c:v>
                </c:pt>
                <c:pt idx="87">
                  <c:v>130.5</c:v>
                </c:pt>
                <c:pt idx="88">
                  <c:v>132</c:v>
                </c:pt>
                <c:pt idx="89">
                  <c:v>133.5</c:v>
                </c:pt>
                <c:pt idx="90">
                  <c:v>135</c:v>
                </c:pt>
                <c:pt idx="91">
                  <c:v>136.5</c:v>
                </c:pt>
                <c:pt idx="92">
                  <c:v>138</c:v>
                </c:pt>
                <c:pt idx="93">
                  <c:v>139.5</c:v>
                </c:pt>
                <c:pt idx="94">
                  <c:v>141</c:v>
                </c:pt>
                <c:pt idx="95">
                  <c:v>142.5</c:v>
                </c:pt>
                <c:pt idx="96">
                  <c:v>144</c:v>
                </c:pt>
                <c:pt idx="97">
                  <c:v>145.5</c:v>
                </c:pt>
                <c:pt idx="98">
                  <c:v>147</c:v>
                </c:pt>
                <c:pt idx="99">
                  <c:v>148.5</c:v>
                </c:pt>
                <c:pt idx="100">
                  <c:v>150</c:v>
                </c:pt>
              </c:numCache>
            </c:numRef>
          </c:xVal>
          <c:yVal>
            <c:numRef>
              <c:f>'COT Efficiency'!$U$6:$U$106</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extLst>
            <c:ext xmlns:c16="http://schemas.microsoft.com/office/drawing/2014/chart" uri="{C3380CC4-5D6E-409C-BE32-E72D297353CC}">
              <c16:uniqueId val="{00000001-540D-4B37-8FDA-0399ACE79D60}"/>
            </c:ext>
          </c:extLst>
        </c:ser>
        <c:ser>
          <c:idx val="0"/>
          <c:order val="2"/>
          <c:tx>
            <c:strRef>
              <c:f>'COT Efficiency'!$V$5</c:f>
              <c:strCache>
                <c:ptCount val="1"/>
                <c:pt idx="0">
                  <c:v>Total Inductor Loss (W)</c:v>
                </c:pt>
              </c:strCache>
            </c:strRef>
          </c:tx>
          <c:spPr>
            <a:ln w="25400">
              <a:solidFill>
                <a:srgbClr val="00B050"/>
              </a:solidFill>
              <a:prstDash val="lgDash"/>
            </a:ln>
          </c:spPr>
          <c:marker>
            <c:symbol val="none"/>
          </c:marker>
          <c:xVal>
            <c:numRef>
              <c:f>'COT Efficiency'!$BK$6:$BK$106</c:f>
              <c:numCache>
                <c:formatCode>0.000</c:formatCode>
                <c:ptCount val="101"/>
                <c:pt idx="0">
                  <c:v>0.15</c:v>
                </c:pt>
                <c:pt idx="1">
                  <c:v>1.5</c:v>
                </c:pt>
                <c:pt idx="2">
                  <c:v>3</c:v>
                </c:pt>
                <c:pt idx="3">
                  <c:v>4.5</c:v>
                </c:pt>
                <c:pt idx="4">
                  <c:v>6</c:v>
                </c:pt>
                <c:pt idx="5">
                  <c:v>7.5</c:v>
                </c:pt>
                <c:pt idx="6">
                  <c:v>9</c:v>
                </c:pt>
                <c:pt idx="7">
                  <c:v>10.5</c:v>
                </c:pt>
                <c:pt idx="8">
                  <c:v>12</c:v>
                </c:pt>
                <c:pt idx="9">
                  <c:v>13.5</c:v>
                </c:pt>
                <c:pt idx="10">
                  <c:v>15</c:v>
                </c:pt>
                <c:pt idx="11">
                  <c:v>16.5</c:v>
                </c:pt>
                <c:pt idx="12">
                  <c:v>18</c:v>
                </c:pt>
                <c:pt idx="13">
                  <c:v>19.5</c:v>
                </c:pt>
                <c:pt idx="14">
                  <c:v>21</c:v>
                </c:pt>
                <c:pt idx="15">
                  <c:v>22.5</c:v>
                </c:pt>
                <c:pt idx="16">
                  <c:v>24</c:v>
                </c:pt>
                <c:pt idx="17">
                  <c:v>25.500000000000004</c:v>
                </c:pt>
                <c:pt idx="18">
                  <c:v>27</c:v>
                </c:pt>
                <c:pt idx="19">
                  <c:v>28.499999999999996</c:v>
                </c:pt>
                <c:pt idx="20">
                  <c:v>30</c:v>
                </c:pt>
                <c:pt idx="21">
                  <c:v>31.5</c:v>
                </c:pt>
                <c:pt idx="22">
                  <c:v>33</c:v>
                </c:pt>
                <c:pt idx="23">
                  <c:v>34.5</c:v>
                </c:pt>
                <c:pt idx="24">
                  <c:v>36</c:v>
                </c:pt>
                <c:pt idx="25">
                  <c:v>37.5</c:v>
                </c:pt>
                <c:pt idx="26">
                  <c:v>39</c:v>
                </c:pt>
                <c:pt idx="27">
                  <c:v>40.5</c:v>
                </c:pt>
                <c:pt idx="28">
                  <c:v>42</c:v>
                </c:pt>
                <c:pt idx="29">
                  <c:v>43.5</c:v>
                </c:pt>
                <c:pt idx="30">
                  <c:v>45</c:v>
                </c:pt>
                <c:pt idx="31">
                  <c:v>46.5</c:v>
                </c:pt>
                <c:pt idx="32">
                  <c:v>48</c:v>
                </c:pt>
                <c:pt idx="33">
                  <c:v>49.5</c:v>
                </c:pt>
                <c:pt idx="34">
                  <c:v>51.000000000000007</c:v>
                </c:pt>
                <c:pt idx="35">
                  <c:v>52.5</c:v>
                </c:pt>
                <c:pt idx="36">
                  <c:v>54</c:v>
                </c:pt>
                <c:pt idx="37">
                  <c:v>55.5</c:v>
                </c:pt>
                <c:pt idx="38">
                  <c:v>56.999999999999993</c:v>
                </c:pt>
                <c:pt idx="39">
                  <c:v>58.5</c:v>
                </c:pt>
                <c:pt idx="40">
                  <c:v>60</c:v>
                </c:pt>
                <c:pt idx="41">
                  <c:v>61.499999999999993</c:v>
                </c:pt>
                <c:pt idx="42">
                  <c:v>63</c:v>
                </c:pt>
                <c:pt idx="43">
                  <c:v>64.5</c:v>
                </c:pt>
                <c:pt idx="44">
                  <c:v>66</c:v>
                </c:pt>
                <c:pt idx="45">
                  <c:v>67.5</c:v>
                </c:pt>
                <c:pt idx="46">
                  <c:v>69</c:v>
                </c:pt>
                <c:pt idx="47">
                  <c:v>70.5</c:v>
                </c:pt>
                <c:pt idx="48">
                  <c:v>72</c:v>
                </c:pt>
                <c:pt idx="49">
                  <c:v>73.5</c:v>
                </c:pt>
                <c:pt idx="50">
                  <c:v>75</c:v>
                </c:pt>
                <c:pt idx="51">
                  <c:v>76.5</c:v>
                </c:pt>
                <c:pt idx="52">
                  <c:v>78</c:v>
                </c:pt>
                <c:pt idx="53">
                  <c:v>79.5</c:v>
                </c:pt>
                <c:pt idx="54">
                  <c:v>81</c:v>
                </c:pt>
                <c:pt idx="55">
                  <c:v>82.5</c:v>
                </c:pt>
                <c:pt idx="56">
                  <c:v>84</c:v>
                </c:pt>
                <c:pt idx="57">
                  <c:v>85.499999999999986</c:v>
                </c:pt>
                <c:pt idx="58">
                  <c:v>87</c:v>
                </c:pt>
                <c:pt idx="59">
                  <c:v>88.5</c:v>
                </c:pt>
                <c:pt idx="60">
                  <c:v>90</c:v>
                </c:pt>
                <c:pt idx="61">
                  <c:v>91.5</c:v>
                </c:pt>
                <c:pt idx="62">
                  <c:v>93</c:v>
                </c:pt>
                <c:pt idx="63">
                  <c:v>94.5</c:v>
                </c:pt>
                <c:pt idx="64">
                  <c:v>96</c:v>
                </c:pt>
                <c:pt idx="65">
                  <c:v>97.5</c:v>
                </c:pt>
                <c:pt idx="66">
                  <c:v>99</c:v>
                </c:pt>
                <c:pt idx="67">
                  <c:v>100.5</c:v>
                </c:pt>
                <c:pt idx="68">
                  <c:v>102.00000000000001</c:v>
                </c:pt>
                <c:pt idx="69">
                  <c:v>103.5</c:v>
                </c:pt>
                <c:pt idx="70">
                  <c:v>105</c:v>
                </c:pt>
                <c:pt idx="71">
                  <c:v>106.5</c:v>
                </c:pt>
                <c:pt idx="72">
                  <c:v>108</c:v>
                </c:pt>
                <c:pt idx="73">
                  <c:v>109.5</c:v>
                </c:pt>
                <c:pt idx="74">
                  <c:v>111</c:v>
                </c:pt>
                <c:pt idx="75">
                  <c:v>112.49999999999999</c:v>
                </c:pt>
                <c:pt idx="76">
                  <c:v>113.99999999999999</c:v>
                </c:pt>
                <c:pt idx="77">
                  <c:v>115.49999999999999</c:v>
                </c:pt>
                <c:pt idx="78">
                  <c:v>117</c:v>
                </c:pt>
                <c:pt idx="79">
                  <c:v>118.5</c:v>
                </c:pt>
                <c:pt idx="80">
                  <c:v>120</c:v>
                </c:pt>
                <c:pt idx="81">
                  <c:v>121.5</c:v>
                </c:pt>
                <c:pt idx="82">
                  <c:v>122.99999999999999</c:v>
                </c:pt>
                <c:pt idx="83">
                  <c:v>124.49999999999999</c:v>
                </c:pt>
                <c:pt idx="84">
                  <c:v>126</c:v>
                </c:pt>
                <c:pt idx="85">
                  <c:v>127.5</c:v>
                </c:pt>
                <c:pt idx="86">
                  <c:v>129</c:v>
                </c:pt>
                <c:pt idx="87">
                  <c:v>130.5</c:v>
                </c:pt>
                <c:pt idx="88">
                  <c:v>132</c:v>
                </c:pt>
                <c:pt idx="89">
                  <c:v>133.5</c:v>
                </c:pt>
                <c:pt idx="90">
                  <c:v>135</c:v>
                </c:pt>
                <c:pt idx="91">
                  <c:v>136.5</c:v>
                </c:pt>
                <c:pt idx="92">
                  <c:v>138</c:v>
                </c:pt>
                <c:pt idx="93">
                  <c:v>139.5</c:v>
                </c:pt>
                <c:pt idx="94">
                  <c:v>141</c:v>
                </c:pt>
                <c:pt idx="95">
                  <c:v>142.5</c:v>
                </c:pt>
                <c:pt idx="96">
                  <c:v>144</c:v>
                </c:pt>
                <c:pt idx="97">
                  <c:v>145.5</c:v>
                </c:pt>
                <c:pt idx="98">
                  <c:v>147</c:v>
                </c:pt>
                <c:pt idx="99">
                  <c:v>148.5</c:v>
                </c:pt>
                <c:pt idx="100">
                  <c:v>150</c:v>
                </c:pt>
              </c:numCache>
            </c:numRef>
          </c:xVal>
          <c:yVal>
            <c:numRef>
              <c:f>'COT Efficiency'!$V$6:$V$106</c:f>
              <c:numCache>
                <c:formatCode>0.0000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extLst>
            <c:ext xmlns:c16="http://schemas.microsoft.com/office/drawing/2014/chart" uri="{C3380CC4-5D6E-409C-BE32-E72D297353CC}">
              <c16:uniqueId val="{00000002-540D-4B37-8FDA-0399ACE79D60}"/>
            </c:ext>
          </c:extLst>
        </c:ser>
        <c:dLbls>
          <c:showLegendKey val="0"/>
          <c:showVal val="0"/>
          <c:showCatName val="0"/>
          <c:showSerName val="0"/>
          <c:showPercent val="0"/>
          <c:showBubbleSize val="0"/>
        </c:dLbls>
        <c:axId val="159830400"/>
        <c:axId val="159832320"/>
      </c:scatterChart>
      <c:valAx>
        <c:axId val="159830400"/>
        <c:scaling>
          <c:orientation val="minMax"/>
          <c:min val="0"/>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a:t>Iout (mA)</a:t>
                </a:r>
              </a:p>
            </c:rich>
          </c:tx>
          <c:layout>
            <c:manualLayout>
              <c:xMode val="edge"/>
              <c:yMode val="edge"/>
              <c:x val="0.4862036665785141"/>
              <c:y val="0.92810561790725887"/>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59832320"/>
        <c:crosses val="autoZero"/>
        <c:crossBetween val="midCat"/>
      </c:valAx>
      <c:valAx>
        <c:axId val="159832320"/>
        <c:scaling>
          <c:orientation val="minMax"/>
        </c:scaling>
        <c:delete val="0"/>
        <c:axPos val="l"/>
        <c:majorGridlines>
          <c:spPr>
            <a:ln w="3175">
              <a:solidFill>
                <a:srgbClr val="000000"/>
              </a:solidFill>
              <a:prstDash val="solid"/>
            </a:ln>
          </c:spPr>
        </c:majorGridlines>
        <c:title>
          <c:tx>
            <c:rich>
              <a:bodyPr/>
              <a:lstStyle/>
              <a:p>
                <a:pPr>
                  <a:defRPr sz="1100" b="1" i="0" u="none" strike="noStrike" baseline="0">
                    <a:solidFill>
                      <a:srgbClr val="000000"/>
                    </a:solidFill>
                    <a:latin typeface="Arial"/>
                    <a:ea typeface="Arial"/>
                    <a:cs typeface="Arial"/>
                  </a:defRPr>
                </a:pPr>
                <a:r>
                  <a:rPr lang="en-US" sz="1100"/>
                  <a:t>Power Disipation (W)</a:t>
                </a:r>
              </a:p>
            </c:rich>
          </c:tx>
          <c:layout>
            <c:manualLayout>
              <c:xMode val="edge"/>
              <c:yMode val="edge"/>
              <c:x val="1.6219164370434195E-2"/>
              <c:y val="0.31625193761099984"/>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59830400"/>
        <c:crosses val="autoZero"/>
        <c:crossBetween val="midCat"/>
      </c:valAx>
      <c:spPr>
        <a:solidFill>
          <a:schemeClr val="bg1">
            <a:lumMod val="95000"/>
          </a:schemeClr>
        </a:solidFill>
        <a:ln w="12700">
          <a:solidFill>
            <a:srgbClr val="808080"/>
          </a:solidFill>
          <a:prstDash val="solid"/>
        </a:ln>
      </c:spPr>
    </c:plotArea>
    <c:legend>
      <c:legendPos val="r"/>
      <c:layout>
        <c:manualLayout>
          <c:xMode val="edge"/>
          <c:yMode val="edge"/>
          <c:x val="0.13879470679742156"/>
          <c:y val="0.19071780638592689"/>
          <c:w val="0.27762374773575837"/>
          <c:h val="0.15064472164663803"/>
        </c:manualLayout>
      </c:layout>
      <c:overlay val="0"/>
      <c:spPr>
        <a:solidFill>
          <a:srgbClr val="FFFFFF"/>
        </a:solidFill>
        <a:ln w="3175">
          <a:solidFill>
            <a:srgbClr val="000000"/>
          </a:solidFill>
          <a:prstDash val="solid"/>
        </a:ln>
      </c:spPr>
      <c:txPr>
        <a:bodyPr/>
        <a:lstStyle/>
        <a:p>
          <a:pPr>
            <a:defRPr sz="11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000000000000866" r="0.75000000000000866" t="1"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P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b="1" i="0" u="none" strike="noStrike" baseline="0">
                <a:solidFill>
                  <a:srgbClr val="000000"/>
                </a:solidFill>
                <a:latin typeface="Arial"/>
                <a:ea typeface="Arial"/>
                <a:cs typeface="Arial"/>
              </a:defRPr>
            </a:pPr>
            <a:r>
              <a:rPr lang="en-US" sz="2000"/>
              <a:t>Breakdown of COT Efficiency Losses vs. Iout</a:t>
            </a:r>
          </a:p>
        </c:rich>
      </c:tx>
      <c:layout>
        <c:manualLayout>
          <c:xMode val="edge"/>
          <c:yMode val="edge"/>
          <c:x val="0.19265692406240287"/>
          <c:y val="3.081543250743031E-2"/>
        </c:manualLayout>
      </c:layout>
      <c:overlay val="0"/>
      <c:spPr>
        <a:noFill/>
        <a:ln w="25400">
          <a:noFill/>
        </a:ln>
      </c:spPr>
    </c:title>
    <c:autoTitleDeleted val="0"/>
    <c:plotArea>
      <c:layout>
        <c:manualLayout>
          <c:layoutTarget val="inner"/>
          <c:xMode val="edge"/>
          <c:yMode val="edge"/>
          <c:x val="0.18496430825131774"/>
          <c:y val="0.14694417652807107"/>
          <c:w val="0.46181411156941887"/>
          <c:h val="0.69570915435856628"/>
        </c:manualLayout>
      </c:layout>
      <c:areaChart>
        <c:grouping val="percentStacked"/>
        <c:varyColors val="0"/>
        <c:ser>
          <c:idx val="1"/>
          <c:order val="0"/>
          <c:tx>
            <c:strRef>
              <c:f>'COT Efficiency'!$BF$5</c:f>
              <c:strCache>
                <c:ptCount val="1"/>
                <c:pt idx="0">
                  <c:v>Cin Cout ESR %</c:v>
                </c:pt>
              </c:strCache>
            </c:strRef>
          </c:tx>
          <c:spPr>
            <a:solidFill>
              <a:srgbClr val="FFFF00"/>
            </a:solidFill>
            <a:ln w="12700">
              <a:solidFill>
                <a:srgbClr val="000000"/>
              </a:solidFill>
              <a:prstDash val="solid"/>
            </a:ln>
          </c:spPr>
          <c:val>
            <c:numRef>
              <c:f>'COT Efficiency'!$BF$6:$BF$106</c:f>
              <c:numCache>
                <c:formatCode>0.000%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38FD-43BA-800F-ACE4A2DF69C6}"/>
            </c:ext>
          </c:extLst>
        </c:ser>
        <c:ser>
          <c:idx val="3"/>
          <c:order val="1"/>
          <c:tx>
            <c:strRef>
              <c:f>'COT Efficiency'!$BC$5</c:f>
              <c:strCache>
                <c:ptCount val="1"/>
                <c:pt idx="0">
                  <c:v>Deadtime Loss %</c:v>
                </c:pt>
              </c:strCache>
            </c:strRef>
          </c:tx>
          <c:spPr>
            <a:solidFill>
              <a:srgbClr val="666699"/>
            </a:solidFill>
            <a:ln w="12700">
              <a:solidFill>
                <a:srgbClr val="000000"/>
              </a:solidFill>
              <a:prstDash val="solid"/>
            </a:ln>
          </c:spPr>
          <c:val>
            <c:numRef>
              <c:f>'COT Efficiency'!$BC$6:$BC$106</c:f>
              <c:numCache>
                <c:formatCode>0.000%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38FD-43BA-800F-ACE4A2DF69C6}"/>
            </c:ext>
          </c:extLst>
        </c:ser>
        <c:ser>
          <c:idx val="6"/>
          <c:order val="2"/>
          <c:tx>
            <c:strRef>
              <c:f>'COT Efficiency'!$AX$5</c:f>
              <c:strCache>
                <c:ptCount val="1"/>
                <c:pt idx="0">
                  <c:v>High-side MOSFET Rdson %</c:v>
                </c:pt>
              </c:strCache>
            </c:strRef>
          </c:tx>
          <c:spPr>
            <a:solidFill>
              <a:srgbClr val="FF0000"/>
            </a:solidFill>
            <a:ln w="12700">
              <a:solidFill>
                <a:srgbClr val="000000"/>
              </a:solidFill>
              <a:prstDash val="solid"/>
            </a:ln>
          </c:spPr>
          <c:val>
            <c:numRef>
              <c:f>'COT Efficiency'!$AX$6:$AX$106</c:f>
              <c:numCache>
                <c:formatCode>0.000%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2-38FD-43BA-800F-ACE4A2DF69C6}"/>
            </c:ext>
          </c:extLst>
        </c:ser>
        <c:ser>
          <c:idx val="7"/>
          <c:order val="3"/>
          <c:tx>
            <c:strRef>
              <c:f>'COT Efficiency'!$AY$5</c:f>
              <c:strCache>
                <c:ptCount val="1"/>
                <c:pt idx="0">
                  <c:v>Low-side MOSFET Rdson %</c:v>
                </c:pt>
              </c:strCache>
            </c:strRef>
          </c:tx>
          <c:spPr>
            <a:solidFill>
              <a:srgbClr val="FF6600"/>
            </a:solidFill>
            <a:ln w="12700">
              <a:solidFill>
                <a:srgbClr val="000000"/>
              </a:solidFill>
              <a:prstDash val="solid"/>
            </a:ln>
          </c:spPr>
          <c:val>
            <c:numRef>
              <c:f>'COT Efficiency'!$AY$6:$AY$106</c:f>
              <c:numCache>
                <c:formatCode>0.000%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3-38FD-43BA-800F-ACE4A2DF69C6}"/>
            </c:ext>
          </c:extLst>
        </c:ser>
        <c:ser>
          <c:idx val="4"/>
          <c:order val="4"/>
          <c:tx>
            <c:strRef>
              <c:f>'COT Efficiency'!$BE$5</c:f>
              <c:strCache>
                <c:ptCount val="1"/>
                <c:pt idx="0">
                  <c:v>Inductor Core Loss %</c:v>
                </c:pt>
              </c:strCache>
            </c:strRef>
          </c:tx>
          <c:spPr>
            <a:solidFill>
              <a:srgbClr val="99CC00"/>
            </a:solidFill>
            <a:ln w="12700">
              <a:solidFill>
                <a:srgbClr val="000000"/>
              </a:solidFill>
              <a:prstDash val="solid"/>
            </a:ln>
          </c:spPr>
          <c:val>
            <c:numRef>
              <c:f>'COT Efficiency'!$BE$6:$BE$106</c:f>
              <c:numCache>
                <c:formatCode>0.000%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4-38FD-43BA-800F-ACE4A2DF69C6}"/>
            </c:ext>
          </c:extLst>
        </c:ser>
        <c:ser>
          <c:idx val="8"/>
          <c:order val="5"/>
          <c:tx>
            <c:strRef>
              <c:f>'COT Efficiency'!$BD$5</c:f>
              <c:strCache>
                <c:ptCount val="1"/>
                <c:pt idx="0">
                  <c:v>Inductor Cu Loss %</c:v>
                </c:pt>
              </c:strCache>
            </c:strRef>
          </c:tx>
          <c:spPr>
            <a:solidFill>
              <a:srgbClr val="00FF00"/>
            </a:solidFill>
            <a:ln w="12700">
              <a:solidFill>
                <a:srgbClr val="000000"/>
              </a:solidFill>
              <a:prstDash val="solid"/>
            </a:ln>
          </c:spPr>
          <c:val>
            <c:numRef>
              <c:f>'COT Efficiency'!$BD$6:$BD$106</c:f>
              <c:numCache>
                <c:formatCode>0.000%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5-38FD-43BA-800F-ACE4A2DF69C6}"/>
            </c:ext>
          </c:extLst>
        </c:ser>
        <c:ser>
          <c:idx val="2"/>
          <c:order val="6"/>
          <c:tx>
            <c:strRef>
              <c:f>'COT Efficiency'!$AZ$5</c:f>
              <c:strCache>
                <c:ptCount val="1"/>
                <c:pt idx="0">
                  <c:v>Gate Drive (Qg) Loss from Vin %</c:v>
                </c:pt>
              </c:strCache>
            </c:strRef>
          </c:tx>
          <c:spPr>
            <a:solidFill>
              <a:srgbClr val="00FFFF"/>
            </a:solidFill>
            <a:ln w="12700">
              <a:solidFill>
                <a:srgbClr val="000000"/>
              </a:solidFill>
              <a:prstDash val="solid"/>
            </a:ln>
          </c:spPr>
          <c:val>
            <c:numRef>
              <c:f>'COT Efficiency'!$AZ$6:$AZ$106</c:f>
              <c:numCache>
                <c:formatCode>0.000%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6-38FD-43BA-800F-ACE4A2DF69C6}"/>
            </c:ext>
          </c:extLst>
        </c:ser>
        <c:ser>
          <c:idx val="5"/>
          <c:order val="7"/>
          <c:tx>
            <c:strRef>
              <c:f>'COT Efficiency'!$BA$5</c:f>
              <c:strCache>
                <c:ptCount val="1"/>
                <c:pt idx="0">
                  <c:v>High-side MOSFET Switching Loss %</c:v>
                </c:pt>
              </c:strCache>
            </c:strRef>
          </c:tx>
          <c:spPr>
            <a:solidFill>
              <a:srgbClr val="0000FF"/>
            </a:solidFill>
            <a:ln w="12700">
              <a:solidFill>
                <a:srgbClr val="000000"/>
              </a:solidFill>
              <a:prstDash val="solid"/>
            </a:ln>
          </c:spPr>
          <c:val>
            <c:numRef>
              <c:f>'COT Efficiency'!$BA$6:$BA$106</c:f>
              <c:numCache>
                <c:formatCode>0.000%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7-38FD-43BA-800F-ACE4A2DF69C6}"/>
            </c:ext>
          </c:extLst>
        </c:ser>
        <c:ser>
          <c:idx val="10"/>
          <c:order val="8"/>
          <c:tx>
            <c:strRef>
              <c:f>'COT Efficiency'!$BB$5</c:f>
              <c:strCache>
                <c:ptCount val="1"/>
                <c:pt idx="0">
                  <c:v>Reverse Recovery &amp; Leakage Loss %</c:v>
                </c:pt>
              </c:strCache>
            </c:strRef>
          </c:tx>
          <c:spPr>
            <a:solidFill>
              <a:srgbClr val="FFFF00"/>
            </a:solidFill>
            <a:ln w="12700">
              <a:solidFill>
                <a:srgbClr val="000000"/>
              </a:solidFill>
              <a:prstDash val="solid"/>
            </a:ln>
          </c:spPr>
          <c:val>
            <c:numRef>
              <c:f>'COT Efficiency'!$BB$6:$BB$106</c:f>
              <c:numCache>
                <c:formatCode>0.000%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8-38FD-43BA-800F-ACE4A2DF69C6}"/>
            </c:ext>
          </c:extLst>
        </c:ser>
        <c:ser>
          <c:idx val="0"/>
          <c:order val="9"/>
          <c:tx>
            <c:strRef>
              <c:f>'COT Efficiency'!$BG$5</c:f>
              <c:strCache>
                <c:ptCount val="1"/>
                <c:pt idx="0">
                  <c:v>Quiescent Current Loss %</c:v>
                </c:pt>
              </c:strCache>
            </c:strRef>
          </c:tx>
          <c:val>
            <c:numRef>
              <c:f>'COT Efficiency'!$BG$6:$BG$106</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9-38FD-43BA-800F-ACE4A2DF69C6}"/>
            </c:ext>
          </c:extLst>
        </c:ser>
        <c:ser>
          <c:idx val="9"/>
          <c:order val="10"/>
          <c:tx>
            <c:strRef>
              <c:f>'COT Efficiency'!$BI$5</c:f>
              <c:strCache>
                <c:ptCount val="1"/>
                <c:pt idx="0">
                  <c:v>Overall Eff %</c:v>
                </c:pt>
              </c:strCache>
            </c:strRef>
          </c:tx>
          <c:spPr>
            <a:solidFill>
              <a:srgbClr val="000000"/>
            </a:solidFill>
            <a:ln w="12700">
              <a:solidFill>
                <a:srgbClr val="000000"/>
              </a:solidFill>
              <a:prstDash val="solid"/>
            </a:ln>
          </c:spPr>
          <c:val>
            <c:numRef>
              <c:f>'COT Efficiency'!$BI$6:$BI$106</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A-38FD-43BA-800F-ACE4A2DF69C6}"/>
            </c:ext>
          </c:extLst>
        </c:ser>
        <c:dLbls>
          <c:showLegendKey val="0"/>
          <c:showVal val="0"/>
          <c:showCatName val="0"/>
          <c:showSerName val="0"/>
          <c:showPercent val="0"/>
          <c:showBubbleSize val="0"/>
        </c:dLbls>
        <c:axId val="159898240"/>
        <c:axId val="159904512"/>
      </c:areaChart>
      <c:catAx>
        <c:axId val="159898240"/>
        <c:scaling>
          <c:orientation val="minMax"/>
        </c:scaling>
        <c:delete val="0"/>
        <c:axPos val="b"/>
        <c:majorGridlines>
          <c:spPr>
            <a:ln w="3175">
              <a:solidFill>
                <a:srgbClr val="000000"/>
              </a:solidFill>
              <a:prstDash val="solid"/>
            </a:ln>
          </c:spPr>
        </c:majorGridlines>
        <c:title>
          <c:tx>
            <c:rich>
              <a:bodyPr/>
              <a:lstStyle/>
              <a:p>
                <a:pPr>
                  <a:defRPr sz="1725" b="1" i="0" u="none" strike="noStrike" baseline="0">
                    <a:solidFill>
                      <a:srgbClr val="000000"/>
                    </a:solidFill>
                    <a:latin typeface="Arial"/>
                    <a:ea typeface="Arial"/>
                    <a:cs typeface="Arial"/>
                  </a:defRPr>
                </a:pPr>
                <a:r>
                  <a:rPr lang="en-US"/>
                  <a:t>I</a:t>
                </a:r>
                <a:r>
                  <a:rPr lang="en-US" baseline="-25000"/>
                  <a:t>OUT</a:t>
                </a:r>
                <a:r>
                  <a:rPr lang="en-US"/>
                  <a:t> (log scale)</a:t>
                </a:r>
              </a:p>
            </c:rich>
          </c:tx>
          <c:layout>
            <c:manualLayout>
              <c:xMode val="edge"/>
              <c:yMode val="edge"/>
              <c:x val="0.36670200647119611"/>
              <c:y val="0.89150460843557344"/>
            </c:manualLayout>
          </c:layout>
          <c:overlay val="0"/>
          <c:spPr>
            <a:noFill/>
            <a:ln w="25400">
              <a:noFill/>
            </a:ln>
          </c:spPr>
        </c:title>
        <c:numFmt formatCode="#,##0" sourceLinked="0"/>
        <c:majorTickMark val="out"/>
        <c:minorTickMark val="none"/>
        <c:tickLblPos val="none"/>
        <c:spPr>
          <a:ln w="3175">
            <a:solidFill>
              <a:srgbClr val="000000"/>
            </a:solidFill>
            <a:prstDash val="solid"/>
          </a:ln>
        </c:spPr>
        <c:txPr>
          <a:bodyPr rot="-5400000" vert="horz"/>
          <a:lstStyle/>
          <a:p>
            <a:pPr>
              <a:defRPr sz="1725" b="0" i="0" u="none" strike="noStrike" baseline="0">
                <a:solidFill>
                  <a:srgbClr val="000000"/>
                </a:solidFill>
                <a:latin typeface="Arial"/>
                <a:ea typeface="Arial"/>
                <a:cs typeface="Arial"/>
              </a:defRPr>
            </a:pPr>
            <a:endParaRPr lang="en-US"/>
          </a:p>
        </c:txPr>
        <c:crossAx val="159904512"/>
        <c:crosses val="autoZero"/>
        <c:auto val="1"/>
        <c:lblAlgn val="ctr"/>
        <c:lblOffset val="100"/>
        <c:tickMarkSkip val="1"/>
        <c:noMultiLvlLbl val="0"/>
      </c:catAx>
      <c:valAx>
        <c:axId val="159904512"/>
        <c:scaling>
          <c:orientation val="minMax"/>
          <c:max val="0.2"/>
          <c:min val="0"/>
        </c:scaling>
        <c:delete val="0"/>
        <c:axPos val="l"/>
        <c:majorGridlines>
          <c:spPr>
            <a:ln w="3175">
              <a:solidFill>
                <a:srgbClr val="000000"/>
              </a:solidFill>
              <a:prstDash val="solid"/>
            </a:ln>
          </c:spPr>
        </c:majorGridlines>
        <c:title>
          <c:tx>
            <c:rich>
              <a:bodyPr/>
              <a:lstStyle/>
              <a:p>
                <a:pPr>
                  <a:defRPr sz="1725" b="1" i="0" u="none" strike="noStrike" baseline="0">
                    <a:solidFill>
                      <a:srgbClr val="000000"/>
                    </a:solidFill>
                    <a:latin typeface="Arial"/>
                    <a:ea typeface="Arial"/>
                    <a:cs typeface="Arial"/>
                  </a:defRPr>
                </a:pPr>
                <a:r>
                  <a:rPr lang="en-US"/>
                  <a:t>Efficiency (%)</a:t>
                </a:r>
              </a:p>
            </c:rich>
          </c:tx>
          <c:layout>
            <c:manualLayout>
              <c:xMode val="edge"/>
              <c:yMode val="edge"/>
              <c:x val="0.10744349235757295"/>
              <c:y val="0.3194331835533080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725" b="0" i="0" u="none" strike="noStrike" baseline="0">
                <a:solidFill>
                  <a:srgbClr val="000000"/>
                </a:solidFill>
                <a:latin typeface="Arial"/>
                <a:ea typeface="Arial"/>
                <a:cs typeface="Arial"/>
              </a:defRPr>
            </a:pPr>
            <a:endParaRPr lang="en-US"/>
          </a:p>
        </c:txPr>
        <c:crossAx val="159898240"/>
        <c:crosses val="autoZero"/>
        <c:crossBetween val="midCat"/>
        <c:majorUnit val="0.05"/>
      </c:valAx>
      <c:spPr>
        <a:solidFill>
          <a:srgbClr val="C0C0C0"/>
        </a:solidFill>
        <a:ln w="12700">
          <a:solidFill>
            <a:srgbClr val="808080"/>
          </a:solidFill>
          <a:prstDash val="solid"/>
        </a:ln>
      </c:spPr>
    </c:plotArea>
    <c:legend>
      <c:legendPos val="r"/>
      <c:layout>
        <c:manualLayout>
          <c:xMode val="edge"/>
          <c:yMode val="edge"/>
          <c:x val="0.6796348064312191"/>
          <c:y val="5.737748792134436E-2"/>
          <c:w val="0.26010897805044486"/>
          <c:h val="0.85864261581306134"/>
        </c:manualLayout>
      </c:layout>
      <c:overlay val="0"/>
      <c:spPr>
        <a:solidFill>
          <a:srgbClr val="FFFFFF"/>
        </a:solidFill>
        <a:ln w="3175">
          <a:solidFill>
            <a:srgbClr val="000000"/>
          </a:solidFill>
          <a:prstDash val="solid"/>
        </a:ln>
      </c:spPr>
      <c:txPr>
        <a:bodyPr/>
        <a:lstStyle/>
        <a:p>
          <a:pPr>
            <a:defRPr sz="1335" b="0" i="0" u="none" strike="noStrike" baseline="0">
              <a:solidFill>
                <a:srgbClr val="000000"/>
              </a:solidFill>
              <a:latin typeface="Arial"/>
              <a:ea typeface="Arial"/>
              <a:cs typeface="Arial"/>
            </a:defRPr>
          </a:pPr>
          <a:endParaRPr lang="en-US"/>
        </a:p>
      </c:txPr>
    </c:legend>
    <c:plotVisOnly val="1"/>
    <c:dispBlanksAs val="zero"/>
    <c:showDLblsOverMax val="0"/>
  </c:chart>
  <c:spPr>
    <a:solidFill>
      <a:srgbClr val="FFFFFF"/>
    </a:solidFill>
    <a:ln w="3175">
      <a:noFill/>
      <a:prstDash val="solid"/>
    </a:ln>
  </c:spPr>
  <c:txPr>
    <a:bodyPr/>
    <a:lstStyle/>
    <a:p>
      <a:pPr>
        <a:defRPr sz="1725" b="0" i="0" u="none" strike="noStrike" baseline="0">
          <a:solidFill>
            <a:srgbClr val="000000"/>
          </a:solidFill>
          <a:latin typeface="Arial"/>
          <a:ea typeface="Arial"/>
          <a:cs typeface="Arial"/>
        </a:defRPr>
      </a:pPr>
      <a:endParaRPr lang="en-US"/>
    </a:p>
  </c:txPr>
  <c:printSettings>
    <c:headerFooter alignWithMargins="0"/>
    <c:pageMargins b="1" l="0.75000000000000189" r="0.75000000000000189" t="1" header="0.5" footer="0.5"/>
    <c:pageSetup orientation="landscape"/>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P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b="1" i="0" u="none" strike="noStrike" baseline="0">
                <a:solidFill>
                  <a:srgbClr val="000000"/>
                </a:solidFill>
                <a:latin typeface="Arial" pitchFamily="34" charset="0"/>
                <a:ea typeface="Calibri"/>
                <a:cs typeface="Arial" pitchFamily="34" charset="0"/>
              </a:defRPr>
            </a:pPr>
            <a:r>
              <a:rPr lang="en-US" sz="2000">
                <a:latin typeface="Arial" pitchFamily="34" charset="0"/>
                <a:cs typeface="Arial" pitchFamily="34" charset="0"/>
                <a:sym typeface="Symbol"/>
              </a:rPr>
              <a:t></a:t>
            </a:r>
            <a:r>
              <a:rPr lang="en-US" sz="2000" b="1" i="0" u="none" strike="noStrike" baseline="0"/>
              <a:t>, V</a:t>
            </a:r>
            <a:r>
              <a:rPr lang="en-US" sz="2000" b="1" i="0" u="none" strike="noStrike" baseline="-25000"/>
              <a:t>IN</a:t>
            </a:r>
            <a:r>
              <a:rPr lang="en-US" sz="2000" b="1" i="0" u="none" strike="noStrike" baseline="0"/>
              <a:t> = V</a:t>
            </a:r>
            <a:r>
              <a:rPr lang="en-US" sz="2000" b="1" i="0" u="none" strike="noStrike" baseline="-25000"/>
              <a:t>IN(nom)</a:t>
            </a:r>
            <a:endParaRPr lang="en-US" sz="2000">
              <a:latin typeface="Arial" pitchFamily="34" charset="0"/>
              <a:cs typeface="Arial" pitchFamily="34" charset="0"/>
            </a:endParaRPr>
          </a:p>
        </c:rich>
      </c:tx>
      <c:layout>
        <c:manualLayout>
          <c:xMode val="edge"/>
          <c:yMode val="edge"/>
          <c:x val="0.10084794235626206"/>
          <c:y val="2.0639566697272373E-2"/>
        </c:manualLayout>
      </c:layout>
      <c:overlay val="0"/>
      <c:spPr>
        <a:noFill/>
        <a:ln w="25400">
          <a:noFill/>
        </a:ln>
      </c:spPr>
    </c:title>
    <c:autoTitleDeleted val="0"/>
    <c:plotArea>
      <c:layout>
        <c:manualLayout>
          <c:layoutTarget val="inner"/>
          <c:xMode val="edge"/>
          <c:yMode val="edge"/>
          <c:x val="8.5540561846730284E-2"/>
          <c:y val="0.12372903654825702"/>
          <c:w val="0.82265898741455901"/>
          <c:h val="0.76068566810117366"/>
        </c:manualLayout>
      </c:layout>
      <c:lineChart>
        <c:grouping val="standard"/>
        <c:varyColors val="0"/>
        <c:ser>
          <c:idx val="0"/>
          <c:order val="0"/>
          <c:tx>
            <c:v> Efficiency</c:v>
          </c:tx>
          <c:spPr>
            <a:ln w="31750">
              <a:solidFill>
                <a:srgbClr val="FF0000"/>
              </a:solidFill>
              <a:prstDash val="solid"/>
            </a:ln>
          </c:spPr>
          <c:marker>
            <c:symbol val="none"/>
          </c:marker>
          <c:cat>
            <c:numRef>
              <c:f>'COT Efficiency'!$BK$6:$BK$106</c:f>
              <c:numCache>
                <c:formatCode>0.000</c:formatCode>
                <c:ptCount val="101"/>
                <c:pt idx="0">
                  <c:v>0.15</c:v>
                </c:pt>
                <c:pt idx="1">
                  <c:v>1.5</c:v>
                </c:pt>
                <c:pt idx="2">
                  <c:v>3</c:v>
                </c:pt>
                <c:pt idx="3">
                  <c:v>4.5</c:v>
                </c:pt>
                <c:pt idx="4">
                  <c:v>6</c:v>
                </c:pt>
                <c:pt idx="5">
                  <c:v>7.5</c:v>
                </c:pt>
                <c:pt idx="6">
                  <c:v>9</c:v>
                </c:pt>
                <c:pt idx="7">
                  <c:v>10.5</c:v>
                </c:pt>
                <c:pt idx="8">
                  <c:v>12</c:v>
                </c:pt>
                <c:pt idx="9">
                  <c:v>13.5</c:v>
                </c:pt>
                <c:pt idx="10">
                  <c:v>15</c:v>
                </c:pt>
                <c:pt idx="11">
                  <c:v>16.5</c:v>
                </c:pt>
                <c:pt idx="12">
                  <c:v>18</c:v>
                </c:pt>
                <c:pt idx="13">
                  <c:v>19.5</c:v>
                </c:pt>
                <c:pt idx="14">
                  <c:v>21</c:v>
                </c:pt>
                <c:pt idx="15">
                  <c:v>22.5</c:v>
                </c:pt>
                <c:pt idx="16">
                  <c:v>24</c:v>
                </c:pt>
                <c:pt idx="17">
                  <c:v>25.500000000000004</c:v>
                </c:pt>
                <c:pt idx="18">
                  <c:v>27</c:v>
                </c:pt>
                <c:pt idx="19">
                  <c:v>28.499999999999996</c:v>
                </c:pt>
                <c:pt idx="20">
                  <c:v>30</c:v>
                </c:pt>
                <c:pt idx="21">
                  <c:v>31.5</c:v>
                </c:pt>
                <c:pt idx="22">
                  <c:v>33</c:v>
                </c:pt>
                <c:pt idx="23">
                  <c:v>34.5</c:v>
                </c:pt>
                <c:pt idx="24">
                  <c:v>36</c:v>
                </c:pt>
                <c:pt idx="25">
                  <c:v>37.5</c:v>
                </c:pt>
                <c:pt idx="26">
                  <c:v>39</c:v>
                </c:pt>
                <c:pt idx="27">
                  <c:v>40.5</c:v>
                </c:pt>
                <c:pt idx="28">
                  <c:v>42</c:v>
                </c:pt>
                <c:pt idx="29">
                  <c:v>43.5</c:v>
                </c:pt>
                <c:pt idx="30">
                  <c:v>45</c:v>
                </c:pt>
                <c:pt idx="31">
                  <c:v>46.5</c:v>
                </c:pt>
                <c:pt idx="32">
                  <c:v>48</c:v>
                </c:pt>
                <c:pt idx="33">
                  <c:v>49.5</c:v>
                </c:pt>
                <c:pt idx="34">
                  <c:v>51.000000000000007</c:v>
                </c:pt>
                <c:pt idx="35">
                  <c:v>52.5</c:v>
                </c:pt>
                <c:pt idx="36">
                  <c:v>54</c:v>
                </c:pt>
                <c:pt idx="37">
                  <c:v>55.5</c:v>
                </c:pt>
                <c:pt idx="38">
                  <c:v>56.999999999999993</c:v>
                </c:pt>
                <c:pt idx="39">
                  <c:v>58.5</c:v>
                </c:pt>
                <c:pt idx="40">
                  <c:v>60</c:v>
                </c:pt>
                <c:pt idx="41">
                  <c:v>61.499999999999993</c:v>
                </c:pt>
                <c:pt idx="42">
                  <c:v>63</c:v>
                </c:pt>
                <c:pt idx="43">
                  <c:v>64.5</c:v>
                </c:pt>
                <c:pt idx="44">
                  <c:v>66</c:v>
                </c:pt>
                <c:pt idx="45">
                  <c:v>67.5</c:v>
                </c:pt>
                <c:pt idx="46">
                  <c:v>69</c:v>
                </c:pt>
                <c:pt idx="47">
                  <c:v>70.5</c:v>
                </c:pt>
                <c:pt idx="48">
                  <c:v>72</c:v>
                </c:pt>
                <c:pt idx="49">
                  <c:v>73.5</c:v>
                </c:pt>
                <c:pt idx="50">
                  <c:v>75</c:v>
                </c:pt>
                <c:pt idx="51">
                  <c:v>76.5</c:v>
                </c:pt>
                <c:pt idx="52">
                  <c:v>78</c:v>
                </c:pt>
                <c:pt idx="53">
                  <c:v>79.5</c:v>
                </c:pt>
                <c:pt idx="54">
                  <c:v>81</c:v>
                </c:pt>
                <c:pt idx="55">
                  <c:v>82.5</c:v>
                </c:pt>
                <c:pt idx="56">
                  <c:v>84</c:v>
                </c:pt>
                <c:pt idx="57">
                  <c:v>85.499999999999986</c:v>
                </c:pt>
                <c:pt idx="58">
                  <c:v>87</c:v>
                </c:pt>
                <c:pt idx="59">
                  <c:v>88.5</c:v>
                </c:pt>
                <c:pt idx="60">
                  <c:v>90</c:v>
                </c:pt>
                <c:pt idx="61">
                  <c:v>91.5</c:v>
                </c:pt>
                <c:pt idx="62">
                  <c:v>93</c:v>
                </c:pt>
                <c:pt idx="63">
                  <c:v>94.5</c:v>
                </c:pt>
                <c:pt idx="64">
                  <c:v>96</c:v>
                </c:pt>
                <c:pt idx="65">
                  <c:v>97.5</c:v>
                </c:pt>
                <c:pt idx="66">
                  <c:v>99</c:v>
                </c:pt>
                <c:pt idx="67">
                  <c:v>100.5</c:v>
                </c:pt>
                <c:pt idx="68">
                  <c:v>102.00000000000001</c:v>
                </c:pt>
                <c:pt idx="69">
                  <c:v>103.5</c:v>
                </c:pt>
                <c:pt idx="70">
                  <c:v>105</c:v>
                </c:pt>
                <c:pt idx="71">
                  <c:v>106.5</c:v>
                </c:pt>
                <c:pt idx="72">
                  <c:v>108</c:v>
                </c:pt>
                <c:pt idx="73">
                  <c:v>109.5</c:v>
                </c:pt>
                <c:pt idx="74">
                  <c:v>111</c:v>
                </c:pt>
                <c:pt idx="75">
                  <c:v>112.49999999999999</c:v>
                </c:pt>
                <c:pt idx="76">
                  <c:v>113.99999999999999</c:v>
                </c:pt>
                <c:pt idx="77">
                  <c:v>115.49999999999999</c:v>
                </c:pt>
                <c:pt idx="78">
                  <c:v>117</c:v>
                </c:pt>
                <c:pt idx="79">
                  <c:v>118.5</c:v>
                </c:pt>
                <c:pt idx="80">
                  <c:v>120</c:v>
                </c:pt>
                <c:pt idx="81">
                  <c:v>121.5</c:v>
                </c:pt>
                <c:pt idx="82">
                  <c:v>122.99999999999999</c:v>
                </c:pt>
                <c:pt idx="83">
                  <c:v>124.49999999999999</c:v>
                </c:pt>
                <c:pt idx="84">
                  <c:v>126</c:v>
                </c:pt>
                <c:pt idx="85">
                  <c:v>127.5</c:v>
                </c:pt>
                <c:pt idx="86">
                  <c:v>129</c:v>
                </c:pt>
                <c:pt idx="87">
                  <c:v>130.5</c:v>
                </c:pt>
                <c:pt idx="88">
                  <c:v>132</c:v>
                </c:pt>
                <c:pt idx="89">
                  <c:v>133.5</c:v>
                </c:pt>
                <c:pt idx="90">
                  <c:v>135</c:v>
                </c:pt>
                <c:pt idx="91">
                  <c:v>136.5</c:v>
                </c:pt>
                <c:pt idx="92">
                  <c:v>138</c:v>
                </c:pt>
                <c:pt idx="93">
                  <c:v>139.5</c:v>
                </c:pt>
                <c:pt idx="94">
                  <c:v>141</c:v>
                </c:pt>
                <c:pt idx="95">
                  <c:v>142.5</c:v>
                </c:pt>
                <c:pt idx="96">
                  <c:v>144</c:v>
                </c:pt>
                <c:pt idx="97">
                  <c:v>145.5</c:v>
                </c:pt>
                <c:pt idx="98">
                  <c:v>147</c:v>
                </c:pt>
                <c:pt idx="99">
                  <c:v>148.5</c:v>
                </c:pt>
                <c:pt idx="100">
                  <c:v>150</c:v>
                </c:pt>
              </c:numCache>
            </c:numRef>
          </c:cat>
          <c:val>
            <c:numRef>
              <c:f>'COT Efficiency'!$BW$6:$BW$106</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1"/>
          <c:extLst>
            <c:ext xmlns:c16="http://schemas.microsoft.com/office/drawing/2014/chart" uri="{C3380CC4-5D6E-409C-BE32-E72D297353CC}">
              <c16:uniqueId val="{00000000-223A-4C54-BD16-02504D6166AA}"/>
            </c:ext>
          </c:extLst>
        </c:ser>
        <c:dLbls>
          <c:showLegendKey val="0"/>
          <c:showVal val="0"/>
          <c:showCatName val="0"/>
          <c:showSerName val="0"/>
          <c:showPercent val="0"/>
          <c:showBubbleSize val="0"/>
        </c:dLbls>
        <c:marker val="1"/>
        <c:smooth val="0"/>
        <c:axId val="160350592"/>
        <c:axId val="160352512"/>
      </c:lineChart>
      <c:lineChart>
        <c:grouping val="standard"/>
        <c:varyColors val="0"/>
        <c:ser>
          <c:idx val="2"/>
          <c:order val="1"/>
          <c:tx>
            <c:v> IC Total Power Loss</c:v>
          </c:tx>
          <c:spPr>
            <a:ln w="38100">
              <a:solidFill>
                <a:srgbClr val="808000"/>
              </a:solidFill>
              <a:prstDash val="sysDash"/>
            </a:ln>
          </c:spPr>
          <c:marker>
            <c:symbol val="none"/>
          </c:marker>
          <c:cat>
            <c:numRef>
              <c:f>'COT Efficiency'!$BK$6:$BK$106</c:f>
              <c:numCache>
                <c:formatCode>0.000</c:formatCode>
                <c:ptCount val="101"/>
                <c:pt idx="0">
                  <c:v>0.15</c:v>
                </c:pt>
                <c:pt idx="1">
                  <c:v>1.5</c:v>
                </c:pt>
                <c:pt idx="2">
                  <c:v>3</c:v>
                </c:pt>
                <c:pt idx="3">
                  <c:v>4.5</c:v>
                </c:pt>
                <c:pt idx="4">
                  <c:v>6</c:v>
                </c:pt>
                <c:pt idx="5">
                  <c:v>7.5</c:v>
                </c:pt>
                <c:pt idx="6">
                  <c:v>9</c:v>
                </c:pt>
                <c:pt idx="7">
                  <c:v>10.5</c:v>
                </c:pt>
                <c:pt idx="8">
                  <c:v>12</c:v>
                </c:pt>
                <c:pt idx="9">
                  <c:v>13.5</c:v>
                </c:pt>
                <c:pt idx="10">
                  <c:v>15</c:v>
                </c:pt>
                <c:pt idx="11">
                  <c:v>16.5</c:v>
                </c:pt>
                <c:pt idx="12">
                  <c:v>18</c:v>
                </c:pt>
                <c:pt idx="13">
                  <c:v>19.5</c:v>
                </c:pt>
                <c:pt idx="14">
                  <c:v>21</c:v>
                </c:pt>
                <c:pt idx="15">
                  <c:v>22.5</c:v>
                </c:pt>
                <c:pt idx="16">
                  <c:v>24</c:v>
                </c:pt>
                <c:pt idx="17">
                  <c:v>25.500000000000004</c:v>
                </c:pt>
                <c:pt idx="18">
                  <c:v>27</c:v>
                </c:pt>
                <c:pt idx="19">
                  <c:v>28.499999999999996</c:v>
                </c:pt>
                <c:pt idx="20">
                  <c:v>30</c:v>
                </c:pt>
                <c:pt idx="21">
                  <c:v>31.5</c:v>
                </c:pt>
                <c:pt idx="22">
                  <c:v>33</c:v>
                </c:pt>
                <c:pt idx="23">
                  <c:v>34.5</c:v>
                </c:pt>
                <c:pt idx="24">
                  <c:v>36</c:v>
                </c:pt>
                <c:pt idx="25">
                  <c:v>37.5</c:v>
                </c:pt>
                <c:pt idx="26">
                  <c:v>39</c:v>
                </c:pt>
                <c:pt idx="27">
                  <c:v>40.5</c:v>
                </c:pt>
                <c:pt idx="28">
                  <c:v>42</c:v>
                </c:pt>
                <c:pt idx="29">
                  <c:v>43.5</c:v>
                </c:pt>
                <c:pt idx="30">
                  <c:v>45</c:v>
                </c:pt>
                <c:pt idx="31">
                  <c:v>46.5</c:v>
                </c:pt>
                <c:pt idx="32">
                  <c:v>48</c:v>
                </c:pt>
                <c:pt idx="33">
                  <c:v>49.5</c:v>
                </c:pt>
                <c:pt idx="34">
                  <c:v>51.000000000000007</c:v>
                </c:pt>
                <c:pt idx="35">
                  <c:v>52.5</c:v>
                </c:pt>
                <c:pt idx="36">
                  <c:v>54</c:v>
                </c:pt>
                <c:pt idx="37">
                  <c:v>55.5</c:v>
                </c:pt>
                <c:pt idx="38">
                  <c:v>56.999999999999993</c:v>
                </c:pt>
                <c:pt idx="39">
                  <c:v>58.5</c:v>
                </c:pt>
                <c:pt idx="40">
                  <c:v>60</c:v>
                </c:pt>
                <c:pt idx="41">
                  <c:v>61.499999999999993</c:v>
                </c:pt>
                <c:pt idx="42">
                  <c:v>63</c:v>
                </c:pt>
                <c:pt idx="43">
                  <c:v>64.5</c:v>
                </c:pt>
                <c:pt idx="44">
                  <c:v>66</c:v>
                </c:pt>
                <c:pt idx="45">
                  <c:v>67.5</c:v>
                </c:pt>
                <c:pt idx="46">
                  <c:v>69</c:v>
                </c:pt>
                <c:pt idx="47">
                  <c:v>70.5</c:v>
                </c:pt>
                <c:pt idx="48">
                  <c:v>72</c:v>
                </c:pt>
                <c:pt idx="49">
                  <c:v>73.5</c:v>
                </c:pt>
                <c:pt idx="50">
                  <c:v>75</c:v>
                </c:pt>
                <c:pt idx="51">
                  <c:v>76.5</c:v>
                </c:pt>
                <c:pt idx="52">
                  <c:v>78</c:v>
                </c:pt>
                <c:pt idx="53">
                  <c:v>79.5</c:v>
                </c:pt>
                <c:pt idx="54">
                  <c:v>81</c:v>
                </c:pt>
                <c:pt idx="55">
                  <c:v>82.5</c:v>
                </c:pt>
                <c:pt idx="56">
                  <c:v>84</c:v>
                </c:pt>
                <c:pt idx="57">
                  <c:v>85.499999999999986</c:v>
                </c:pt>
                <c:pt idx="58">
                  <c:v>87</c:v>
                </c:pt>
                <c:pt idx="59">
                  <c:v>88.5</c:v>
                </c:pt>
                <c:pt idx="60">
                  <c:v>90</c:v>
                </c:pt>
                <c:pt idx="61">
                  <c:v>91.5</c:v>
                </c:pt>
                <c:pt idx="62">
                  <c:v>93</c:v>
                </c:pt>
                <c:pt idx="63">
                  <c:v>94.5</c:v>
                </c:pt>
                <c:pt idx="64">
                  <c:v>96</c:v>
                </c:pt>
                <c:pt idx="65">
                  <c:v>97.5</c:v>
                </c:pt>
                <c:pt idx="66">
                  <c:v>99</c:v>
                </c:pt>
                <c:pt idx="67">
                  <c:v>100.5</c:v>
                </c:pt>
                <c:pt idx="68">
                  <c:v>102.00000000000001</c:v>
                </c:pt>
                <c:pt idx="69">
                  <c:v>103.5</c:v>
                </c:pt>
                <c:pt idx="70">
                  <c:v>105</c:v>
                </c:pt>
                <c:pt idx="71">
                  <c:v>106.5</c:v>
                </c:pt>
                <c:pt idx="72">
                  <c:v>108</c:v>
                </c:pt>
                <c:pt idx="73">
                  <c:v>109.5</c:v>
                </c:pt>
                <c:pt idx="74">
                  <c:v>111</c:v>
                </c:pt>
                <c:pt idx="75">
                  <c:v>112.49999999999999</c:v>
                </c:pt>
                <c:pt idx="76">
                  <c:v>113.99999999999999</c:v>
                </c:pt>
                <c:pt idx="77">
                  <c:v>115.49999999999999</c:v>
                </c:pt>
                <c:pt idx="78">
                  <c:v>117</c:v>
                </c:pt>
                <c:pt idx="79">
                  <c:v>118.5</c:v>
                </c:pt>
                <c:pt idx="80">
                  <c:v>120</c:v>
                </c:pt>
                <c:pt idx="81">
                  <c:v>121.5</c:v>
                </c:pt>
                <c:pt idx="82">
                  <c:v>122.99999999999999</c:v>
                </c:pt>
                <c:pt idx="83">
                  <c:v>124.49999999999999</c:v>
                </c:pt>
                <c:pt idx="84">
                  <c:v>126</c:v>
                </c:pt>
                <c:pt idx="85">
                  <c:v>127.5</c:v>
                </c:pt>
                <c:pt idx="86">
                  <c:v>129</c:v>
                </c:pt>
                <c:pt idx="87">
                  <c:v>130.5</c:v>
                </c:pt>
                <c:pt idx="88">
                  <c:v>132</c:v>
                </c:pt>
                <c:pt idx="89">
                  <c:v>133.5</c:v>
                </c:pt>
                <c:pt idx="90">
                  <c:v>135</c:v>
                </c:pt>
                <c:pt idx="91">
                  <c:v>136.5</c:v>
                </c:pt>
                <c:pt idx="92">
                  <c:v>138</c:v>
                </c:pt>
                <c:pt idx="93">
                  <c:v>139.5</c:v>
                </c:pt>
                <c:pt idx="94">
                  <c:v>141</c:v>
                </c:pt>
                <c:pt idx="95">
                  <c:v>142.5</c:v>
                </c:pt>
                <c:pt idx="96">
                  <c:v>144</c:v>
                </c:pt>
                <c:pt idx="97">
                  <c:v>145.5</c:v>
                </c:pt>
                <c:pt idx="98">
                  <c:v>147</c:v>
                </c:pt>
                <c:pt idx="99">
                  <c:v>148.5</c:v>
                </c:pt>
                <c:pt idx="100">
                  <c:v>150</c:v>
                </c:pt>
              </c:numCache>
            </c:numRef>
          </c:cat>
          <c:val>
            <c:numRef>
              <c:f>'COT Efficiency'!$BX$6:$BX$106</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1-223A-4C54-BD16-02504D6166AA}"/>
            </c:ext>
          </c:extLst>
        </c:ser>
        <c:ser>
          <c:idx val="1"/>
          <c:order val="2"/>
          <c:tx>
            <c:v> LDO + Quiescent Loss</c:v>
          </c:tx>
          <c:spPr>
            <a:ln w="38100">
              <a:solidFill>
                <a:srgbClr val="002060"/>
              </a:solidFill>
              <a:prstDash val="sysDot"/>
            </a:ln>
          </c:spPr>
          <c:marker>
            <c:symbol val="none"/>
          </c:marker>
          <c:cat>
            <c:numRef>
              <c:f>'COT Efficiency'!$BK$6:$BK$106</c:f>
              <c:numCache>
                <c:formatCode>0.000</c:formatCode>
                <c:ptCount val="101"/>
                <c:pt idx="0">
                  <c:v>0.15</c:v>
                </c:pt>
                <c:pt idx="1">
                  <c:v>1.5</c:v>
                </c:pt>
                <c:pt idx="2">
                  <c:v>3</c:v>
                </c:pt>
                <c:pt idx="3">
                  <c:v>4.5</c:v>
                </c:pt>
                <c:pt idx="4">
                  <c:v>6</c:v>
                </c:pt>
                <c:pt idx="5">
                  <c:v>7.5</c:v>
                </c:pt>
                <c:pt idx="6">
                  <c:v>9</c:v>
                </c:pt>
                <c:pt idx="7">
                  <c:v>10.5</c:v>
                </c:pt>
                <c:pt idx="8">
                  <c:v>12</c:v>
                </c:pt>
                <c:pt idx="9">
                  <c:v>13.5</c:v>
                </c:pt>
                <c:pt idx="10">
                  <c:v>15</c:v>
                </c:pt>
                <c:pt idx="11">
                  <c:v>16.5</c:v>
                </c:pt>
                <c:pt idx="12">
                  <c:v>18</c:v>
                </c:pt>
                <c:pt idx="13">
                  <c:v>19.5</c:v>
                </c:pt>
                <c:pt idx="14">
                  <c:v>21</c:v>
                </c:pt>
                <c:pt idx="15">
                  <c:v>22.5</c:v>
                </c:pt>
                <c:pt idx="16">
                  <c:v>24</c:v>
                </c:pt>
                <c:pt idx="17">
                  <c:v>25.500000000000004</c:v>
                </c:pt>
                <c:pt idx="18">
                  <c:v>27</c:v>
                </c:pt>
                <c:pt idx="19">
                  <c:v>28.499999999999996</c:v>
                </c:pt>
                <c:pt idx="20">
                  <c:v>30</c:v>
                </c:pt>
                <c:pt idx="21">
                  <c:v>31.5</c:v>
                </c:pt>
                <c:pt idx="22">
                  <c:v>33</c:v>
                </c:pt>
                <c:pt idx="23">
                  <c:v>34.5</c:v>
                </c:pt>
                <c:pt idx="24">
                  <c:v>36</c:v>
                </c:pt>
                <c:pt idx="25">
                  <c:v>37.5</c:v>
                </c:pt>
                <c:pt idx="26">
                  <c:v>39</c:v>
                </c:pt>
                <c:pt idx="27">
                  <c:v>40.5</c:v>
                </c:pt>
                <c:pt idx="28">
                  <c:v>42</c:v>
                </c:pt>
                <c:pt idx="29">
                  <c:v>43.5</c:v>
                </c:pt>
                <c:pt idx="30">
                  <c:v>45</c:v>
                </c:pt>
                <c:pt idx="31">
                  <c:v>46.5</c:v>
                </c:pt>
                <c:pt idx="32">
                  <c:v>48</c:v>
                </c:pt>
                <c:pt idx="33">
                  <c:v>49.5</c:v>
                </c:pt>
                <c:pt idx="34">
                  <c:v>51.000000000000007</c:v>
                </c:pt>
                <c:pt idx="35">
                  <c:v>52.5</c:v>
                </c:pt>
                <c:pt idx="36">
                  <c:v>54</c:v>
                </c:pt>
                <c:pt idx="37">
                  <c:v>55.5</c:v>
                </c:pt>
                <c:pt idx="38">
                  <c:v>56.999999999999993</c:v>
                </c:pt>
                <c:pt idx="39">
                  <c:v>58.5</c:v>
                </c:pt>
                <c:pt idx="40">
                  <c:v>60</c:v>
                </c:pt>
                <c:pt idx="41">
                  <c:v>61.499999999999993</c:v>
                </c:pt>
                <c:pt idx="42">
                  <c:v>63</c:v>
                </c:pt>
                <c:pt idx="43">
                  <c:v>64.5</c:v>
                </c:pt>
                <c:pt idx="44">
                  <c:v>66</c:v>
                </c:pt>
                <c:pt idx="45">
                  <c:v>67.5</c:v>
                </c:pt>
                <c:pt idx="46">
                  <c:v>69</c:v>
                </c:pt>
                <c:pt idx="47">
                  <c:v>70.5</c:v>
                </c:pt>
                <c:pt idx="48">
                  <c:v>72</c:v>
                </c:pt>
                <c:pt idx="49">
                  <c:v>73.5</c:v>
                </c:pt>
                <c:pt idx="50">
                  <c:v>75</c:v>
                </c:pt>
                <c:pt idx="51">
                  <c:v>76.5</c:v>
                </c:pt>
                <c:pt idx="52">
                  <c:v>78</c:v>
                </c:pt>
                <c:pt idx="53">
                  <c:v>79.5</c:v>
                </c:pt>
                <c:pt idx="54">
                  <c:v>81</c:v>
                </c:pt>
                <c:pt idx="55">
                  <c:v>82.5</c:v>
                </c:pt>
                <c:pt idx="56">
                  <c:v>84</c:v>
                </c:pt>
                <c:pt idx="57">
                  <c:v>85.499999999999986</c:v>
                </c:pt>
                <c:pt idx="58">
                  <c:v>87</c:v>
                </c:pt>
                <c:pt idx="59">
                  <c:v>88.5</c:v>
                </c:pt>
                <c:pt idx="60">
                  <c:v>90</c:v>
                </c:pt>
                <c:pt idx="61">
                  <c:v>91.5</c:v>
                </c:pt>
                <c:pt idx="62">
                  <c:v>93</c:v>
                </c:pt>
                <c:pt idx="63">
                  <c:v>94.5</c:v>
                </c:pt>
                <c:pt idx="64">
                  <c:v>96</c:v>
                </c:pt>
                <c:pt idx="65">
                  <c:v>97.5</c:v>
                </c:pt>
                <c:pt idx="66">
                  <c:v>99</c:v>
                </c:pt>
                <c:pt idx="67">
                  <c:v>100.5</c:v>
                </c:pt>
                <c:pt idx="68">
                  <c:v>102.00000000000001</c:v>
                </c:pt>
                <c:pt idx="69">
                  <c:v>103.5</c:v>
                </c:pt>
                <c:pt idx="70">
                  <c:v>105</c:v>
                </c:pt>
                <c:pt idx="71">
                  <c:v>106.5</c:v>
                </c:pt>
                <c:pt idx="72">
                  <c:v>108</c:v>
                </c:pt>
                <c:pt idx="73">
                  <c:v>109.5</c:v>
                </c:pt>
                <c:pt idx="74">
                  <c:v>111</c:v>
                </c:pt>
                <c:pt idx="75">
                  <c:v>112.49999999999999</c:v>
                </c:pt>
                <c:pt idx="76">
                  <c:v>113.99999999999999</c:v>
                </c:pt>
                <c:pt idx="77">
                  <c:v>115.49999999999999</c:v>
                </c:pt>
                <c:pt idx="78">
                  <c:v>117</c:v>
                </c:pt>
                <c:pt idx="79">
                  <c:v>118.5</c:v>
                </c:pt>
                <c:pt idx="80">
                  <c:v>120</c:v>
                </c:pt>
                <c:pt idx="81">
                  <c:v>121.5</c:v>
                </c:pt>
                <c:pt idx="82">
                  <c:v>122.99999999999999</c:v>
                </c:pt>
                <c:pt idx="83">
                  <c:v>124.49999999999999</c:v>
                </c:pt>
                <c:pt idx="84">
                  <c:v>126</c:v>
                </c:pt>
                <c:pt idx="85">
                  <c:v>127.5</c:v>
                </c:pt>
                <c:pt idx="86">
                  <c:v>129</c:v>
                </c:pt>
                <c:pt idx="87">
                  <c:v>130.5</c:v>
                </c:pt>
                <c:pt idx="88">
                  <c:v>132</c:v>
                </c:pt>
                <c:pt idx="89">
                  <c:v>133.5</c:v>
                </c:pt>
                <c:pt idx="90">
                  <c:v>135</c:v>
                </c:pt>
                <c:pt idx="91">
                  <c:v>136.5</c:v>
                </c:pt>
                <c:pt idx="92">
                  <c:v>138</c:v>
                </c:pt>
                <c:pt idx="93">
                  <c:v>139.5</c:v>
                </c:pt>
                <c:pt idx="94">
                  <c:v>141</c:v>
                </c:pt>
                <c:pt idx="95">
                  <c:v>142.5</c:v>
                </c:pt>
                <c:pt idx="96">
                  <c:v>144</c:v>
                </c:pt>
                <c:pt idx="97">
                  <c:v>145.5</c:v>
                </c:pt>
                <c:pt idx="98">
                  <c:v>147</c:v>
                </c:pt>
                <c:pt idx="99">
                  <c:v>148.5</c:v>
                </c:pt>
                <c:pt idx="100">
                  <c:v>150</c:v>
                </c:pt>
              </c:numCache>
            </c:numRef>
          </c:cat>
          <c:val>
            <c:numRef>
              <c:f>'COT Efficiency'!$BY$6:$BY$106</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2-223A-4C54-BD16-02504D6166AA}"/>
            </c:ext>
          </c:extLst>
        </c:ser>
        <c:ser>
          <c:idx val="3"/>
          <c:order val="3"/>
          <c:tx>
            <c:v> Inductor Loss</c:v>
          </c:tx>
          <c:spPr>
            <a:ln w="38100">
              <a:solidFill>
                <a:srgbClr val="800080"/>
              </a:solidFill>
              <a:prstDash val="dash"/>
            </a:ln>
          </c:spPr>
          <c:marker>
            <c:symbol val="none"/>
          </c:marker>
          <c:cat>
            <c:numRef>
              <c:f>'COT Efficiency'!$BK$6:$BK$106</c:f>
              <c:numCache>
                <c:formatCode>0.000</c:formatCode>
                <c:ptCount val="101"/>
                <c:pt idx="0">
                  <c:v>0.15</c:v>
                </c:pt>
                <c:pt idx="1">
                  <c:v>1.5</c:v>
                </c:pt>
                <c:pt idx="2">
                  <c:v>3</c:v>
                </c:pt>
                <c:pt idx="3">
                  <c:v>4.5</c:v>
                </c:pt>
                <c:pt idx="4">
                  <c:v>6</c:v>
                </c:pt>
                <c:pt idx="5">
                  <c:v>7.5</c:v>
                </c:pt>
                <c:pt idx="6">
                  <c:v>9</c:v>
                </c:pt>
                <c:pt idx="7">
                  <c:v>10.5</c:v>
                </c:pt>
                <c:pt idx="8">
                  <c:v>12</c:v>
                </c:pt>
                <c:pt idx="9">
                  <c:v>13.5</c:v>
                </c:pt>
                <c:pt idx="10">
                  <c:v>15</c:v>
                </c:pt>
                <c:pt idx="11">
                  <c:v>16.5</c:v>
                </c:pt>
                <c:pt idx="12">
                  <c:v>18</c:v>
                </c:pt>
                <c:pt idx="13">
                  <c:v>19.5</c:v>
                </c:pt>
                <c:pt idx="14">
                  <c:v>21</c:v>
                </c:pt>
                <c:pt idx="15">
                  <c:v>22.5</c:v>
                </c:pt>
                <c:pt idx="16">
                  <c:v>24</c:v>
                </c:pt>
                <c:pt idx="17">
                  <c:v>25.500000000000004</c:v>
                </c:pt>
                <c:pt idx="18">
                  <c:v>27</c:v>
                </c:pt>
                <c:pt idx="19">
                  <c:v>28.499999999999996</c:v>
                </c:pt>
                <c:pt idx="20">
                  <c:v>30</c:v>
                </c:pt>
                <c:pt idx="21">
                  <c:v>31.5</c:v>
                </c:pt>
                <c:pt idx="22">
                  <c:v>33</c:v>
                </c:pt>
                <c:pt idx="23">
                  <c:v>34.5</c:v>
                </c:pt>
                <c:pt idx="24">
                  <c:v>36</c:v>
                </c:pt>
                <c:pt idx="25">
                  <c:v>37.5</c:v>
                </c:pt>
                <c:pt idx="26">
                  <c:v>39</c:v>
                </c:pt>
                <c:pt idx="27">
                  <c:v>40.5</c:v>
                </c:pt>
                <c:pt idx="28">
                  <c:v>42</c:v>
                </c:pt>
                <c:pt idx="29">
                  <c:v>43.5</c:v>
                </c:pt>
                <c:pt idx="30">
                  <c:v>45</c:v>
                </c:pt>
                <c:pt idx="31">
                  <c:v>46.5</c:v>
                </c:pt>
                <c:pt idx="32">
                  <c:v>48</c:v>
                </c:pt>
                <c:pt idx="33">
                  <c:v>49.5</c:v>
                </c:pt>
                <c:pt idx="34">
                  <c:v>51.000000000000007</c:v>
                </c:pt>
                <c:pt idx="35">
                  <c:v>52.5</c:v>
                </c:pt>
                <c:pt idx="36">
                  <c:v>54</c:v>
                </c:pt>
                <c:pt idx="37">
                  <c:v>55.5</c:v>
                </c:pt>
                <c:pt idx="38">
                  <c:v>56.999999999999993</c:v>
                </c:pt>
                <c:pt idx="39">
                  <c:v>58.5</c:v>
                </c:pt>
                <c:pt idx="40">
                  <c:v>60</c:v>
                </c:pt>
                <c:pt idx="41">
                  <c:v>61.499999999999993</c:v>
                </c:pt>
                <c:pt idx="42">
                  <c:v>63</c:v>
                </c:pt>
                <c:pt idx="43">
                  <c:v>64.5</c:v>
                </c:pt>
                <c:pt idx="44">
                  <c:v>66</c:v>
                </c:pt>
                <c:pt idx="45">
                  <c:v>67.5</c:v>
                </c:pt>
                <c:pt idx="46">
                  <c:v>69</c:v>
                </c:pt>
                <c:pt idx="47">
                  <c:v>70.5</c:v>
                </c:pt>
                <c:pt idx="48">
                  <c:v>72</c:v>
                </c:pt>
                <c:pt idx="49">
                  <c:v>73.5</c:v>
                </c:pt>
                <c:pt idx="50">
                  <c:v>75</c:v>
                </c:pt>
                <c:pt idx="51">
                  <c:v>76.5</c:v>
                </c:pt>
                <c:pt idx="52">
                  <c:v>78</c:v>
                </c:pt>
                <c:pt idx="53">
                  <c:v>79.5</c:v>
                </c:pt>
                <c:pt idx="54">
                  <c:v>81</c:v>
                </c:pt>
                <c:pt idx="55">
                  <c:v>82.5</c:v>
                </c:pt>
                <c:pt idx="56">
                  <c:v>84</c:v>
                </c:pt>
                <c:pt idx="57">
                  <c:v>85.499999999999986</c:v>
                </c:pt>
                <c:pt idx="58">
                  <c:v>87</c:v>
                </c:pt>
                <c:pt idx="59">
                  <c:v>88.5</c:v>
                </c:pt>
                <c:pt idx="60">
                  <c:v>90</c:v>
                </c:pt>
                <c:pt idx="61">
                  <c:v>91.5</c:v>
                </c:pt>
                <c:pt idx="62">
                  <c:v>93</c:v>
                </c:pt>
                <c:pt idx="63">
                  <c:v>94.5</c:v>
                </c:pt>
                <c:pt idx="64">
                  <c:v>96</c:v>
                </c:pt>
                <c:pt idx="65">
                  <c:v>97.5</c:v>
                </c:pt>
                <c:pt idx="66">
                  <c:v>99</c:v>
                </c:pt>
                <c:pt idx="67">
                  <c:v>100.5</c:v>
                </c:pt>
                <c:pt idx="68">
                  <c:v>102.00000000000001</c:v>
                </c:pt>
                <c:pt idx="69">
                  <c:v>103.5</c:v>
                </c:pt>
                <c:pt idx="70">
                  <c:v>105</c:v>
                </c:pt>
                <c:pt idx="71">
                  <c:v>106.5</c:v>
                </c:pt>
                <c:pt idx="72">
                  <c:v>108</c:v>
                </c:pt>
                <c:pt idx="73">
                  <c:v>109.5</c:v>
                </c:pt>
                <c:pt idx="74">
                  <c:v>111</c:v>
                </c:pt>
                <c:pt idx="75">
                  <c:v>112.49999999999999</c:v>
                </c:pt>
                <c:pt idx="76">
                  <c:v>113.99999999999999</c:v>
                </c:pt>
                <c:pt idx="77">
                  <c:v>115.49999999999999</c:v>
                </c:pt>
                <c:pt idx="78">
                  <c:v>117</c:v>
                </c:pt>
                <c:pt idx="79">
                  <c:v>118.5</c:v>
                </c:pt>
                <c:pt idx="80">
                  <c:v>120</c:v>
                </c:pt>
                <c:pt idx="81">
                  <c:v>121.5</c:v>
                </c:pt>
                <c:pt idx="82">
                  <c:v>122.99999999999999</c:v>
                </c:pt>
                <c:pt idx="83">
                  <c:v>124.49999999999999</c:v>
                </c:pt>
                <c:pt idx="84">
                  <c:v>126</c:v>
                </c:pt>
                <c:pt idx="85">
                  <c:v>127.5</c:v>
                </c:pt>
                <c:pt idx="86">
                  <c:v>129</c:v>
                </c:pt>
                <c:pt idx="87">
                  <c:v>130.5</c:v>
                </c:pt>
                <c:pt idx="88">
                  <c:v>132</c:v>
                </c:pt>
                <c:pt idx="89">
                  <c:v>133.5</c:v>
                </c:pt>
                <c:pt idx="90">
                  <c:v>135</c:v>
                </c:pt>
                <c:pt idx="91">
                  <c:v>136.5</c:v>
                </c:pt>
                <c:pt idx="92">
                  <c:v>138</c:v>
                </c:pt>
                <c:pt idx="93">
                  <c:v>139.5</c:v>
                </c:pt>
                <c:pt idx="94">
                  <c:v>141</c:v>
                </c:pt>
                <c:pt idx="95">
                  <c:v>142.5</c:v>
                </c:pt>
                <c:pt idx="96">
                  <c:v>144</c:v>
                </c:pt>
                <c:pt idx="97">
                  <c:v>145.5</c:v>
                </c:pt>
                <c:pt idx="98">
                  <c:v>147</c:v>
                </c:pt>
                <c:pt idx="99">
                  <c:v>148.5</c:v>
                </c:pt>
                <c:pt idx="100">
                  <c:v>150</c:v>
                </c:pt>
              </c:numCache>
            </c:numRef>
          </c:cat>
          <c:val>
            <c:numRef>
              <c:f>'COT Efficiency'!$BZ$6:$BZ$106</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3-223A-4C54-BD16-02504D6166AA}"/>
            </c:ext>
          </c:extLst>
        </c:ser>
        <c:dLbls>
          <c:showLegendKey val="0"/>
          <c:showVal val="0"/>
          <c:showCatName val="0"/>
          <c:showSerName val="0"/>
          <c:showPercent val="0"/>
          <c:showBubbleSize val="0"/>
        </c:dLbls>
        <c:marker val="1"/>
        <c:smooth val="0"/>
        <c:axId val="160360704"/>
        <c:axId val="160358784"/>
      </c:lineChart>
      <c:catAx>
        <c:axId val="160350592"/>
        <c:scaling>
          <c:orientation val="minMax"/>
        </c:scaling>
        <c:delete val="0"/>
        <c:axPos val="b"/>
        <c:majorGridlines>
          <c:spPr>
            <a:ln w="15875">
              <a:solidFill>
                <a:srgbClr val="969696"/>
              </a:solidFill>
              <a:prstDash val="sysDash"/>
            </a:ln>
          </c:spPr>
        </c:majorGridlines>
        <c:title>
          <c:tx>
            <c:rich>
              <a:bodyPr/>
              <a:lstStyle/>
              <a:p>
                <a:pPr>
                  <a:defRPr sz="1300" b="1" i="0" u="none" strike="noStrike" baseline="0">
                    <a:solidFill>
                      <a:sysClr val="windowText" lastClr="000000"/>
                    </a:solidFill>
                    <a:latin typeface="Arial" pitchFamily="34" charset="0"/>
                    <a:ea typeface="Calibri"/>
                    <a:cs typeface="Arial" pitchFamily="34" charset="0"/>
                  </a:defRPr>
                </a:pPr>
                <a:r>
                  <a:rPr lang="en-US" sz="1300">
                    <a:solidFill>
                      <a:sysClr val="windowText" lastClr="000000"/>
                    </a:solidFill>
                    <a:latin typeface="Arial" pitchFamily="34" charset="0"/>
                    <a:cs typeface="Arial" pitchFamily="34" charset="0"/>
                  </a:rPr>
                  <a:t>Load Current (mA)</a:t>
                </a:r>
              </a:p>
            </c:rich>
          </c:tx>
          <c:layout>
            <c:manualLayout>
              <c:xMode val="edge"/>
              <c:yMode val="edge"/>
              <c:x val="0.41625343343709942"/>
              <c:y val="0.94571913573731337"/>
            </c:manualLayout>
          </c:layout>
          <c:overlay val="0"/>
          <c:spPr>
            <a:noFill/>
            <a:ln w="25400">
              <a:noFill/>
            </a:ln>
          </c:spPr>
        </c:title>
        <c:numFmt formatCode="0" sourceLinked="0"/>
        <c:majorTickMark val="in"/>
        <c:minorTickMark val="none"/>
        <c:tickLblPos val="nextTo"/>
        <c:spPr>
          <a:ln w="3175">
            <a:solidFill>
              <a:srgbClr val="000000"/>
            </a:solidFill>
            <a:prstDash val="solid"/>
          </a:ln>
        </c:spPr>
        <c:txPr>
          <a:bodyPr rot="0" vert="horz"/>
          <a:lstStyle/>
          <a:p>
            <a:pPr>
              <a:defRPr sz="1100" b="1" i="0" u="none" strike="noStrike" baseline="0">
                <a:solidFill>
                  <a:srgbClr val="000000"/>
                </a:solidFill>
                <a:latin typeface="Arial" pitchFamily="34" charset="0"/>
                <a:ea typeface="Calibri"/>
                <a:cs typeface="Arial" pitchFamily="34" charset="0"/>
              </a:defRPr>
            </a:pPr>
            <a:endParaRPr lang="en-US"/>
          </a:p>
        </c:txPr>
        <c:crossAx val="160352512"/>
        <c:crosses val="autoZero"/>
        <c:auto val="1"/>
        <c:lblAlgn val="ctr"/>
        <c:lblOffset val="100"/>
        <c:tickLblSkip val="20"/>
        <c:tickMarkSkip val="20"/>
        <c:noMultiLvlLbl val="0"/>
      </c:catAx>
      <c:valAx>
        <c:axId val="160352512"/>
        <c:scaling>
          <c:orientation val="minMax"/>
          <c:max val="95"/>
          <c:min val="65"/>
        </c:scaling>
        <c:delete val="0"/>
        <c:axPos val="l"/>
        <c:majorGridlines>
          <c:spPr>
            <a:ln w="15875">
              <a:solidFill>
                <a:srgbClr val="808080"/>
              </a:solidFill>
              <a:prstDash val="solid"/>
            </a:ln>
          </c:spPr>
        </c:majorGridlines>
        <c:minorGridlines/>
        <c:title>
          <c:tx>
            <c:rich>
              <a:bodyPr/>
              <a:lstStyle/>
              <a:p>
                <a:pPr>
                  <a:defRPr sz="1400" b="1" i="0" u="none" strike="noStrike" baseline="0">
                    <a:solidFill>
                      <a:srgbClr val="FF0000"/>
                    </a:solidFill>
                    <a:latin typeface="Arial" pitchFamily="34" charset="0"/>
                    <a:ea typeface="Calibri"/>
                    <a:cs typeface="Arial" pitchFamily="34" charset="0"/>
                  </a:defRPr>
                </a:pPr>
                <a:r>
                  <a:rPr lang="en-US" sz="1400" b="1">
                    <a:solidFill>
                      <a:srgbClr val="FF0000"/>
                    </a:solidFill>
                    <a:latin typeface="Arial" pitchFamily="34" charset="0"/>
                    <a:cs typeface="Arial" pitchFamily="34" charset="0"/>
                  </a:rPr>
                  <a:t>Efficiency (%)</a:t>
                </a:r>
              </a:p>
            </c:rich>
          </c:tx>
          <c:layout>
            <c:manualLayout>
              <c:xMode val="edge"/>
              <c:yMode val="edge"/>
              <c:x val="1.2871858674081443E-2"/>
              <c:y val="0.37638177915688398"/>
            </c:manualLayout>
          </c:layout>
          <c:overlay val="0"/>
          <c:spPr>
            <a:noFill/>
            <a:ln w="25400">
              <a:noFill/>
            </a:ln>
          </c:spPr>
        </c:title>
        <c:numFmt formatCode="#,##0" sourceLinked="0"/>
        <c:majorTickMark val="out"/>
        <c:minorTickMark val="out"/>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160350592"/>
        <c:crossesAt val="0"/>
        <c:crossBetween val="between"/>
        <c:majorUnit val="5"/>
        <c:minorUnit val="2.5"/>
      </c:valAx>
      <c:valAx>
        <c:axId val="160358784"/>
        <c:scaling>
          <c:orientation val="minMax"/>
        </c:scaling>
        <c:delete val="0"/>
        <c:axPos val="r"/>
        <c:title>
          <c:tx>
            <c:rich>
              <a:bodyPr rot="-5400000" vert="horz"/>
              <a:lstStyle/>
              <a:p>
                <a:pPr>
                  <a:defRPr sz="1400" b="1">
                    <a:solidFill>
                      <a:srgbClr val="0000FF"/>
                    </a:solidFill>
                  </a:defRPr>
                </a:pPr>
                <a:r>
                  <a:rPr lang="en-US" sz="1400" b="1">
                    <a:solidFill>
                      <a:srgbClr val="0000FF"/>
                    </a:solidFill>
                  </a:rPr>
                  <a:t>Power Loss (mW)</a:t>
                </a:r>
              </a:p>
            </c:rich>
          </c:tx>
          <c:layout>
            <c:manualLayout>
              <c:xMode val="edge"/>
              <c:yMode val="edge"/>
              <c:x val="0.95720616195060426"/>
              <c:y val="0.34716258649486992"/>
            </c:manualLayout>
          </c:layout>
          <c:overlay val="0"/>
        </c:title>
        <c:numFmt formatCode="0" sourceLinked="0"/>
        <c:majorTickMark val="out"/>
        <c:minorTickMark val="none"/>
        <c:tickLblPos val="nextTo"/>
        <c:txPr>
          <a:bodyPr/>
          <a:lstStyle/>
          <a:p>
            <a:pPr>
              <a:defRPr sz="1100" b="1">
                <a:solidFill>
                  <a:srgbClr val="0000FF"/>
                </a:solidFill>
              </a:defRPr>
            </a:pPr>
            <a:endParaRPr lang="en-US"/>
          </a:p>
        </c:txPr>
        <c:crossAx val="160360704"/>
        <c:crosses val="max"/>
        <c:crossBetween val="between"/>
      </c:valAx>
      <c:catAx>
        <c:axId val="160360704"/>
        <c:scaling>
          <c:orientation val="minMax"/>
        </c:scaling>
        <c:delete val="1"/>
        <c:axPos val="b"/>
        <c:numFmt formatCode="0.000" sourceLinked="1"/>
        <c:majorTickMark val="out"/>
        <c:minorTickMark val="none"/>
        <c:tickLblPos val="nextTo"/>
        <c:crossAx val="160358784"/>
        <c:crosses val="autoZero"/>
        <c:auto val="1"/>
        <c:lblAlgn val="ctr"/>
        <c:lblOffset val="100"/>
        <c:noMultiLvlLbl val="0"/>
      </c:catAx>
      <c:spPr>
        <a:noFill/>
        <a:ln w="25400">
          <a:noFill/>
        </a:ln>
      </c:spPr>
    </c:plotArea>
    <c:legend>
      <c:legendPos val="t"/>
      <c:layout>
        <c:manualLayout>
          <c:xMode val="edge"/>
          <c:yMode val="edge"/>
          <c:x val="0.38866500767592732"/>
          <c:y val="1.1892546194234431E-2"/>
          <c:w val="0.61133499232407273"/>
          <c:h val="9.7234170816987084E-2"/>
        </c:manualLayout>
      </c:layout>
      <c:overlay val="0"/>
      <c:spPr>
        <a:solidFill>
          <a:srgbClr val="FFFFFF"/>
        </a:solidFill>
        <a:ln w="25400">
          <a:noFill/>
        </a:ln>
      </c:spPr>
      <c:txPr>
        <a:bodyPr/>
        <a:lstStyle/>
        <a:p>
          <a:pPr>
            <a:defRPr sz="1200" b="0" i="0" u="none" strike="noStrike" baseline="0">
              <a:solidFill>
                <a:srgbClr val="000000"/>
              </a:solidFill>
              <a:latin typeface="Arial" pitchFamily="34" charset="0"/>
              <a:ea typeface="Calibri"/>
              <a:cs typeface="Arial" pitchFamily="34" charset="0"/>
            </a:defRPr>
          </a:pPr>
          <a:endParaRPr lang="en-US"/>
        </a:p>
      </c:txPr>
    </c:legend>
    <c:plotVisOnly val="1"/>
    <c:dispBlanksAs val="gap"/>
    <c:showDLblsOverMax val="0"/>
  </c:chart>
  <c:spPr>
    <a:solidFill>
      <a:schemeClr val="bg1"/>
    </a:solidFill>
    <a:ln w="9525">
      <a:solidFill>
        <a:srgbClr val="808080"/>
      </a:solidFill>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paperSize="5" orientation="portrait"/>
  </c:printSettings>
  <c:userShapes r:id="rId1"/>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P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b="1" i="0" u="none" strike="noStrike" baseline="0">
                <a:solidFill>
                  <a:srgbClr val="000000"/>
                </a:solidFill>
                <a:latin typeface="Arial" pitchFamily="34" charset="0"/>
                <a:ea typeface="Calibri"/>
                <a:cs typeface="Arial" pitchFamily="34" charset="0"/>
              </a:defRPr>
            </a:pPr>
            <a:r>
              <a:rPr lang="en-US" sz="2000">
                <a:latin typeface="Arial" pitchFamily="34" charset="0"/>
                <a:cs typeface="Arial" pitchFamily="34" charset="0"/>
                <a:sym typeface="Symbol"/>
              </a:rPr>
              <a:t></a:t>
            </a:r>
            <a:r>
              <a:rPr lang="en-US" sz="2000" b="1" i="0" u="none" strike="noStrike" baseline="0"/>
              <a:t>, V</a:t>
            </a:r>
            <a:r>
              <a:rPr lang="en-US" sz="2000" b="1" i="0" u="none" strike="noStrike" baseline="-25000"/>
              <a:t>IN</a:t>
            </a:r>
            <a:r>
              <a:rPr lang="en-US" sz="2000" b="1" i="0" u="none" strike="noStrike" baseline="0"/>
              <a:t> = V</a:t>
            </a:r>
            <a:r>
              <a:rPr lang="en-US" sz="2000" b="1" i="0" u="none" strike="noStrike" baseline="-25000"/>
              <a:t>IN(nom)</a:t>
            </a:r>
            <a:endParaRPr lang="en-US" sz="2000">
              <a:latin typeface="Arial" pitchFamily="34" charset="0"/>
              <a:cs typeface="Arial" pitchFamily="34" charset="0"/>
            </a:endParaRPr>
          </a:p>
        </c:rich>
      </c:tx>
      <c:layout>
        <c:manualLayout>
          <c:xMode val="edge"/>
          <c:yMode val="edge"/>
          <c:x val="0.10084794235626206"/>
          <c:y val="2.0639566697272373E-2"/>
        </c:manualLayout>
      </c:layout>
      <c:overlay val="0"/>
      <c:spPr>
        <a:noFill/>
        <a:ln w="25400">
          <a:noFill/>
        </a:ln>
      </c:spPr>
    </c:title>
    <c:autoTitleDeleted val="0"/>
    <c:plotArea>
      <c:layout>
        <c:manualLayout>
          <c:layoutTarget val="inner"/>
          <c:xMode val="edge"/>
          <c:yMode val="edge"/>
          <c:x val="8.5540561846730284E-2"/>
          <c:y val="0.12372903654825702"/>
          <c:w val="0.82265898741455901"/>
          <c:h val="0.76068566810117366"/>
        </c:manualLayout>
      </c:layout>
      <c:scatterChart>
        <c:scatterStyle val="smoothMarker"/>
        <c:varyColors val="0"/>
        <c:ser>
          <c:idx val="0"/>
          <c:order val="0"/>
          <c:tx>
            <c:v> Efficiency</c:v>
          </c:tx>
          <c:spPr>
            <a:ln w="31750">
              <a:solidFill>
                <a:srgbClr val="FF0000"/>
              </a:solidFill>
              <a:prstDash val="solid"/>
            </a:ln>
          </c:spPr>
          <c:marker>
            <c:symbol val="none"/>
          </c:marker>
          <c:xVal>
            <c:numRef>
              <c:f>'COT Efficiency'!$BK$6:$BK$106</c:f>
              <c:numCache>
                <c:formatCode>0.000</c:formatCode>
                <c:ptCount val="101"/>
                <c:pt idx="0">
                  <c:v>0.15</c:v>
                </c:pt>
                <c:pt idx="1">
                  <c:v>1.5</c:v>
                </c:pt>
                <c:pt idx="2">
                  <c:v>3</c:v>
                </c:pt>
                <c:pt idx="3">
                  <c:v>4.5</c:v>
                </c:pt>
                <c:pt idx="4">
                  <c:v>6</c:v>
                </c:pt>
                <c:pt idx="5">
                  <c:v>7.5</c:v>
                </c:pt>
                <c:pt idx="6">
                  <c:v>9</c:v>
                </c:pt>
                <c:pt idx="7">
                  <c:v>10.5</c:v>
                </c:pt>
                <c:pt idx="8">
                  <c:v>12</c:v>
                </c:pt>
                <c:pt idx="9">
                  <c:v>13.5</c:v>
                </c:pt>
                <c:pt idx="10">
                  <c:v>15</c:v>
                </c:pt>
                <c:pt idx="11">
                  <c:v>16.5</c:v>
                </c:pt>
                <c:pt idx="12">
                  <c:v>18</c:v>
                </c:pt>
                <c:pt idx="13">
                  <c:v>19.5</c:v>
                </c:pt>
                <c:pt idx="14">
                  <c:v>21</c:v>
                </c:pt>
                <c:pt idx="15">
                  <c:v>22.5</c:v>
                </c:pt>
                <c:pt idx="16">
                  <c:v>24</c:v>
                </c:pt>
                <c:pt idx="17">
                  <c:v>25.500000000000004</c:v>
                </c:pt>
                <c:pt idx="18">
                  <c:v>27</c:v>
                </c:pt>
                <c:pt idx="19">
                  <c:v>28.499999999999996</c:v>
                </c:pt>
                <c:pt idx="20">
                  <c:v>30</c:v>
                </c:pt>
                <c:pt idx="21">
                  <c:v>31.5</c:v>
                </c:pt>
                <c:pt idx="22">
                  <c:v>33</c:v>
                </c:pt>
                <c:pt idx="23">
                  <c:v>34.5</c:v>
                </c:pt>
                <c:pt idx="24">
                  <c:v>36</c:v>
                </c:pt>
                <c:pt idx="25">
                  <c:v>37.5</c:v>
                </c:pt>
                <c:pt idx="26">
                  <c:v>39</c:v>
                </c:pt>
                <c:pt idx="27">
                  <c:v>40.5</c:v>
                </c:pt>
                <c:pt idx="28">
                  <c:v>42</c:v>
                </c:pt>
                <c:pt idx="29">
                  <c:v>43.5</c:v>
                </c:pt>
                <c:pt idx="30">
                  <c:v>45</c:v>
                </c:pt>
                <c:pt idx="31">
                  <c:v>46.5</c:v>
                </c:pt>
                <c:pt idx="32">
                  <c:v>48</c:v>
                </c:pt>
                <c:pt idx="33">
                  <c:v>49.5</c:v>
                </c:pt>
                <c:pt idx="34">
                  <c:v>51.000000000000007</c:v>
                </c:pt>
                <c:pt idx="35">
                  <c:v>52.5</c:v>
                </c:pt>
                <c:pt idx="36">
                  <c:v>54</c:v>
                </c:pt>
                <c:pt idx="37">
                  <c:v>55.5</c:v>
                </c:pt>
                <c:pt idx="38">
                  <c:v>56.999999999999993</c:v>
                </c:pt>
                <c:pt idx="39">
                  <c:v>58.5</c:v>
                </c:pt>
                <c:pt idx="40">
                  <c:v>60</c:v>
                </c:pt>
                <c:pt idx="41">
                  <c:v>61.499999999999993</c:v>
                </c:pt>
                <c:pt idx="42">
                  <c:v>63</c:v>
                </c:pt>
                <c:pt idx="43">
                  <c:v>64.5</c:v>
                </c:pt>
                <c:pt idx="44">
                  <c:v>66</c:v>
                </c:pt>
                <c:pt idx="45">
                  <c:v>67.5</c:v>
                </c:pt>
                <c:pt idx="46">
                  <c:v>69</c:v>
                </c:pt>
                <c:pt idx="47">
                  <c:v>70.5</c:v>
                </c:pt>
                <c:pt idx="48">
                  <c:v>72</c:v>
                </c:pt>
                <c:pt idx="49">
                  <c:v>73.5</c:v>
                </c:pt>
                <c:pt idx="50">
                  <c:v>75</c:v>
                </c:pt>
                <c:pt idx="51">
                  <c:v>76.5</c:v>
                </c:pt>
                <c:pt idx="52">
                  <c:v>78</c:v>
                </c:pt>
                <c:pt idx="53">
                  <c:v>79.5</c:v>
                </c:pt>
                <c:pt idx="54">
                  <c:v>81</c:v>
                </c:pt>
                <c:pt idx="55">
                  <c:v>82.5</c:v>
                </c:pt>
                <c:pt idx="56">
                  <c:v>84</c:v>
                </c:pt>
                <c:pt idx="57">
                  <c:v>85.499999999999986</c:v>
                </c:pt>
                <c:pt idx="58">
                  <c:v>87</c:v>
                </c:pt>
                <c:pt idx="59">
                  <c:v>88.5</c:v>
                </c:pt>
                <c:pt idx="60">
                  <c:v>90</c:v>
                </c:pt>
                <c:pt idx="61">
                  <c:v>91.5</c:v>
                </c:pt>
                <c:pt idx="62">
                  <c:v>93</c:v>
                </c:pt>
                <c:pt idx="63">
                  <c:v>94.5</c:v>
                </c:pt>
                <c:pt idx="64">
                  <c:v>96</c:v>
                </c:pt>
                <c:pt idx="65">
                  <c:v>97.5</c:v>
                </c:pt>
                <c:pt idx="66">
                  <c:v>99</c:v>
                </c:pt>
                <c:pt idx="67">
                  <c:v>100.5</c:v>
                </c:pt>
                <c:pt idx="68">
                  <c:v>102.00000000000001</c:v>
                </c:pt>
                <c:pt idx="69">
                  <c:v>103.5</c:v>
                </c:pt>
                <c:pt idx="70">
                  <c:v>105</c:v>
                </c:pt>
                <c:pt idx="71">
                  <c:v>106.5</c:v>
                </c:pt>
                <c:pt idx="72">
                  <c:v>108</c:v>
                </c:pt>
                <c:pt idx="73">
                  <c:v>109.5</c:v>
                </c:pt>
                <c:pt idx="74">
                  <c:v>111</c:v>
                </c:pt>
                <c:pt idx="75">
                  <c:v>112.49999999999999</c:v>
                </c:pt>
                <c:pt idx="76">
                  <c:v>113.99999999999999</c:v>
                </c:pt>
                <c:pt idx="77">
                  <c:v>115.49999999999999</c:v>
                </c:pt>
                <c:pt idx="78">
                  <c:v>117</c:v>
                </c:pt>
                <c:pt idx="79">
                  <c:v>118.5</c:v>
                </c:pt>
                <c:pt idx="80">
                  <c:v>120</c:v>
                </c:pt>
                <c:pt idx="81">
                  <c:v>121.5</c:v>
                </c:pt>
                <c:pt idx="82">
                  <c:v>122.99999999999999</c:v>
                </c:pt>
                <c:pt idx="83">
                  <c:v>124.49999999999999</c:v>
                </c:pt>
                <c:pt idx="84">
                  <c:v>126</c:v>
                </c:pt>
                <c:pt idx="85">
                  <c:v>127.5</c:v>
                </c:pt>
                <c:pt idx="86">
                  <c:v>129</c:v>
                </c:pt>
                <c:pt idx="87">
                  <c:v>130.5</c:v>
                </c:pt>
                <c:pt idx="88">
                  <c:v>132</c:v>
                </c:pt>
                <c:pt idx="89">
                  <c:v>133.5</c:v>
                </c:pt>
                <c:pt idx="90">
                  <c:v>135</c:v>
                </c:pt>
                <c:pt idx="91">
                  <c:v>136.5</c:v>
                </c:pt>
                <c:pt idx="92">
                  <c:v>138</c:v>
                </c:pt>
                <c:pt idx="93">
                  <c:v>139.5</c:v>
                </c:pt>
                <c:pt idx="94">
                  <c:v>141</c:v>
                </c:pt>
                <c:pt idx="95">
                  <c:v>142.5</c:v>
                </c:pt>
                <c:pt idx="96">
                  <c:v>144</c:v>
                </c:pt>
                <c:pt idx="97">
                  <c:v>145.5</c:v>
                </c:pt>
                <c:pt idx="98">
                  <c:v>147</c:v>
                </c:pt>
                <c:pt idx="99">
                  <c:v>148.5</c:v>
                </c:pt>
                <c:pt idx="100">
                  <c:v>150</c:v>
                </c:pt>
              </c:numCache>
            </c:numRef>
          </c:xVal>
          <c:yVal>
            <c:numRef>
              <c:f>'COT Efficiency'!$BW$6:$BW$106</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1"/>
          <c:extLst>
            <c:ext xmlns:c16="http://schemas.microsoft.com/office/drawing/2014/chart" uri="{C3380CC4-5D6E-409C-BE32-E72D297353CC}">
              <c16:uniqueId val="{00000000-A3CB-48A1-B69F-D781B5F58E0F}"/>
            </c:ext>
          </c:extLst>
        </c:ser>
        <c:dLbls>
          <c:showLegendKey val="0"/>
          <c:showVal val="0"/>
          <c:showCatName val="0"/>
          <c:showSerName val="0"/>
          <c:showPercent val="0"/>
          <c:showBubbleSize val="0"/>
        </c:dLbls>
        <c:axId val="160683904"/>
        <c:axId val="160690176"/>
      </c:scatterChart>
      <c:scatterChart>
        <c:scatterStyle val="smoothMarker"/>
        <c:varyColors val="0"/>
        <c:ser>
          <c:idx val="2"/>
          <c:order val="1"/>
          <c:tx>
            <c:v> IC Total Power Loss</c:v>
          </c:tx>
          <c:spPr>
            <a:ln w="38100">
              <a:solidFill>
                <a:srgbClr val="808000"/>
              </a:solidFill>
              <a:prstDash val="sysDash"/>
            </a:ln>
          </c:spPr>
          <c:marker>
            <c:symbol val="none"/>
          </c:marker>
          <c:xVal>
            <c:numRef>
              <c:f>'COT Efficiency'!$BK$6:$BK$106</c:f>
              <c:numCache>
                <c:formatCode>0.000</c:formatCode>
                <c:ptCount val="101"/>
                <c:pt idx="0">
                  <c:v>0.15</c:v>
                </c:pt>
                <c:pt idx="1">
                  <c:v>1.5</c:v>
                </c:pt>
                <c:pt idx="2">
                  <c:v>3</c:v>
                </c:pt>
                <c:pt idx="3">
                  <c:v>4.5</c:v>
                </c:pt>
                <c:pt idx="4">
                  <c:v>6</c:v>
                </c:pt>
                <c:pt idx="5">
                  <c:v>7.5</c:v>
                </c:pt>
                <c:pt idx="6">
                  <c:v>9</c:v>
                </c:pt>
                <c:pt idx="7">
                  <c:v>10.5</c:v>
                </c:pt>
                <c:pt idx="8">
                  <c:v>12</c:v>
                </c:pt>
                <c:pt idx="9">
                  <c:v>13.5</c:v>
                </c:pt>
                <c:pt idx="10">
                  <c:v>15</c:v>
                </c:pt>
                <c:pt idx="11">
                  <c:v>16.5</c:v>
                </c:pt>
                <c:pt idx="12">
                  <c:v>18</c:v>
                </c:pt>
                <c:pt idx="13">
                  <c:v>19.5</c:v>
                </c:pt>
                <c:pt idx="14">
                  <c:v>21</c:v>
                </c:pt>
                <c:pt idx="15">
                  <c:v>22.5</c:v>
                </c:pt>
                <c:pt idx="16">
                  <c:v>24</c:v>
                </c:pt>
                <c:pt idx="17">
                  <c:v>25.500000000000004</c:v>
                </c:pt>
                <c:pt idx="18">
                  <c:v>27</c:v>
                </c:pt>
                <c:pt idx="19">
                  <c:v>28.499999999999996</c:v>
                </c:pt>
                <c:pt idx="20">
                  <c:v>30</c:v>
                </c:pt>
                <c:pt idx="21">
                  <c:v>31.5</c:v>
                </c:pt>
                <c:pt idx="22">
                  <c:v>33</c:v>
                </c:pt>
                <c:pt idx="23">
                  <c:v>34.5</c:v>
                </c:pt>
                <c:pt idx="24">
                  <c:v>36</c:v>
                </c:pt>
                <c:pt idx="25">
                  <c:v>37.5</c:v>
                </c:pt>
                <c:pt idx="26">
                  <c:v>39</c:v>
                </c:pt>
                <c:pt idx="27">
                  <c:v>40.5</c:v>
                </c:pt>
                <c:pt idx="28">
                  <c:v>42</c:v>
                </c:pt>
                <c:pt idx="29">
                  <c:v>43.5</c:v>
                </c:pt>
                <c:pt idx="30">
                  <c:v>45</c:v>
                </c:pt>
                <c:pt idx="31">
                  <c:v>46.5</c:v>
                </c:pt>
                <c:pt idx="32">
                  <c:v>48</c:v>
                </c:pt>
                <c:pt idx="33">
                  <c:v>49.5</c:v>
                </c:pt>
                <c:pt idx="34">
                  <c:v>51.000000000000007</c:v>
                </c:pt>
                <c:pt idx="35">
                  <c:v>52.5</c:v>
                </c:pt>
                <c:pt idx="36">
                  <c:v>54</c:v>
                </c:pt>
                <c:pt idx="37">
                  <c:v>55.5</c:v>
                </c:pt>
                <c:pt idx="38">
                  <c:v>56.999999999999993</c:v>
                </c:pt>
                <c:pt idx="39">
                  <c:v>58.5</c:v>
                </c:pt>
                <c:pt idx="40">
                  <c:v>60</c:v>
                </c:pt>
                <c:pt idx="41">
                  <c:v>61.499999999999993</c:v>
                </c:pt>
                <c:pt idx="42">
                  <c:v>63</c:v>
                </c:pt>
                <c:pt idx="43">
                  <c:v>64.5</c:v>
                </c:pt>
                <c:pt idx="44">
                  <c:v>66</c:v>
                </c:pt>
                <c:pt idx="45">
                  <c:v>67.5</c:v>
                </c:pt>
                <c:pt idx="46">
                  <c:v>69</c:v>
                </c:pt>
                <c:pt idx="47">
                  <c:v>70.5</c:v>
                </c:pt>
                <c:pt idx="48">
                  <c:v>72</c:v>
                </c:pt>
                <c:pt idx="49">
                  <c:v>73.5</c:v>
                </c:pt>
                <c:pt idx="50">
                  <c:v>75</c:v>
                </c:pt>
                <c:pt idx="51">
                  <c:v>76.5</c:v>
                </c:pt>
                <c:pt idx="52">
                  <c:v>78</c:v>
                </c:pt>
                <c:pt idx="53">
                  <c:v>79.5</c:v>
                </c:pt>
                <c:pt idx="54">
                  <c:v>81</c:v>
                </c:pt>
                <c:pt idx="55">
                  <c:v>82.5</c:v>
                </c:pt>
                <c:pt idx="56">
                  <c:v>84</c:v>
                </c:pt>
                <c:pt idx="57">
                  <c:v>85.499999999999986</c:v>
                </c:pt>
                <c:pt idx="58">
                  <c:v>87</c:v>
                </c:pt>
                <c:pt idx="59">
                  <c:v>88.5</c:v>
                </c:pt>
                <c:pt idx="60">
                  <c:v>90</c:v>
                </c:pt>
                <c:pt idx="61">
                  <c:v>91.5</c:v>
                </c:pt>
                <c:pt idx="62">
                  <c:v>93</c:v>
                </c:pt>
                <c:pt idx="63">
                  <c:v>94.5</c:v>
                </c:pt>
                <c:pt idx="64">
                  <c:v>96</c:v>
                </c:pt>
                <c:pt idx="65">
                  <c:v>97.5</c:v>
                </c:pt>
                <c:pt idx="66">
                  <c:v>99</c:v>
                </c:pt>
                <c:pt idx="67">
                  <c:v>100.5</c:v>
                </c:pt>
                <c:pt idx="68">
                  <c:v>102.00000000000001</c:v>
                </c:pt>
                <c:pt idx="69">
                  <c:v>103.5</c:v>
                </c:pt>
                <c:pt idx="70">
                  <c:v>105</c:v>
                </c:pt>
                <c:pt idx="71">
                  <c:v>106.5</c:v>
                </c:pt>
                <c:pt idx="72">
                  <c:v>108</c:v>
                </c:pt>
                <c:pt idx="73">
                  <c:v>109.5</c:v>
                </c:pt>
                <c:pt idx="74">
                  <c:v>111</c:v>
                </c:pt>
                <c:pt idx="75">
                  <c:v>112.49999999999999</c:v>
                </c:pt>
                <c:pt idx="76">
                  <c:v>113.99999999999999</c:v>
                </c:pt>
                <c:pt idx="77">
                  <c:v>115.49999999999999</c:v>
                </c:pt>
                <c:pt idx="78">
                  <c:v>117</c:v>
                </c:pt>
                <c:pt idx="79">
                  <c:v>118.5</c:v>
                </c:pt>
                <c:pt idx="80">
                  <c:v>120</c:v>
                </c:pt>
                <c:pt idx="81">
                  <c:v>121.5</c:v>
                </c:pt>
                <c:pt idx="82">
                  <c:v>122.99999999999999</c:v>
                </c:pt>
                <c:pt idx="83">
                  <c:v>124.49999999999999</c:v>
                </c:pt>
                <c:pt idx="84">
                  <c:v>126</c:v>
                </c:pt>
                <c:pt idx="85">
                  <c:v>127.5</c:v>
                </c:pt>
                <c:pt idx="86">
                  <c:v>129</c:v>
                </c:pt>
                <c:pt idx="87">
                  <c:v>130.5</c:v>
                </c:pt>
                <c:pt idx="88">
                  <c:v>132</c:v>
                </c:pt>
                <c:pt idx="89">
                  <c:v>133.5</c:v>
                </c:pt>
                <c:pt idx="90">
                  <c:v>135</c:v>
                </c:pt>
                <c:pt idx="91">
                  <c:v>136.5</c:v>
                </c:pt>
                <c:pt idx="92">
                  <c:v>138</c:v>
                </c:pt>
                <c:pt idx="93">
                  <c:v>139.5</c:v>
                </c:pt>
                <c:pt idx="94">
                  <c:v>141</c:v>
                </c:pt>
                <c:pt idx="95">
                  <c:v>142.5</c:v>
                </c:pt>
                <c:pt idx="96">
                  <c:v>144</c:v>
                </c:pt>
                <c:pt idx="97">
                  <c:v>145.5</c:v>
                </c:pt>
                <c:pt idx="98">
                  <c:v>147</c:v>
                </c:pt>
                <c:pt idx="99">
                  <c:v>148.5</c:v>
                </c:pt>
                <c:pt idx="100">
                  <c:v>150</c:v>
                </c:pt>
              </c:numCache>
            </c:numRef>
          </c:xVal>
          <c:yVal>
            <c:numRef>
              <c:f>'COT Efficiency'!$BX$6:$BX$106</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1"/>
          <c:extLst>
            <c:ext xmlns:c16="http://schemas.microsoft.com/office/drawing/2014/chart" uri="{C3380CC4-5D6E-409C-BE32-E72D297353CC}">
              <c16:uniqueId val="{00000001-A3CB-48A1-B69F-D781B5F58E0F}"/>
            </c:ext>
          </c:extLst>
        </c:ser>
        <c:ser>
          <c:idx val="1"/>
          <c:order val="2"/>
          <c:tx>
            <c:v> LDO + Quiescent Loss</c:v>
          </c:tx>
          <c:spPr>
            <a:ln w="38100">
              <a:solidFill>
                <a:srgbClr val="002060"/>
              </a:solidFill>
              <a:prstDash val="sysDot"/>
            </a:ln>
          </c:spPr>
          <c:marker>
            <c:symbol val="none"/>
          </c:marker>
          <c:xVal>
            <c:numRef>
              <c:f>'COT Efficiency'!$BK$6:$BK$106</c:f>
              <c:numCache>
                <c:formatCode>0.000</c:formatCode>
                <c:ptCount val="101"/>
                <c:pt idx="0">
                  <c:v>0.15</c:v>
                </c:pt>
                <c:pt idx="1">
                  <c:v>1.5</c:v>
                </c:pt>
                <c:pt idx="2">
                  <c:v>3</c:v>
                </c:pt>
                <c:pt idx="3">
                  <c:v>4.5</c:v>
                </c:pt>
                <c:pt idx="4">
                  <c:v>6</c:v>
                </c:pt>
                <c:pt idx="5">
                  <c:v>7.5</c:v>
                </c:pt>
                <c:pt idx="6">
                  <c:v>9</c:v>
                </c:pt>
                <c:pt idx="7">
                  <c:v>10.5</c:v>
                </c:pt>
                <c:pt idx="8">
                  <c:v>12</c:v>
                </c:pt>
                <c:pt idx="9">
                  <c:v>13.5</c:v>
                </c:pt>
                <c:pt idx="10">
                  <c:v>15</c:v>
                </c:pt>
                <c:pt idx="11">
                  <c:v>16.5</c:v>
                </c:pt>
                <c:pt idx="12">
                  <c:v>18</c:v>
                </c:pt>
                <c:pt idx="13">
                  <c:v>19.5</c:v>
                </c:pt>
                <c:pt idx="14">
                  <c:v>21</c:v>
                </c:pt>
                <c:pt idx="15">
                  <c:v>22.5</c:v>
                </c:pt>
                <c:pt idx="16">
                  <c:v>24</c:v>
                </c:pt>
                <c:pt idx="17">
                  <c:v>25.500000000000004</c:v>
                </c:pt>
                <c:pt idx="18">
                  <c:v>27</c:v>
                </c:pt>
                <c:pt idx="19">
                  <c:v>28.499999999999996</c:v>
                </c:pt>
                <c:pt idx="20">
                  <c:v>30</c:v>
                </c:pt>
                <c:pt idx="21">
                  <c:v>31.5</c:v>
                </c:pt>
                <c:pt idx="22">
                  <c:v>33</c:v>
                </c:pt>
                <c:pt idx="23">
                  <c:v>34.5</c:v>
                </c:pt>
                <c:pt idx="24">
                  <c:v>36</c:v>
                </c:pt>
                <c:pt idx="25">
                  <c:v>37.5</c:v>
                </c:pt>
                <c:pt idx="26">
                  <c:v>39</c:v>
                </c:pt>
                <c:pt idx="27">
                  <c:v>40.5</c:v>
                </c:pt>
                <c:pt idx="28">
                  <c:v>42</c:v>
                </c:pt>
                <c:pt idx="29">
                  <c:v>43.5</c:v>
                </c:pt>
                <c:pt idx="30">
                  <c:v>45</c:v>
                </c:pt>
                <c:pt idx="31">
                  <c:v>46.5</c:v>
                </c:pt>
                <c:pt idx="32">
                  <c:v>48</c:v>
                </c:pt>
                <c:pt idx="33">
                  <c:v>49.5</c:v>
                </c:pt>
                <c:pt idx="34">
                  <c:v>51.000000000000007</c:v>
                </c:pt>
                <c:pt idx="35">
                  <c:v>52.5</c:v>
                </c:pt>
                <c:pt idx="36">
                  <c:v>54</c:v>
                </c:pt>
                <c:pt idx="37">
                  <c:v>55.5</c:v>
                </c:pt>
                <c:pt idx="38">
                  <c:v>56.999999999999993</c:v>
                </c:pt>
                <c:pt idx="39">
                  <c:v>58.5</c:v>
                </c:pt>
                <c:pt idx="40">
                  <c:v>60</c:v>
                </c:pt>
                <c:pt idx="41">
                  <c:v>61.499999999999993</c:v>
                </c:pt>
                <c:pt idx="42">
                  <c:v>63</c:v>
                </c:pt>
                <c:pt idx="43">
                  <c:v>64.5</c:v>
                </c:pt>
                <c:pt idx="44">
                  <c:v>66</c:v>
                </c:pt>
                <c:pt idx="45">
                  <c:v>67.5</c:v>
                </c:pt>
                <c:pt idx="46">
                  <c:v>69</c:v>
                </c:pt>
                <c:pt idx="47">
                  <c:v>70.5</c:v>
                </c:pt>
                <c:pt idx="48">
                  <c:v>72</c:v>
                </c:pt>
                <c:pt idx="49">
                  <c:v>73.5</c:v>
                </c:pt>
                <c:pt idx="50">
                  <c:v>75</c:v>
                </c:pt>
                <c:pt idx="51">
                  <c:v>76.5</c:v>
                </c:pt>
                <c:pt idx="52">
                  <c:v>78</c:v>
                </c:pt>
                <c:pt idx="53">
                  <c:v>79.5</c:v>
                </c:pt>
                <c:pt idx="54">
                  <c:v>81</c:v>
                </c:pt>
                <c:pt idx="55">
                  <c:v>82.5</c:v>
                </c:pt>
                <c:pt idx="56">
                  <c:v>84</c:v>
                </c:pt>
                <c:pt idx="57">
                  <c:v>85.499999999999986</c:v>
                </c:pt>
                <c:pt idx="58">
                  <c:v>87</c:v>
                </c:pt>
                <c:pt idx="59">
                  <c:v>88.5</c:v>
                </c:pt>
                <c:pt idx="60">
                  <c:v>90</c:v>
                </c:pt>
                <c:pt idx="61">
                  <c:v>91.5</c:v>
                </c:pt>
                <c:pt idx="62">
                  <c:v>93</c:v>
                </c:pt>
                <c:pt idx="63">
                  <c:v>94.5</c:v>
                </c:pt>
                <c:pt idx="64">
                  <c:v>96</c:v>
                </c:pt>
                <c:pt idx="65">
                  <c:v>97.5</c:v>
                </c:pt>
                <c:pt idx="66">
                  <c:v>99</c:v>
                </c:pt>
                <c:pt idx="67">
                  <c:v>100.5</c:v>
                </c:pt>
                <c:pt idx="68">
                  <c:v>102.00000000000001</c:v>
                </c:pt>
                <c:pt idx="69">
                  <c:v>103.5</c:v>
                </c:pt>
                <c:pt idx="70">
                  <c:v>105</c:v>
                </c:pt>
                <c:pt idx="71">
                  <c:v>106.5</c:v>
                </c:pt>
                <c:pt idx="72">
                  <c:v>108</c:v>
                </c:pt>
                <c:pt idx="73">
                  <c:v>109.5</c:v>
                </c:pt>
                <c:pt idx="74">
                  <c:v>111</c:v>
                </c:pt>
                <c:pt idx="75">
                  <c:v>112.49999999999999</c:v>
                </c:pt>
                <c:pt idx="76">
                  <c:v>113.99999999999999</c:v>
                </c:pt>
                <c:pt idx="77">
                  <c:v>115.49999999999999</c:v>
                </c:pt>
                <c:pt idx="78">
                  <c:v>117</c:v>
                </c:pt>
                <c:pt idx="79">
                  <c:v>118.5</c:v>
                </c:pt>
                <c:pt idx="80">
                  <c:v>120</c:v>
                </c:pt>
                <c:pt idx="81">
                  <c:v>121.5</c:v>
                </c:pt>
                <c:pt idx="82">
                  <c:v>122.99999999999999</c:v>
                </c:pt>
                <c:pt idx="83">
                  <c:v>124.49999999999999</c:v>
                </c:pt>
                <c:pt idx="84">
                  <c:v>126</c:v>
                </c:pt>
                <c:pt idx="85">
                  <c:v>127.5</c:v>
                </c:pt>
                <c:pt idx="86">
                  <c:v>129</c:v>
                </c:pt>
                <c:pt idx="87">
                  <c:v>130.5</c:v>
                </c:pt>
                <c:pt idx="88">
                  <c:v>132</c:v>
                </c:pt>
                <c:pt idx="89">
                  <c:v>133.5</c:v>
                </c:pt>
                <c:pt idx="90">
                  <c:v>135</c:v>
                </c:pt>
                <c:pt idx="91">
                  <c:v>136.5</c:v>
                </c:pt>
                <c:pt idx="92">
                  <c:v>138</c:v>
                </c:pt>
                <c:pt idx="93">
                  <c:v>139.5</c:v>
                </c:pt>
                <c:pt idx="94">
                  <c:v>141</c:v>
                </c:pt>
                <c:pt idx="95">
                  <c:v>142.5</c:v>
                </c:pt>
                <c:pt idx="96">
                  <c:v>144</c:v>
                </c:pt>
                <c:pt idx="97">
                  <c:v>145.5</c:v>
                </c:pt>
                <c:pt idx="98">
                  <c:v>147</c:v>
                </c:pt>
                <c:pt idx="99">
                  <c:v>148.5</c:v>
                </c:pt>
                <c:pt idx="100">
                  <c:v>150</c:v>
                </c:pt>
              </c:numCache>
            </c:numRef>
          </c:xVal>
          <c:yVal>
            <c:numRef>
              <c:f>'COT Efficiency'!$BY$6:$BY$106</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1"/>
          <c:extLst>
            <c:ext xmlns:c16="http://schemas.microsoft.com/office/drawing/2014/chart" uri="{C3380CC4-5D6E-409C-BE32-E72D297353CC}">
              <c16:uniqueId val="{00000002-A3CB-48A1-B69F-D781B5F58E0F}"/>
            </c:ext>
          </c:extLst>
        </c:ser>
        <c:ser>
          <c:idx val="3"/>
          <c:order val="3"/>
          <c:tx>
            <c:v> Inductor Loss</c:v>
          </c:tx>
          <c:spPr>
            <a:ln w="38100">
              <a:solidFill>
                <a:srgbClr val="800080"/>
              </a:solidFill>
              <a:prstDash val="dash"/>
            </a:ln>
          </c:spPr>
          <c:marker>
            <c:symbol val="none"/>
          </c:marker>
          <c:xVal>
            <c:numRef>
              <c:f>'COT Efficiency'!$BK$6:$BK$106</c:f>
              <c:numCache>
                <c:formatCode>0.000</c:formatCode>
                <c:ptCount val="101"/>
                <c:pt idx="0">
                  <c:v>0.15</c:v>
                </c:pt>
                <c:pt idx="1">
                  <c:v>1.5</c:v>
                </c:pt>
                <c:pt idx="2">
                  <c:v>3</c:v>
                </c:pt>
                <c:pt idx="3">
                  <c:v>4.5</c:v>
                </c:pt>
                <c:pt idx="4">
                  <c:v>6</c:v>
                </c:pt>
                <c:pt idx="5">
                  <c:v>7.5</c:v>
                </c:pt>
                <c:pt idx="6">
                  <c:v>9</c:v>
                </c:pt>
                <c:pt idx="7">
                  <c:v>10.5</c:v>
                </c:pt>
                <c:pt idx="8">
                  <c:v>12</c:v>
                </c:pt>
                <c:pt idx="9">
                  <c:v>13.5</c:v>
                </c:pt>
                <c:pt idx="10">
                  <c:v>15</c:v>
                </c:pt>
                <c:pt idx="11">
                  <c:v>16.5</c:v>
                </c:pt>
                <c:pt idx="12">
                  <c:v>18</c:v>
                </c:pt>
                <c:pt idx="13">
                  <c:v>19.5</c:v>
                </c:pt>
                <c:pt idx="14">
                  <c:v>21</c:v>
                </c:pt>
                <c:pt idx="15">
                  <c:v>22.5</c:v>
                </c:pt>
                <c:pt idx="16">
                  <c:v>24</c:v>
                </c:pt>
                <c:pt idx="17">
                  <c:v>25.500000000000004</c:v>
                </c:pt>
                <c:pt idx="18">
                  <c:v>27</c:v>
                </c:pt>
                <c:pt idx="19">
                  <c:v>28.499999999999996</c:v>
                </c:pt>
                <c:pt idx="20">
                  <c:v>30</c:v>
                </c:pt>
                <c:pt idx="21">
                  <c:v>31.5</c:v>
                </c:pt>
                <c:pt idx="22">
                  <c:v>33</c:v>
                </c:pt>
                <c:pt idx="23">
                  <c:v>34.5</c:v>
                </c:pt>
                <c:pt idx="24">
                  <c:v>36</c:v>
                </c:pt>
                <c:pt idx="25">
                  <c:v>37.5</c:v>
                </c:pt>
                <c:pt idx="26">
                  <c:v>39</c:v>
                </c:pt>
                <c:pt idx="27">
                  <c:v>40.5</c:v>
                </c:pt>
                <c:pt idx="28">
                  <c:v>42</c:v>
                </c:pt>
                <c:pt idx="29">
                  <c:v>43.5</c:v>
                </c:pt>
                <c:pt idx="30">
                  <c:v>45</c:v>
                </c:pt>
                <c:pt idx="31">
                  <c:v>46.5</c:v>
                </c:pt>
                <c:pt idx="32">
                  <c:v>48</c:v>
                </c:pt>
                <c:pt idx="33">
                  <c:v>49.5</c:v>
                </c:pt>
                <c:pt idx="34">
                  <c:v>51.000000000000007</c:v>
                </c:pt>
                <c:pt idx="35">
                  <c:v>52.5</c:v>
                </c:pt>
                <c:pt idx="36">
                  <c:v>54</c:v>
                </c:pt>
                <c:pt idx="37">
                  <c:v>55.5</c:v>
                </c:pt>
                <c:pt idx="38">
                  <c:v>56.999999999999993</c:v>
                </c:pt>
                <c:pt idx="39">
                  <c:v>58.5</c:v>
                </c:pt>
                <c:pt idx="40">
                  <c:v>60</c:v>
                </c:pt>
                <c:pt idx="41">
                  <c:v>61.499999999999993</c:v>
                </c:pt>
                <c:pt idx="42">
                  <c:v>63</c:v>
                </c:pt>
                <c:pt idx="43">
                  <c:v>64.5</c:v>
                </c:pt>
                <c:pt idx="44">
                  <c:v>66</c:v>
                </c:pt>
                <c:pt idx="45">
                  <c:v>67.5</c:v>
                </c:pt>
                <c:pt idx="46">
                  <c:v>69</c:v>
                </c:pt>
                <c:pt idx="47">
                  <c:v>70.5</c:v>
                </c:pt>
                <c:pt idx="48">
                  <c:v>72</c:v>
                </c:pt>
                <c:pt idx="49">
                  <c:v>73.5</c:v>
                </c:pt>
                <c:pt idx="50">
                  <c:v>75</c:v>
                </c:pt>
                <c:pt idx="51">
                  <c:v>76.5</c:v>
                </c:pt>
                <c:pt idx="52">
                  <c:v>78</c:v>
                </c:pt>
                <c:pt idx="53">
                  <c:v>79.5</c:v>
                </c:pt>
                <c:pt idx="54">
                  <c:v>81</c:v>
                </c:pt>
                <c:pt idx="55">
                  <c:v>82.5</c:v>
                </c:pt>
                <c:pt idx="56">
                  <c:v>84</c:v>
                </c:pt>
                <c:pt idx="57">
                  <c:v>85.499999999999986</c:v>
                </c:pt>
                <c:pt idx="58">
                  <c:v>87</c:v>
                </c:pt>
                <c:pt idx="59">
                  <c:v>88.5</c:v>
                </c:pt>
                <c:pt idx="60">
                  <c:v>90</c:v>
                </c:pt>
                <c:pt idx="61">
                  <c:v>91.5</c:v>
                </c:pt>
                <c:pt idx="62">
                  <c:v>93</c:v>
                </c:pt>
                <c:pt idx="63">
                  <c:v>94.5</c:v>
                </c:pt>
                <c:pt idx="64">
                  <c:v>96</c:v>
                </c:pt>
                <c:pt idx="65">
                  <c:v>97.5</c:v>
                </c:pt>
                <c:pt idx="66">
                  <c:v>99</c:v>
                </c:pt>
                <c:pt idx="67">
                  <c:v>100.5</c:v>
                </c:pt>
                <c:pt idx="68">
                  <c:v>102.00000000000001</c:v>
                </c:pt>
                <c:pt idx="69">
                  <c:v>103.5</c:v>
                </c:pt>
                <c:pt idx="70">
                  <c:v>105</c:v>
                </c:pt>
                <c:pt idx="71">
                  <c:v>106.5</c:v>
                </c:pt>
                <c:pt idx="72">
                  <c:v>108</c:v>
                </c:pt>
                <c:pt idx="73">
                  <c:v>109.5</c:v>
                </c:pt>
                <c:pt idx="74">
                  <c:v>111</c:v>
                </c:pt>
                <c:pt idx="75">
                  <c:v>112.49999999999999</c:v>
                </c:pt>
                <c:pt idx="76">
                  <c:v>113.99999999999999</c:v>
                </c:pt>
                <c:pt idx="77">
                  <c:v>115.49999999999999</c:v>
                </c:pt>
                <c:pt idx="78">
                  <c:v>117</c:v>
                </c:pt>
                <c:pt idx="79">
                  <c:v>118.5</c:v>
                </c:pt>
                <c:pt idx="80">
                  <c:v>120</c:v>
                </c:pt>
                <c:pt idx="81">
                  <c:v>121.5</c:v>
                </c:pt>
                <c:pt idx="82">
                  <c:v>122.99999999999999</c:v>
                </c:pt>
                <c:pt idx="83">
                  <c:v>124.49999999999999</c:v>
                </c:pt>
                <c:pt idx="84">
                  <c:v>126</c:v>
                </c:pt>
                <c:pt idx="85">
                  <c:v>127.5</c:v>
                </c:pt>
                <c:pt idx="86">
                  <c:v>129</c:v>
                </c:pt>
                <c:pt idx="87">
                  <c:v>130.5</c:v>
                </c:pt>
                <c:pt idx="88">
                  <c:v>132</c:v>
                </c:pt>
                <c:pt idx="89">
                  <c:v>133.5</c:v>
                </c:pt>
                <c:pt idx="90">
                  <c:v>135</c:v>
                </c:pt>
                <c:pt idx="91">
                  <c:v>136.5</c:v>
                </c:pt>
                <c:pt idx="92">
                  <c:v>138</c:v>
                </c:pt>
                <c:pt idx="93">
                  <c:v>139.5</c:v>
                </c:pt>
                <c:pt idx="94">
                  <c:v>141</c:v>
                </c:pt>
                <c:pt idx="95">
                  <c:v>142.5</c:v>
                </c:pt>
                <c:pt idx="96">
                  <c:v>144</c:v>
                </c:pt>
                <c:pt idx="97">
                  <c:v>145.5</c:v>
                </c:pt>
                <c:pt idx="98">
                  <c:v>147</c:v>
                </c:pt>
                <c:pt idx="99">
                  <c:v>148.5</c:v>
                </c:pt>
                <c:pt idx="100">
                  <c:v>150</c:v>
                </c:pt>
              </c:numCache>
            </c:numRef>
          </c:xVal>
          <c:yVal>
            <c:numRef>
              <c:f>'COT Efficiency'!$BZ$6:$BZ$106</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1"/>
          <c:extLst>
            <c:ext xmlns:c16="http://schemas.microsoft.com/office/drawing/2014/chart" uri="{C3380CC4-5D6E-409C-BE32-E72D297353CC}">
              <c16:uniqueId val="{00000003-A3CB-48A1-B69F-D781B5F58E0F}"/>
            </c:ext>
          </c:extLst>
        </c:ser>
        <c:dLbls>
          <c:showLegendKey val="0"/>
          <c:showVal val="0"/>
          <c:showCatName val="0"/>
          <c:showSerName val="0"/>
          <c:showPercent val="0"/>
          <c:showBubbleSize val="0"/>
        </c:dLbls>
        <c:axId val="160432128"/>
        <c:axId val="160692096"/>
      </c:scatterChart>
      <c:valAx>
        <c:axId val="160683904"/>
        <c:scaling>
          <c:logBase val="10"/>
          <c:orientation val="minMax"/>
          <c:min val="0.1"/>
        </c:scaling>
        <c:delete val="0"/>
        <c:axPos val="b"/>
        <c:majorGridlines>
          <c:spPr>
            <a:ln w="15875">
              <a:solidFill>
                <a:srgbClr val="969696"/>
              </a:solidFill>
              <a:prstDash val="sysDash"/>
            </a:ln>
          </c:spPr>
        </c:majorGridlines>
        <c:title>
          <c:tx>
            <c:rich>
              <a:bodyPr/>
              <a:lstStyle/>
              <a:p>
                <a:pPr>
                  <a:defRPr sz="1300" b="1" i="0" u="none" strike="noStrike" baseline="0">
                    <a:solidFill>
                      <a:sysClr val="windowText" lastClr="000000"/>
                    </a:solidFill>
                    <a:latin typeface="Arial" pitchFamily="34" charset="0"/>
                    <a:ea typeface="Calibri"/>
                    <a:cs typeface="Arial" pitchFamily="34" charset="0"/>
                  </a:defRPr>
                </a:pPr>
                <a:r>
                  <a:rPr lang="en-US" sz="1300">
                    <a:solidFill>
                      <a:sysClr val="windowText" lastClr="000000"/>
                    </a:solidFill>
                    <a:latin typeface="Arial" pitchFamily="34" charset="0"/>
                    <a:cs typeface="Arial" pitchFamily="34" charset="0"/>
                  </a:rPr>
                  <a:t>Load Current (mA)</a:t>
                </a:r>
              </a:p>
            </c:rich>
          </c:tx>
          <c:layout>
            <c:manualLayout>
              <c:xMode val="edge"/>
              <c:yMode val="edge"/>
              <c:x val="0.41625343343709942"/>
              <c:y val="0.94571913573731337"/>
            </c:manualLayout>
          </c:layout>
          <c:overlay val="0"/>
          <c:spPr>
            <a:noFill/>
            <a:ln w="25400">
              <a:noFill/>
            </a:ln>
          </c:spPr>
        </c:title>
        <c:numFmt formatCode="General" sourceLinked="0"/>
        <c:majorTickMark val="in"/>
        <c:minorTickMark val="none"/>
        <c:tickLblPos val="nextTo"/>
        <c:spPr>
          <a:ln w="3175">
            <a:solidFill>
              <a:srgbClr val="000000"/>
            </a:solidFill>
            <a:prstDash val="solid"/>
          </a:ln>
        </c:spPr>
        <c:txPr>
          <a:bodyPr rot="0" vert="horz"/>
          <a:lstStyle/>
          <a:p>
            <a:pPr>
              <a:defRPr sz="1100" b="1" i="0" u="none" strike="noStrike" baseline="0">
                <a:solidFill>
                  <a:srgbClr val="000000"/>
                </a:solidFill>
                <a:latin typeface="Arial" pitchFamily="34" charset="0"/>
                <a:ea typeface="Calibri"/>
                <a:cs typeface="Arial" pitchFamily="34" charset="0"/>
              </a:defRPr>
            </a:pPr>
            <a:endParaRPr lang="en-US"/>
          </a:p>
        </c:txPr>
        <c:crossAx val="160690176"/>
        <c:crosses val="autoZero"/>
        <c:crossBetween val="midCat"/>
      </c:valAx>
      <c:valAx>
        <c:axId val="160690176"/>
        <c:scaling>
          <c:orientation val="minMax"/>
          <c:max val="95"/>
          <c:min val="60"/>
        </c:scaling>
        <c:delete val="0"/>
        <c:axPos val="l"/>
        <c:majorGridlines>
          <c:spPr>
            <a:ln w="15875">
              <a:solidFill>
                <a:srgbClr val="808080"/>
              </a:solidFill>
              <a:prstDash val="solid"/>
            </a:ln>
          </c:spPr>
        </c:majorGridlines>
        <c:minorGridlines/>
        <c:title>
          <c:tx>
            <c:rich>
              <a:bodyPr/>
              <a:lstStyle/>
              <a:p>
                <a:pPr>
                  <a:defRPr sz="1400" b="1" i="0" u="none" strike="noStrike" baseline="0">
                    <a:solidFill>
                      <a:srgbClr val="FF0000"/>
                    </a:solidFill>
                    <a:latin typeface="Arial" pitchFamily="34" charset="0"/>
                    <a:ea typeface="Calibri"/>
                    <a:cs typeface="Arial" pitchFamily="34" charset="0"/>
                  </a:defRPr>
                </a:pPr>
                <a:r>
                  <a:rPr lang="en-US" sz="1400" b="1">
                    <a:solidFill>
                      <a:srgbClr val="FF0000"/>
                    </a:solidFill>
                    <a:latin typeface="Arial" pitchFamily="34" charset="0"/>
                    <a:cs typeface="Arial" pitchFamily="34" charset="0"/>
                  </a:rPr>
                  <a:t>Efficiency (%)</a:t>
                </a:r>
              </a:p>
            </c:rich>
          </c:tx>
          <c:layout>
            <c:manualLayout>
              <c:xMode val="edge"/>
              <c:yMode val="edge"/>
              <c:x val="1.2871858674081443E-2"/>
              <c:y val="0.37638177915688398"/>
            </c:manualLayout>
          </c:layout>
          <c:overlay val="0"/>
          <c:spPr>
            <a:noFill/>
            <a:ln w="25400">
              <a:noFill/>
            </a:ln>
          </c:spPr>
        </c:title>
        <c:numFmt formatCode="#,##0" sourceLinked="0"/>
        <c:majorTickMark val="out"/>
        <c:minorTickMark val="out"/>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160683904"/>
        <c:crossesAt val="0"/>
        <c:crossBetween val="midCat"/>
        <c:majorUnit val="5"/>
        <c:minorUnit val="2.5"/>
      </c:valAx>
      <c:valAx>
        <c:axId val="160692096"/>
        <c:scaling>
          <c:orientation val="minMax"/>
        </c:scaling>
        <c:delete val="0"/>
        <c:axPos val="r"/>
        <c:title>
          <c:tx>
            <c:rich>
              <a:bodyPr rot="-5400000" vert="horz"/>
              <a:lstStyle/>
              <a:p>
                <a:pPr>
                  <a:defRPr sz="1400" b="1">
                    <a:solidFill>
                      <a:srgbClr val="0000FF"/>
                    </a:solidFill>
                  </a:defRPr>
                </a:pPr>
                <a:r>
                  <a:rPr lang="en-US" sz="1400" b="1">
                    <a:solidFill>
                      <a:srgbClr val="0000FF"/>
                    </a:solidFill>
                  </a:rPr>
                  <a:t>Power Loss (mW)</a:t>
                </a:r>
              </a:p>
            </c:rich>
          </c:tx>
          <c:layout>
            <c:manualLayout>
              <c:xMode val="edge"/>
              <c:yMode val="edge"/>
              <c:x val="0.95563568688189593"/>
              <c:y val="0.33988985922214265"/>
            </c:manualLayout>
          </c:layout>
          <c:overlay val="0"/>
        </c:title>
        <c:numFmt formatCode="0" sourceLinked="0"/>
        <c:majorTickMark val="out"/>
        <c:minorTickMark val="none"/>
        <c:tickLblPos val="nextTo"/>
        <c:txPr>
          <a:bodyPr/>
          <a:lstStyle/>
          <a:p>
            <a:pPr>
              <a:defRPr sz="1100" b="1">
                <a:solidFill>
                  <a:srgbClr val="0000FF"/>
                </a:solidFill>
              </a:defRPr>
            </a:pPr>
            <a:endParaRPr lang="en-US"/>
          </a:p>
        </c:txPr>
        <c:crossAx val="160432128"/>
        <c:crosses val="max"/>
        <c:crossBetween val="midCat"/>
      </c:valAx>
      <c:valAx>
        <c:axId val="160432128"/>
        <c:scaling>
          <c:logBase val="10"/>
          <c:orientation val="minMax"/>
        </c:scaling>
        <c:delete val="1"/>
        <c:axPos val="b"/>
        <c:numFmt formatCode="0.000" sourceLinked="1"/>
        <c:majorTickMark val="out"/>
        <c:minorTickMark val="none"/>
        <c:tickLblPos val="nextTo"/>
        <c:crossAx val="160692096"/>
        <c:crosses val="autoZero"/>
        <c:crossBetween val="midCat"/>
      </c:valAx>
      <c:spPr>
        <a:noFill/>
        <a:ln w="25400">
          <a:noFill/>
        </a:ln>
      </c:spPr>
    </c:plotArea>
    <c:legend>
      <c:legendPos val="t"/>
      <c:layout>
        <c:manualLayout>
          <c:xMode val="edge"/>
          <c:yMode val="edge"/>
          <c:x val="0.38866500344700727"/>
          <c:y val="1.1892546194234431E-2"/>
          <c:w val="0.61133499655299273"/>
          <c:h val="9.2790073968026715E-2"/>
        </c:manualLayout>
      </c:layout>
      <c:overlay val="0"/>
      <c:spPr>
        <a:solidFill>
          <a:srgbClr val="FFFFFF"/>
        </a:solidFill>
        <a:ln w="25400">
          <a:noFill/>
        </a:ln>
      </c:spPr>
      <c:txPr>
        <a:bodyPr/>
        <a:lstStyle/>
        <a:p>
          <a:pPr>
            <a:defRPr sz="1200" b="0" i="0" u="none" strike="noStrike" baseline="0">
              <a:solidFill>
                <a:srgbClr val="000000"/>
              </a:solidFill>
              <a:latin typeface="Arial" pitchFamily="34" charset="0"/>
              <a:ea typeface="Calibri"/>
              <a:cs typeface="Arial" pitchFamily="34" charset="0"/>
            </a:defRPr>
          </a:pPr>
          <a:endParaRPr lang="en-US"/>
        </a:p>
      </c:txPr>
    </c:legend>
    <c:plotVisOnly val="1"/>
    <c:dispBlanksAs val="gap"/>
    <c:showDLblsOverMax val="0"/>
  </c:chart>
  <c:spPr>
    <a:solidFill>
      <a:schemeClr val="bg1"/>
    </a:solidFill>
    <a:ln w="9525">
      <a:solidFill>
        <a:srgbClr val="808080"/>
      </a:solidFill>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paperSize="5" orientation="portrait"/>
  </c:printSettings>
  <c:userShapes r:id="rId1"/>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P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t>Breakdown of </a:t>
            </a:r>
            <a:r>
              <a:rPr lang="en-US" sz="1800" b="1" i="0" baseline="0">
                <a:solidFill>
                  <a:srgbClr val="FF0000"/>
                </a:solidFill>
              </a:rPr>
              <a:t>COT</a:t>
            </a:r>
            <a:r>
              <a:rPr lang="en-US" sz="1800" b="1" i="0" baseline="0"/>
              <a:t> Efficiency Losses (</a:t>
            </a:r>
            <a:r>
              <a:rPr lang="en-US" sz="1800" b="1" i="0" u="none" strike="noStrike" baseline="0"/>
              <a:t>I</a:t>
            </a:r>
            <a:r>
              <a:rPr lang="en-US" sz="1800" b="1" i="0" u="none" strike="noStrike" baseline="-25000"/>
              <a:t>OUT</a:t>
            </a:r>
            <a:r>
              <a:rPr lang="en-US" sz="1800" b="1" i="0" u="none" strike="noStrike" baseline="0"/>
              <a:t> = </a:t>
            </a:r>
            <a:r>
              <a:rPr lang="en-US" sz="1800" b="1" i="0" baseline="0"/>
              <a:t>1mA)</a:t>
            </a:r>
            <a:endParaRPr lang="en-US" sz="1800"/>
          </a:p>
        </c:rich>
      </c:tx>
      <c:layout>
        <c:manualLayout>
          <c:xMode val="edge"/>
          <c:yMode val="edge"/>
          <c:x val="0.32963167587477016"/>
          <c:y val="3.5906642728904876E-2"/>
        </c:manualLayout>
      </c:layout>
      <c:overlay val="0"/>
    </c:title>
    <c:autoTitleDeleted val="0"/>
    <c:plotArea>
      <c:layout>
        <c:manualLayout>
          <c:layoutTarget val="inner"/>
          <c:xMode val="edge"/>
          <c:yMode val="edge"/>
          <c:x val="9.2844202898550721E-2"/>
          <c:y val="0.14821658962288614"/>
          <c:w val="0.89442960513913661"/>
          <c:h val="0.76382419881536368"/>
        </c:manualLayout>
      </c:layout>
      <c:barChart>
        <c:barDir val="col"/>
        <c:grouping val="clustered"/>
        <c:varyColors val="0"/>
        <c:ser>
          <c:idx val="6"/>
          <c:order val="0"/>
          <c:tx>
            <c:strRef>
              <c:f>'COT Efficiency'!$AX$5</c:f>
              <c:strCache>
                <c:ptCount val="1"/>
                <c:pt idx="0">
                  <c:v>High-side MOSFET Rdson %</c:v>
                </c:pt>
              </c:strCache>
            </c:strRef>
          </c:tx>
          <c:spPr>
            <a:solidFill>
              <a:srgbClr val="FF0000"/>
            </a:solidFill>
            <a:ln w="12700">
              <a:solidFill>
                <a:srgbClr val="000000"/>
              </a:solidFill>
              <a:prstDash val="solid"/>
            </a:ln>
          </c:spPr>
          <c:invertIfNegative val="0"/>
          <c:dLbls>
            <c:dLbl>
              <c:idx val="0"/>
              <c:tx>
                <c:rich>
                  <a:bodyPr/>
                  <a:lstStyle/>
                  <a:p>
                    <a:r>
                      <a:rPr lang="en-US"/>
                      <a:t>High-side MOSFET</a:t>
                    </a:r>
                  </a:p>
                  <a:p>
                    <a:r>
                      <a:rPr lang="en-US"/>
                      <a:t>Rdson</a:t>
                    </a:r>
                  </a:p>
                </c:rich>
              </c:tx>
              <c:dLblPos val="outEnd"/>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95E0-473A-8260-622B919F8422}"/>
                </c:ext>
              </c:extLst>
            </c:dLbl>
            <c:spPr>
              <a:noFill/>
              <a:ln>
                <a:noFill/>
              </a:ln>
              <a:effectLst/>
            </c:spPr>
            <c:txPr>
              <a:bodyPr/>
              <a:lstStyle/>
              <a:p>
                <a:pPr>
                  <a:defRPr sz="1200" b="1"/>
                </a:pPr>
                <a:endParaRPr lang="en-US"/>
              </a:p>
            </c:txPr>
            <c:dLblPos val="outEnd"/>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'COT Efficiency'!$AX$108</c:f>
              <c:numCache>
                <c:formatCode>0.000%</c:formatCode>
                <c:ptCount val="1"/>
                <c:pt idx="0">
                  <c:v>3.6409104085968987E-3</c:v>
                </c:pt>
              </c:numCache>
            </c:numRef>
          </c:val>
          <c:extLst>
            <c:ext xmlns:c16="http://schemas.microsoft.com/office/drawing/2014/chart" uri="{C3380CC4-5D6E-409C-BE32-E72D297353CC}">
              <c16:uniqueId val="{00000001-95E0-473A-8260-622B919F8422}"/>
            </c:ext>
          </c:extLst>
        </c:ser>
        <c:ser>
          <c:idx val="5"/>
          <c:order val="1"/>
          <c:tx>
            <c:strRef>
              <c:f>'COT Efficiency'!$BA$5</c:f>
              <c:strCache>
                <c:ptCount val="1"/>
                <c:pt idx="0">
                  <c:v>High-side MOSFET Switching Loss %</c:v>
                </c:pt>
              </c:strCache>
            </c:strRef>
          </c:tx>
          <c:spPr>
            <a:solidFill>
              <a:srgbClr val="0000FF"/>
            </a:solidFill>
            <a:ln w="12700">
              <a:solidFill>
                <a:srgbClr val="000000"/>
              </a:solidFill>
              <a:prstDash val="solid"/>
            </a:ln>
          </c:spPr>
          <c:invertIfNegative val="0"/>
          <c:dLbls>
            <c:dLbl>
              <c:idx val="0"/>
              <c:layout>
                <c:manualLayout>
                  <c:x val="-9.2081031307550637E-4"/>
                  <c:y val="-7.1813285457809741E-3"/>
                </c:manualLayout>
              </c:layout>
              <c:tx>
                <c:rich>
                  <a:bodyPr/>
                  <a:lstStyle/>
                  <a:p>
                    <a:r>
                      <a:rPr lang="en-US"/>
                      <a:t>High-side MOSFET</a:t>
                    </a:r>
                  </a:p>
                  <a:p>
                    <a:r>
                      <a:rPr lang="en-US"/>
                      <a:t>Switching</a:t>
                    </a:r>
                  </a:p>
                </c:rich>
              </c:tx>
              <c:dLblPos val="outEnd"/>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95E0-473A-8260-622B919F8422}"/>
                </c:ext>
              </c:extLst>
            </c:dLbl>
            <c:spPr>
              <a:noFill/>
              <a:ln>
                <a:noFill/>
              </a:ln>
              <a:effectLst/>
            </c:spPr>
            <c:txPr>
              <a:bodyPr/>
              <a:lstStyle/>
              <a:p>
                <a:pPr>
                  <a:defRPr sz="1200" b="1"/>
                </a:pPr>
                <a:endParaRPr lang="en-US"/>
              </a:p>
            </c:txPr>
            <c:dLblPos val="outEnd"/>
            <c:showLegendKey val="0"/>
            <c:showVal val="0"/>
            <c:showCatName val="0"/>
            <c:showSerName val="0"/>
            <c:showPercent val="0"/>
            <c:showBubbleSize val="0"/>
            <c:extLst>
              <c:ext xmlns:c15="http://schemas.microsoft.com/office/drawing/2012/chart" uri="{CE6537A1-D6FC-4f65-9D91-7224C49458BB}">
                <c15:showLeaderLines val="0"/>
              </c:ext>
            </c:extLst>
          </c:dLbls>
          <c:val>
            <c:numRef>
              <c:f>'COT Efficiency'!$BA$108</c:f>
              <c:numCache>
                <c:formatCode>0.000%</c:formatCode>
                <c:ptCount val="1"/>
                <c:pt idx="0">
                  <c:v>4.5907837520612008E-3</c:v>
                </c:pt>
              </c:numCache>
            </c:numRef>
          </c:val>
          <c:extLst>
            <c:ext xmlns:c16="http://schemas.microsoft.com/office/drawing/2014/chart" uri="{C3380CC4-5D6E-409C-BE32-E72D297353CC}">
              <c16:uniqueId val="{00000003-95E0-473A-8260-622B919F8422}"/>
            </c:ext>
          </c:extLst>
        </c:ser>
        <c:ser>
          <c:idx val="7"/>
          <c:order val="2"/>
          <c:tx>
            <c:strRef>
              <c:f>'COT Efficiency'!$AY$5</c:f>
              <c:strCache>
                <c:ptCount val="1"/>
                <c:pt idx="0">
                  <c:v>Low-side MOSFET Rdson %</c:v>
                </c:pt>
              </c:strCache>
            </c:strRef>
          </c:tx>
          <c:spPr>
            <a:solidFill>
              <a:srgbClr val="FF6600"/>
            </a:solidFill>
            <a:ln w="12700">
              <a:solidFill>
                <a:srgbClr val="000000"/>
              </a:solidFill>
              <a:prstDash val="solid"/>
            </a:ln>
          </c:spPr>
          <c:invertIfNegative val="0"/>
          <c:dLbls>
            <c:dLbl>
              <c:idx val="0"/>
              <c:tx>
                <c:rich>
                  <a:bodyPr/>
                  <a:lstStyle/>
                  <a:p>
                    <a:r>
                      <a:rPr lang="en-US" sz="1200" b="1"/>
                      <a:t>L</a:t>
                    </a:r>
                    <a:r>
                      <a:rPr lang="en-US" sz="1200"/>
                      <a:t>ow-side MOSFET</a:t>
                    </a:r>
                  </a:p>
                  <a:p>
                    <a:r>
                      <a:rPr lang="en-US" sz="1200"/>
                      <a:t>Rdson</a:t>
                    </a:r>
                  </a:p>
                </c:rich>
              </c:tx>
              <c:dLblPos val="outEnd"/>
              <c:showLegendKey val="0"/>
              <c:showVal val="1"/>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95E0-473A-8260-622B919F8422}"/>
                </c:ext>
              </c:extLst>
            </c:dLbl>
            <c:spPr>
              <a:noFill/>
              <a:ln>
                <a:noFill/>
              </a:ln>
              <a:effectLst/>
            </c:spPr>
            <c:txPr>
              <a:bodyPr/>
              <a:lstStyle/>
              <a:p>
                <a:pPr>
                  <a:defRPr b="1"/>
                </a:pPr>
                <a:endParaRPr lang="en-US"/>
              </a:p>
            </c:txPr>
            <c:dLblPos val="outEnd"/>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val>
            <c:numRef>
              <c:f>'COT Efficiency'!$AY$108</c:f>
              <c:numCache>
                <c:formatCode>0.000%</c:formatCode>
                <c:ptCount val="1"/>
                <c:pt idx="0">
                  <c:v>6.5692245841190103E-3</c:v>
                </c:pt>
              </c:numCache>
            </c:numRef>
          </c:val>
          <c:extLst>
            <c:ext xmlns:c16="http://schemas.microsoft.com/office/drawing/2014/chart" uri="{C3380CC4-5D6E-409C-BE32-E72D297353CC}">
              <c16:uniqueId val="{00000005-95E0-473A-8260-622B919F8422}"/>
            </c:ext>
          </c:extLst>
        </c:ser>
        <c:ser>
          <c:idx val="3"/>
          <c:order val="3"/>
          <c:tx>
            <c:strRef>
              <c:f>'COT Efficiency'!$BC$5</c:f>
              <c:strCache>
                <c:ptCount val="1"/>
                <c:pt idx="0">
                  <c:v>Deadtime Loss %</c:v>
                </c:pt>
              </c:strCache>
            </c:strRef>
          </c:tx>
          <c:spPr>
            <a:solidFill>
              <a:srgbClr val="666699"/>
            </a:solidFill>
            <a:ln w="12700">
              <a:solidFill>
                <a:srgbClr val="000000"/>
              </a:solidFill>
              <a:prstDash val="solid"/>
            </a:ln>
          </c:spPr>
          <c:invertIfNegative val="0"/>
          <c:dLbls>
            <c:dLbl>
              <c:idx val="0"/>
              <c:layout>
                <c:manualLayout>
                  <c:x val="0"/>
                  <c:y val="-9.5751047277079695E-3"/>
                </c:manualLayout>
              </c:layout>
              <c:tx>
                <c:rich>
                  <a:bodyPr/>
                  <a:lstStyle/>
                  <a:p>
                    <a:r>
                      <a:rPr lang="en-US"/>
                      <a:t>Low-side MOSFET</a:t>
                    </a:r>
                  </a:p>
                  <a:p>
                    <a:r>
                      <a:rPr lang="en-US"/>
                      <a:t>Deadtime </a:t>
                    </a:r>
                  </a:p>
                </c:rich>
              </c:tx>
              <c:dLblPos val="outEnd"/>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95E0-473A-8260-622B919F8422}"/>
                </c:ext>
              </c:extLst>
            </c:dLbl>
            <c:spPr>
              <a:noFill/>
              <a:ln>
                <a:noFill/>
              </a:ln>
              <a:effectLst/>
            </c:spPr>
            <c:txPr>
              <a:bodyPr/>
              <a:lstStyle/>
              <a:p>
                <a:pPr>
                  <a:defRPr sz="1200" b="1"/>
                </a:pPr>
                <a:endParaRPr lang="en-US"/>
              </a:p>
            </c:txPr>
            <c:dLblPos val="outEnd"/>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'COT Efficiency'!$BC$108</c:f>
              <c:numCache>
                <c:formatCode>0.000%</c:formatCode>
                <c:ptCount val="1"/>
                <c:pt idx="0">
                  <c:v>7.3751579484765363E-4</c:v>
                </c:pt>
              </c:numCache>
            </c:numRef>
          </c:val>
          <c:extLst>
            <c:ext xmlns:c16="http://schemas.microsoft.com/office/drawing/2014/chart" uri="{C3380CC4-5D6E-409C-BE32-E72D297353CC}">
              <c16:uniqueId val="{00000007-95E0-473A-8260-622B919F8422}"/>
            </c:ext>
          </c:extLst>
        </c:ser>
        <c:ser>
          <c:idx val="2"/>
          <c:order val="4"/>
          <c:tx>
            <c:strRef>
              <c:f>'COT Efficiency'!$AZ$5</c:f>
              <c:strCache>
                <c:ptCount val="1"/>
                <c:pt idx="0">
                  <c:v>Gate Drive (Qg) Loss from Vin %</c:v>
                </c:pt>
              </c:strCache>
            </c:strRef>
          </c:tx>
          <c:spPr>
            <a:solidFill>
              <a:srgbClr val="00FFFF"/>
            </a:solidFill>
            <a:ln w="12700">
              <a:solidFill>
                <a:srgbClr val="000000"/>
              </a:solidFill>
              <a:prstDash val="solid"/>
            </a:ln>
          </c:spPr>
          <c:invertIfNegative val="0"/>
          <c:dLbls>
            <c:dLbl>
              <c:idx val="0"/>
              <c:tx>
                <c:rich>
                  <a:bodyPr/>
                  <a:lstStyle/>
                  <a:p>
                    <a:r>
                      <a:rPr lang="en-US"/>
                      <a:t>Gate Drive (Qg)</a:t>
                    </a:r>
                  </a:p>
                  <a:p>
                    <a:r>
                      <a:rPr lang="en-US"/>
                      <a:t>Loss</a:t>
                    </a:r>
                  </a:p>
                </c:rich>
              </c:tx>
              <c:dLblPos val="outEnd"/>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95E0-473A-8260-622B919F8422}"/>
                </c:ext>
              </c:extLst>
            </c:dLbl>
            <c:spPr>
              <a:noFill/>
              <a:ln>
                <a:noFill/>
              </a:ln>
              <a:effectLst/>
            </c:spPr>
            <c:txPr>
              <a:bodyPr rot="0" vert="horz"/>
              <a:lstStyle/>
              <a:p>
                <a:pPr>
                  <a:defRPr sz="1200" b="1"/>
                </a:pPr>
                <a:endParaRPr lang="en-US"/>
              </a:p>
            </c:txPr>
            <c:dLblPos val="outEnd"/>
            <c:showLegendKey val="0"/>
            <c:showVal val="0"/>
            <c:showCatName val="0"/>
            <c:showSerName val="0"/>
            <c:showPercent val="0"/>
            <c:showBubbleSize val="0"/>
            <c:extLst>
              <c:ext xmlns:c15="http://schemas.microsoft.com/office/drawing/2012/chart" uri="{CE6537A1-D6FC-4f65-9D91-7224C49458BB}">
                <c15:showLeaderLines val="0"/>
              </c:ext>
            </c:extLst>
          </c:dLbls>
          <c:val>
            <c:numRef>
              <c:f>'COT Efficiency'!$AZ$108</c:f>
              <c:numCache>
                <c:formatCode>0.000%</c:formatCode>
                <c:ptCount val="1"/>
                <c:pt idx="0">
                  <c:v>5.4394694205683519E-2</c:v>
                </c:pt>
              </c:numCache>
            </c:numRef>
          </c:val>
          <c:extLst>
            <c:ext xmlns:c16="http://schemas.microsoft.com/office/drawing/2014/chart" uri="{C3380CC4-5D6E-409C-BE32-E72D297353CC}">
              <c16:uniqueId val="{00000009-95E0-473A-8260-622B919F8422}"/>
            </c:ext>
          </c:extLst>
        </c:ser>
        <c:ser>
          <c:idx val="1"/>
          <c:order val="5"/>
          <c:tx>
            <c:strRef>
              <c:f>'COT Efficiency'!$BB$5</c:f>
              <c:strCache>
                <c:ptCount val="1"/>
                <c:pt idx="0">
                  <c:v>Reverse Recovery &amp; Leakage Loss %</c:v>
                </c:pt>
              </c:strCache>
            </c:strRef>
          </c:tx>
          <c:invertIfNegative val="0"/>
          <c:dLbls>
            <c:dLbl>
              <c:idx val="0"/>
              <c:tx>
                <c:rich>
                  <a:bodyPr/>
                  <a:lstStyle/>
                  <a:p>
                    <a:r>
                      <a:rPr lang="en-US" sz="1200" b="1"/>
                      <a:t>Reverse Recovery</a:t>
                    </a:r>
                  </a:p>
                  <a:p>
                    <a:r>
                      <a:rPr lang="en-US" sz="1200" b="1"/>
                      <a:t>Loss</a:t>
                    </a:r>
                  </a:p>
                </c:rich>
              </c:tx>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95E0-473A-8260-622B919F8422}"/>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'COT Efficiency'!$BB$108</c:f>
              <c:numCache>
                <c:formatCode>0.000%</c:formatCode>
                <c:ptCount val="1"/>
                <c:pt idx="0">
                  <c:v>0</c:v>
                </c:pt>
              </c:numCache>
            </c:numRef>
          </c:val>
          <c:extLst>
            <c:ext xmlns:c16="http://schemas.microsoft.com/office/drawing/2014/chart" uri="{C3380CC4-5D6E-409C-BE32-E72D297353CC}">
              <c16:uniqueId val="{0000000B-95E0-473A-8260-622B919F8422}"/>
            </c:ext>
          </c:extLst>
        </c:ser>
        <c:ser>
          <c:idx val="8"/>
          <c:order val="6"/>
          <c:tx>
            <c:strRef>
              <c:f>'COT Efficiency'!$BD$5</c:f>
              <c:strCache>
                <c:ptCount val="1"/>
                <c:pt idx="0">
                  <c:v>Inductor Cu Loss %</c:v>
                </c:pt>
              </c:strCache>
            </c:strRef>
          </c:tx>
          <c:spPr>
            <a:solidFill>
              <a:srgbClr val="00FF00"/>
            </a:solidFill>
            <a:ln w="12700">
              <a:solidFill>
                <a:srgbClr val="000000"/>
              </a:solidFill>
              <a:prstDash val="solid"/>
            </a:ln>
          </c:spPr>
          <c:invertIfNegative val="0"/>
          <c:dLbls>
            <c:dLbl>
              <c:idx val="0"/>
              <c:tx>
                <c:rich>
                  <a:bodyPr/>
                  <a:lstStyle/>
                  <a:p>
                    <a:r>
                      <a:rPr lang="en-US"/>
                      <a:t>Inductor DCR</a:t>
                    </a:r>
                  </a:p>
                  <a:p>
                    <a:r>
                      <a:rPr lang="en-US"/>
                      <a:t>Loss</a:t>
                    </a:r>
                  </a:p>
                </c:rich>
              </c:tx>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95E0-473A-8260-622B919F8422}"/>
                </c:ext>
              </c:extLst>
            </c:dLbl>
            <c:spPr>
              <a:noFill/>
              <a:ln>
                <a:noFill/>
              </a:ln>
              <a:effectLst/>
            </c:spPr>
            <c:txPr>
              <a:bodyPr/>
              <a:lstStyle/>
              <a:p>
                <a:pPr>
                  <a:defRPr sz="1200" b="1"/>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val>
            <c:numRef>
              <c:f>'COT Efficiency'!$BD$108</c:f>
              <c:numCache>
                <c:formatCode>0.000%</c:formatCode>
                <c:ptCount val="1"/>
                <c:pt idx="0">
                  <c:v>7.2151246180390156E-3</c:v>
                </c:pt>
              </c:numCache>
            </c:numRef>
          </c:val>
          <c:extLst>
            <c:ext xmlns:c16="http://schemas.microsoft.com/office/drawing/2014/chart" uri="{C3380CC4-5D6E-409C-BE32-E72D297353CC}">
              <c16:uniqueId val="{0000000D-95E0-473A-8260-622B919F8422}"/>
            </c:ext>
          </c:extLst>
        </c:ser>
        <c:ser>
          <c:idx val="4"/>
          <c:order val="7"/>
          <c:tx>
            <c:strRef>
              <c:f>'COT Efficiency'!$BE$5</c:f>
              <c:strCache>
                <c:ptCount val="1"/>
                <c:pt idx="0">
                  <c:v>Inductor Core Loss %</c:v>
                </c:pt>
              </c:strCache>
            </c:strRef>
          </c:tx>
          <c:spPr>
            <a:solidFill>
              <a:srgbClr val="99CC00"/>
            </a:solidFill>
            <a:ln w="12700">
              <a:solidFill>
                <a:srgbClr val="000000"/>
              </a:solidFill>
              <a:prstDash val="solid"/>
            </a:ln>
          </c:spPr>
          <c:invertIfNegative val="0"/>
          <c:dLbls>
            <c:dLbl>
              <c:idx val="0"/>
              <c:tx>
                <c:rich>
                  <a:bodyPr/>
                  <a:lstStyle/>
                  <a:p>
                    <a:r>
                      <a:rPr lang="en-US"/>
                      <a:t>Inductor Core</a:t>
                    </a:r>
                  </a:p>
                  <a:p>
                    <a:r>
                      <a:rPr lang="en-US"/>
                      <a:t>Loss</a:t>
                    </a:r>
                  </a:p>
                </c:rich>
              </c:tx>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95E0-473A-8260-622B919F8422}"/>
                </c:ext>
              </c:extLst>
            </c:dLbl>
            <c:spPr>
              <a:noFill/>
              <a:ln>
                <a:noFill/>
              </a:ln>
              <a:effectLst/>
            </c:spPr>
            <c:txPr>
              <a:bodyPr/>
              <a:lstStyle/>
              <a:p>
                <a:pPr>
                  <a:defRPr sz="1200" b="1"/>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val>
            <c:numRef>
              <c:f>'COT Efficiency'!$BE$108</c:f>
              <c:numCache>
                <c:formatCode>0.000%</c:formatCode>
                <c:ptCount val="1"/>
                <c:pt idx="0">
                  <c:v>1.4929120352630757E-2</c:v>
                </c:pt>
              </c:numCache>
            </c:numRef>
          </c:val>
          <c:extLst>
            <c:ext xmlns:c16="http://schemas.microsoft.com/office/drawing/2014/chart" uri="{C3380CC4-5D6E-409C-BE32-E72D297353CC}">
              <c16:uniqueId val="{0000000F-95E0-473A-8260-622B919F8422}"/>
            </c:ext>
          </c:extLst>
        </c:ser>
        <c:ser>
          <c:idx val="0"/>
          <c:order val="8"/>
          <c:tx>
            <c:strRef>
              <c:f>'COT Efficiency'!$BG$5</c:f>
              <c:strCache>
                <c:ptCount val="1"/>
                <c:pt idx="0">
                  <c:v>Quiescent Current Loss %</c:v>
                </c:pt>
              </c:strCache>
            </c:strRef>
          </c:tx>
          <c:invertIfNegative val="0"/>
          <c:dLbls>
            <c:dLbl>
              <c:idx val="0"/>
              <c:tx>
                <c:rich>
                  <a:bodyPr/>
                  <a:lstStyle/>
                  <a:p>
                    <a:r>
                      <a:rPr lang="en-US"/>
                      <a:t>Quiescent Current</a:t>
                    </a:r>
                  </a:p>
                  <a:p>
                    <a:r>
                      <a:rPr lang="en-US"/>
                      <a:t>Loss </a:t>
                    </a:r>
                  </a:p>
                </c:rich>
              </c:tx>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95E0-473A-8260-622B919F8422}"/>
                </c:ext>
              </c:extLst>
            </c:dLbl>
            <c:numFmt formatCode="0.0E+00" sourceLinked="0"/>
            <c:spPr>
              <a:noFill/>
            </c:spPr>
            <c:txPr>
              <a:bodyPr rot="0" vert="horz" anchor="ctr" anchorCtr="0"/>
              <a:lstStyle/>
              <a:p>
                <a:pPr>
                  <a:defRPr sz="1200" b="1"/>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val>
            <c:numRef>
              <c:f>'COT Efficiency'!$BG$108</c:f>
              <c:numCache>
                <c:formatCode>0.000%</c:formatCode>
                <c:ptCount val="1"/>
                <c:pt idx="0">
                  <c:v>8.2551506228875166E-2</c:v>
                </c:pt>
              </c:numCache>
            </c:numRef>
          </c:val>
          <c:extLst>
            <c:ext xmlns:c16="http://schemas.microsoft.com/office/drawing/2014/chart" uri="{C3380CC4-5D6E-409C-BE32-E72D297353CC}">
              <c16:uniqueId val="{00000011-95E0-473A-8260-622B919F8422}"/>
            </c:ext>
          </c:extLst>
        </c:ser>
        <c:dLbls>
          <c:showLegendKey val="0"/>
          <c:showVal val="0"/>
          <c:showCatName val="0"/>
          <c:showSerName val="0"/>
          <c:showPercent val="0"/>
          <c:showBubbleSize val="0"/>
        </c:dLbls>
        <c:gapWidth val="101"/>
        <c:overlap val="-70"/>
        <c:axId val="160549504"/>
        <c:axId val="160571776"/>
      </c:barChart>
      <c:catAx>
        <c:axId val="160549504"/>
        <c:scaling>
          <c:orientation val="minMax"/>
        </c:scaling>
        <c:delete val="0"/>
        <c:axPos val="b"/>
        <c:numFmt formatCode="General" sourceLinked="1"/>
        <c:majorTickMark val="none"/>
        <c:minorTickMark val="none"/>
        <c:tickLblPos val="none"/>
        <c:spPr>
          <a:ln w="3175">
            <a:solidFill>
              <a:srgbClr val="000000"/>
            </a:solidFill>
            <a:prstDash val="solid"/>
          </a:ln>
        </c:spPr>
        <c:txPr>
          <a:bodyPr rot="0" vert="horz"/>
          <a:lstStyle/>
          <a:p>
            <a:pPr>
              <a:defRPr sz="1725" b="0" i="0" u="none" strike="noStrike" baseline="0">
                <a:solidFill>
                  <a:srgbClr val="000000"/>
                </a:solidFill>
                <a:latin typeface="Arial"/>
                <a:ea typeface="Arial"/>
                <a:cs typeface="Arial"/>
              </a:defRPr>
            </a:pPr>
            <a:endParaRPr lang="en-US"/>
          </a:p>
        </c:txPr>
        <c:crossAx val="160571776"/>
        <c:crossesAt val="0"/>
        <c:auto val="1"/>
        <c:lblAlgn val="ctr"/>
        <c:lblOffset val="100"/>
        <c:noMultiLvlLbl val="0"/>
      </c:catAx>
      <c:valAx>
        <c:axId val="160571776"/>
        <c:scaling>
          <c:orientation val="minMax"/>
          <c:min val="0"/>
        </c:scaling>
        <c:delete val="0"/>
        <c:axPos val="l"/>
        <c:majorGridlines>
          <c:spPr>
            <a:ln>
              <a:prstDash val="lgDash"/>
            </a:ln>
          </c:spPr>
        </c:majorGridlines>
        <c:title>
          <c:tx>
            <c:rich>
              <a:bodyPr/>
              <a:lstStyle/>
              <a:p>
                <a:pPr>
                  <a:defRPr b="1"/>
                </a:pPr>
                <a:r>
                  <a:rPr lang="en-US" b="1"/>
                  <a:t>Loss</a:t>
                </a:r>
                <a:r>
                  <a:rPr lang="en-US" b="1" baseline="0"/>
                  <a:t> Contributors</a:t>
                </a:r>
                <a:endParaRPr lang="en-US" b="1"/>
              </a:p>
            </c:rich>
          </c:tx>
          <c:layout>
            <c:manualLayout>
              <c:xMode val="edge"/>
              <c:yMode val="edge"/>
              <c:x val="9.9337306593581982E-3"/>
              <c:y val="0.30210944457795558"/>
            </c:manualLayout>
          </c:layout>
          <c:overlay val="0"/>
        </c:title>
        <c:numFmt formatCode="0.0%" sourceLinked="0"/>
        <c:majorTickMark val="out"/>
        <c:minorTickMark val="out"/>
        <c:tickLblPos val="low"/>
        <c:crossAx val="160549504"/>
        <c:crosses val="autoZero"/>
        <c:crossBetween val="between"/>
      </c:valAx>
      <c:spPr>
        <a:solidFill>
          <a:schemeClr val="bg1">
            <a:lumMod val="95000"/>
          </a:schemeClr>
        </a:solidFill>
        <a:ln w="25400">
          <a:noFill/>
        </a:ln>
      </c:spPr>
    </c:plotArea>
    <c:plotVisOnly val="1"/>
    <c:dispBlanksAs val="zero"/>
    <c:showDLblsOverMax val="0"/>
  </c:chart>
  <c:spPr>
    <a:solidFill>
      <a:srgbClr val="FFFFFF"/>
    </a:solidFill>
    <a:ln w="3175">
      <a:noFill/>
      <a:prstDash val="solid"/>
    </a:ln>
  </c:spPr>
  <c:txPr>
    <a:bodyPr/>
    <a:lstStyle/>
    <a:p>
      <a:pPr>
        <a:defRPr sz="1725" b="0" i="0" u="none" strike="noStrike" baseline="0">
          <a:solidFill>
            <a:srgbClr val="000000"/>
          </a:solidFill>
          <a:latin typeface="Arial"/>
          <a:ea typeface="Arial"/>
          <a:cs typeface="Arial"/>
        </a:defRPr>
      </a:pPr>
      <a:endParaRPr lang="en-US"/>
    </a:p>
  </c:txPr>
  <c:printSettings>
    <c:headerFooter alignWithMargins="0"/>
    <c:pageMargins b="1" l="0.75000000000000255" r="0.75000000000000255" t="1" header="0.5" footer="0.5"/>
    <c:pageSetup orientation="landscape"/>
  </c:printSettings>
</c:chartSpace>
</file>

<file path=xl/ctrlProps/ctrlProp1.xml><?xml version="1.0" encoding="utf-8"?>
<formControlPr xmlns="http://schemas.microsoft.com/office/spreadsheetml/2009/9/main" objectType="Spin" dx="16" fmlaLink="$E$7" max="65" min="3" page="10" val="43"/>
</file>

<file path=xl/ctrlProps/ctrlProp2.xml><?xml version="1.0" encoding="utf-8"?>
<formControlPr xmlns="http://schemas.microsoft.com/office/spreadsheetml/2009/9/main" objectType="Drop" dropLines="2" dropStyle="combo" dx="16" fmlaLink="'Variable Mgmt'!$C$33" fmlaRange="'Variable Mgmt'!$B$31:$B$32" noThreeD="1" sel="1" val="0"/>
</file>

<file path=xl/ctrlProps/ctrlProp3.xml><?xml version="1.0" encoding="utf-8"?>
<formControlPr xmlns="http://schemas.microsoft.com/office/spreadsheetml/2009/9/main" objectType="Drop" dropStyle="combo" dx="16" fmlaLink="'Variable Mgmt'!$J$38" fmlaRange="'Variable Mgmt'!$I$35:$I$37" noThreeD="1" sel="1" val="0"/>
</file>

<file path=xl/ctrlProps/ctrlProp4.xml><?xml version="1.0" encoding="utf-8"?>
<formControlPr xmlns="http://schemas.microsoft.com/office/spreadsheetml/2009/9/main" objectType="Drop" dropStyle="combo" dx="16" fmlaLink="'Variable Mgmt'!$C$39" fmlaRange="'Variable Mgmt'!$B$35:$B$38" noThreeD="1" sel="4" val="0"/>
</file>

<file path=xl/ctrlProps/ctrlProp5.xml><?xml version="1.0" encoding="utf-8"?>
<formControlPr xmlns="http://schemas.microsoft.com/office/spreadsheetml/2009/9/main" objectType="Drop" dropLines="2" dropStyle="combo" dx="16" fmlaLink="'Variable Mgmt'!$M$38" fmlaRange="'Variable Mgmt'!$L$36:$L$37" noThreeD="1" sel="1" val="0"/>
</file>

<file path=xl/ctrlProps/ctrlProp6.xml><?xml version="1.0" encoding="utf-8"?>
<formControlPr xmlns="http://schemas.microsoft.com/office/spreadsheetml/2009/9/main" objectType="Drop" dropLines="2" dropStyle="combo" dx="16" fmlaLink="'Variable Mgmt'!$G$37" fmlaRange="'Variable Mgmt'!$F$35:$F$36" noThreeD="1" sel="2" val="0"/>
</file>

<file path=xl/ctrlProps/ctrlProp7.xml><?xml version="1.0" encoding="utf-8"?>
<formControlPr xmlns="http://schemas.microsoft.com/office/spreadsheetml/2009/9/main" objectType="Drop" dropStyle="combo" dx="16" fmlaLink="'BOM &amp; Schematic'!$Q$31" fmlaRange="'Variable Mgmt'!$R$39:$R$43" noThreeD="1" sel="4" val="0"/>
</file>

<file path=xl/ctrlProps/ctrlProp8.xml><?xml version="1.0" encoding="utf-8"?>
<formControlPr xmlns="http://schemas.microsoft.com/office/spreadsheetml/2009/9/main" objectType="Drop" dropStyle="combo" dx="16" fmlaLink="$Q$32" fmlaRange="'Variable Mgmt'!$R$39:$R$43" noThreeD="1" sel="4" val="0"/>
</file>

<file path=xl/ctrlProps/ctrlProp9.xml><?xml version="1.0" encoding="utf-8"?>
<formControlPr xmlns="http://schemas.microsoft.com/office/spreadsheetml/2009/9/main" objectType="Drop" dropStyle="combo" dx="16" fmlaLink="$Q$36" fmlaRange="'Variable Mgmt'!$R$39:$R$41" noThreeD="1" sel="1" val="0"/>
</file>

<file path=xl/ctrlProps/ctrlProp10.xml><?xml version="1.0" encoding="utf-8"?>
<formControlPr xmlns="http://schemas.microsoft.com/office/spreadsheetml/2009/9/main" objectType="Drop" dropStyle="combo" dx="16" fmlaLink="$Q$37" fmlaRange="'Variable Mgmt'!$R$39:$R$41" noThreeD="1" sel="1" val="0"/>
</file>

<file path=xl/ctrlProps/ctrlProp11.xml><?xml version="1.0" encoding="utf-8"?>
<formControlPr xmlns="http://schemas.microsoft.com/office/spreadsheetml/2009/9/main" objectType="Drop" dropStyle="combo" dx="16" fmlaLink="$Q$38" fmlaRange="'Variable Mgmt'!$R$39:$R$41" noThreeD="1" sel="1" val="0"/>
</file>

<file path=xl/ctrlProps/ctrlProp12.xml><?xml version="1.0" encoding="utf-8"?>
<formControlPr xmlns="http://schemas.microsoft.com/office/spreadsheetml/2009/9/main" objectType="Drop" dropStyle="combo" dx="16" fmlaLink="$Q$39" fmlaRange="'Variable Mgmt'!$R$39:$R$41" noThreeD="1" sel="1" val="0"/>
</file>

<file path=xl/ctrlProps/ctrlProp13.xml><?xml version="1.0" encoding="utf-8"?>
<formControlPr xmlns="http://schemas.microsoft.com/office/spreadsheetml/2009/9/main" objectType="Drop" dropStyle="combo" dx="16" fmlaLink="$Q$40" fmlaRange="'Variable Mgmt'!$R$39:$R$41" noThreeD="1" sel="1" val="0"/>
</file>

<file path=xl/ctrlProps/ctrlProp14.xml><?xml version="1.0" encoding="utf-8"?>
<formControlPr xmlns="http://schemas.microsoft.com/office/spreadsheetml/2009/9/main" objectType="Drop" dropStyle="combo" dx="16" fmlaLink="$Q$41" fmlaRange="'Variable Mgmt'!$R$39:$R$41" noThreeD="1" sel="1" val="0"/>
</file>

<file path=xl/ctrlProps/ctrlProp15.xml><?xml version="1.0" encoding="utf-8"?>
<formControlPr xmlns="http://schemas.microsoft.com/office/spreadsheetml/2009/9/main" objectType="Drop" dropStyle="combo" dx="16" fmlaLink="$Q$42" fmlaRange="'Variable Mgmt'!$R$39:$R$41" noThreeD="1" sel="1" val="0"/>
</file>

<file path=xl/ctrlProps/ctrlProp16.xml><?xml version="1.0" encoding="utf-8"?>
<formControlPr xmlns="http://schemas.microsoft.com/office/spreadsheetml/2009/9/main" objectType="Drop" dropStyle="combo" dx="16" fmlaLink="$Q$43" fmlaRange="'Variable Mgmt'!$R$39:$R$41" noThreeD="1" sel="1" val="0"/>
</file>

<file path=xl/ctrlProps/ctrlProp17.xml><?xml version="1.0" encoding="utf-8"?>
<formControlPr xmlns="http://schemas.microsoft.com/office/spreadsheetml/2009/9/main" objectType="Drop" dropStyle="combo" dx="16" fmlaLink="$Q$35" fmlaRange="'Variable Mgmt'!$R$39:$R$41" noThreeD="1" sel="1" val="0"/>
</file>

<file path=xl/ctrlProps/ctrlProp18.xml><?xml version="1.0" encoding="utf-8"?>
<formControlPr xmlns="http://schemas.microsoft.com/office/spreadsheetml/2009/9/main" objectType="Drop" dropStyle="combo" dx="16" fmlaLink="$Q$34" fmlaRange="'Variable Mgmt'!$R$48:$R$52" noThreeD="1" sel="2" val="0"/>
</file>

<file path=xl/ctrlProps/ctrlProp19.xml><?xml version="1.0" encoding="utf-8"?>
<formControlPr xmlns="http://schemas.microsoft.com/office/spreadsheetml/2009/9/main" objectType="Drop" dropStyle="combo" dx="16" fmlaLink="$Q$33" fmlaRange="'Variable Mgmt'!$R$39:$R$41" noThreeD="1" sel="1" val="0"/>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jpg"/><Relationship Id="rId5" Type="http://schemas.openxmlformats.org/officeDocument/2006/relationships/image" Target="../media/image5.jpg"/><Relationship Id="rId4" Type="http://schemas.openxmlformats.org/officeDocument/2006/relationships/image" Target="../media/image4.jpg"/></Relationships>
</file>

<file path=xl/drawings/_rels/drawing2.xml.rels><?xml version="1.0" encoding="UTF-8" standalone="yes"?>
<Relationships xmlns="http://schemas.openxmlformats.org/package/2006/relationships"><Relationship Id="rId1" Type="http://schemas.openxmlformats.org/officeDocument/2006/relationships/image" Target="../media/image10.emf"/></Relationships>
</file>

<file path=xl/drawings/_rels/drawing3.x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6.jpg"/><Relationship Id="rId1" Type="http://schemas.openxmlformats.org/officeDocument/2006/relationships/image" Target="../media/image12.emf"/><Relationship Id="rId4" Type="http://schemas.openxmlformats.org/officeDocument/2006/relationships/image" Target="../media/image14.emf"/></Relationships>
</file>

<file path=xl/drawings/_rels/drawing4.xml.rels><?xml version="1.0" encoding="UTF-8" standalone="yes"?>
<Relationships xmlns="http://schemas.openxmlformats.org/package/2006/relationships"><Relationship Id="rId13" Type="http://schemas.openxmlformats.org/officeDocument/2006/relationships/image" Target="../media/image27.emf"/><Relationship Id="rId18" Type="http://schemas.openxmlformats.org/officeDocument/2006/relationships/image" Target="../media/image32.emf"/><Relationship Id="rId26" Type="http://schemas.openxmlformats.org/officeDocument/2006/relationships/image" Target="../media/image40.emf"/><Relationship Id="rId39" Type="http://schemas.openxmlformats.org/officeDocument/2006/relationships/image" Target="../media/image53.emf"/><Relationship Id="rId21" Type="http://schemas.openxmlformats.org/officeDocument/2006/relationships/image" Target="../media/image35.emf"/><Relationship Id="rId34" Type="http://schemas.openxmlformats.org/officeDocument/2006/relationships/image" Target="../media/image48.emf"/><Relationship Id="rId42" Type="http://schemas.openxmlformats.org/officeDocument/2006/relationships/image" Target="../media/image56.emf"/><Relationship Id="rId47" Type="http://schemas.openxmlformats.org/officeDocument/2006/relationships/image" Target="../media/image61.emf"/><Relationship Id="rId7" Type="http://schemas.openxmlformats.org/officeDocument/2006/relationships/image" Target="../media/image21.emf"/><Relationship Id="rId2" Type="http://schemas.openxmlformats.org/officeDocument/2006/relationships/image" Target="../media/image16.emf"/><Relationship Id="rId16" Type="http://schemas.openxmlformats.org/officeDocument/2006/relationships/image" Target="../media/image30.emf"/><Relationship Id="rId29" Type="http://schemas.openxmlformats.org/officeDocument/2006/relationships/image" Target="../media/image43.emf"/><Relationship Id="rId1" Type="http://schemas.openxmlformats.org/officeDocument/2006/relationships/image" Target="../media/image15.emf"/><Relationship Id="rId6" Type="http://schemas.openxmlformats.org/officeDocument/2006/relationships/image" Target="../media/image20.emf"/><Relationship Id="rId11" Type="http://schemas.openxmlformats.org/officeDocument/2006/relationships/image" Target="../media/image25.emf"/><Relationship Id="rId24" Type="http://schemas.openxmlformats.org/officeDocument/2006/relationships/image" Target="../media/image38.emf"/><Relationship Id="rId32" Type="http://schemas.openxmlformats.org/officeDocument/2006/relationships/image" Target="../media/image46.emf"/><Relationship Id="rId37" Type="http://schemas.openxmlformats.org/officeDocument/2006/relationships/image" Target="../media/image51.emf"/><Relationship Id="rId40" Type="http://schemas.openxmlformats.org/officeDocument/2006/relationships/image" Target="../media/image54.emf"/><Relationship Id="rId45" Type="http://schemas.openxmlformats.org/officeDocument/2006/relationships/image" Target="../media/image59.emf"/><Relationship Id="rId5" Type="http://schemas.openxmlformats.org/officeDocument/2006/relationships/image" Target="../media/image19.emf"/><Relationship Id="rId15" Type="http://schemas.openxmlformats.org/officeDocument/2006/relationships/image" Target="../media/image29.emf"/><Relationship Id="rId23" Type="http://schemas.openxmlformats.org/officeDocument/2006/relationships/image" Target="../media/image37.emf"/><Relationship Id="rId28" Type="http://schemas.openxmlformats.org/officeDocument/2006/relationships/image" Target="../media/image42.emf"/><Relationship Id="rId36" Type="http://schemas.openxmlformats.org/officeDocument/2006/relationships/image" Target="../media/image50.emf"/><Relationship Id="rId10" Type="http://schemas.openxmlformats.org/officeDocument/2006/relationships/image" Target="../media/image24.emf"/><Relationship Id="rId19" Type="http://schemas.openxmlformats.org/officeDocument/2006/relationships/image" Target="../media/image33.emf"/><Relationship Id="rId31" Type="http://schemas.openxmlformats.org/officeDocument/2006/relationships/image" Target="../media/image45.emf"/><Relationship Id="rId44" Type="http://schemas.openxmlformats.org/officeDocument/2006/relationships/image" Target="../media/image58.emf"/><Relationship Id="rId4" Type="http://schemas.openxmlformats.org/officeDocument/2006/relationships/image" Target="../media/image18.emf"/><Relationship Id="rId9" Type="http://schemas.openxmlformats.org/officeDocument/2006/relationships/image" Target="../media/image23.emf"/><Relationship Id="rId14" Type="http://schemas.openxmlformats.org/officeDocument/2006/relationships/image" Target="../media/image28.emf"/><Relationship Id="rId22" Type="http://schemas.openxmlformats.org/officeDocument/2006/relationships/image" Target="../media/image36.emf"/><Relationship Id="rId27" Type="http://schemas.openxmlformats.org/officeDocument/2006/relationships/image" Target="../media/image41.emf"/><Relationship Id="rId30" Type="http://schemas.openxmlformats.org/officeDocument/2006/relationships/image" Target="../media/image44.emf"/><Relationship Id="rId35" Type="http://schemas.openxmlformats.org/officeDocument/2006/relationships/image" Target="../media/image49.emf"/><Relationship Id="rId43" Type="http://schemas.openxmlformats.org/officeDocument/2006/relationships/image" Target="../media/image57.emf"/><Relationship Id="rId48" Type="http://schemas.openxmlformats.org/officeDocument/2006/relationships/image" Target="../media/image62.emf"/><Relationship Id="rId8" Type="http://schemas.openxmlformats.org/officeDocument/2006/relationships/image" Target="../media/image22.emf"/><Relationship Id="rId3" Type="http://schemas.openxmlformats.org/officeDocument/2006/relationships/image" Target="../media/image17.emf"/><Relationship Id="rId12" Type="http://schemas.openxmlformats.org/officeDocument/2006/relationships/image" Target="../media/image26.emf"/><Relationship Id="rId17" Type="http://schemas.openxmlformats.org/officeDocument/2006/relationships/image" Target="../media/image31.emf"/><Relationship Id="rId25" Type="http://schemas.openxmlformats.org/officeDocument/2006/relationships/image" Target="../media/image39.emf"/><Relationship Id="rId33" Type="http://schemas.openxmlformats.org/officeDocument/2006/relationships/image" Target="../media/image47.emf"/><Relationship Id="rId38" Type="http://schemas.openxmlformats.org/officeDocument/2006/relationships/image" Target="../media/image52.emf"/><Relationship Id="rId46" Type="http://schemas.openxmlformats.org/officeDocument/2006/relationships/image" Target="../media/image60.emf"/><Relationship Id="rId20" Type="http://schemas.openxmlformats.org/officeDocument/2006/relationships/image" Target="../media/image34.emf"/><Relationship Id="rId41" Type="http://schemas.openxmlformats.org/officeDocument/2006/relationships/image" Target="../media/image55.emf"/></Relationships>
</file>

<file path=xl/drawings/_rels/drawing5.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8" Type="http://schemas.openxmlformats.org/officeDocument/2006/relationships/chart" Target="../charts/chart9.xml"/><Relationship Id="rId3" Type="http://schemas.openxmlformats.org/officeDocument/2006/relationships/image" Target="../media/image64.png"/><Relationship Id="rId7" Type="http://schemas.openxmlformats.org/officeDocument/2006/relationships/chart" Target="../charts/chart8.xml"/><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chart" Target="../charts/chart7.xml"/><Relationship Id="rId11" Type="http://schemas.openxmlformats.org/officeDocument/2006/relationships/chart" Target="../charts/chart12.xml"/><Relationship Id="rId5" Type="http://schemas.openxmlformats.org/officeDocument/2006/relationships/chart" Target="../charts/chart6.xml"/><Relationship Id="rId10" Type="http://schemas.openxmlformats.org/officeDocument/2006/relationships/chart" Target="../charts/chart11.xml"/><Relationship Id="rId4" Type="http://schemas.openxmlformats.org/officeDocument/2006/relationships/chart" Target="../charts/chart5.xml"/><Relationship Id="rId9" Type="http://schemas.openxmlformats.org/officeDocument/2006/relationships/chart" Target="../charts/chart10.xml"/></Relationships>
</file>

<file path=xl/drawings/_rels/drawing7.xml.rels><?xml version="1.0" encoding="UTF-8" standalone="yes"?>
<Relationships xmlns="http://schemas.openxmlformats.org/package/2006/relationships"><Relationship Id="rId8" Type="http://schemas.openxmlformats.org/officeDocument/2006/relationships/chart" Target="../charts/chart19.xml"/><Relationship Id="rId3" Type="http://schemas.openxmlformats.org/officeDocument/2006/relationships/image" Target="../media/image64.png"/><Relationship Id="rId7" Type="http://schemas.openxmlformats.org/officeDocument/2006/relationships/chart" Target="../charts/chart18.xml"/><Relationship Id="rId12" Type="http://schemas.openxmlformats.org/officeDocument/2006/relationships/chart" Target="../charts/chart23.xml"/><Relationship Id="rId2" Type="http://schemas.openxmlformats.org/officeDocument/2006/relationships/chart" Target="../charts/chart14.xml"/><Relationship Id="rId1" Type="http://schemas.openxmlformats.org/officeDocument/2006/relationships/chart" Target="../charts/chart13.xml"/><Relationship Id="rId6" Type="http://schemas.openxmlformats.org/officeDocument/2006/relationships/chart" Target="../charts/chart17.xml"/><Relationship Id="rId11" Type="http://schemas.openxmlformats.org/officeDocument/2006/relationships/chart" Target="../charts/chart22.xml"/><Relationship Id="rId5" Type="http://schemas.openxmlformats.org/officeDocument/2006/relationships/chart" Target="../charts/chart16.xml"/><Relationship Id="rId10" Type="http://schemas.openxmlformats.org/officeDocument/2006/relationships/chart" Target="../charts/chart21.xml"/><Relationship Id="rId4" Type="http://schemas.openxmlformats.org/officeDocument/2006/relationships/chart" Target="../charts/chart15.xml"/><Relationship Id="rId9" Type="http://schemas.openxmlformats.org/officeDocument/2006/relationships/chart" Target="../charts/chart20.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9.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3.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352425</xdr:colOff>
          <xdr:row>32</xdr:row>
          <xdr:rowOff>85781</xdr:rowOff>
        </xdr:from>
        <xdr:to>
          <xdr:col>16</xdr:col>
          <xdr:colOff>1819275</xdr:colOff>
          <xdr:row>60</xdr:row>
          <xdr:rowOff>25456</xdr:rowOff>
        </xdr:to>
        <xdr:pic>
          <xdr:nvPicPr>
            <xdr:cNvPr id="55" name="Picture 8888">
              <a:extLst>
                <a:ext uri="{FF2B5EF4-FFF2-40B4-BE49-F238E27FC236}">
                  <a16:creationId xmlns:a16="http://schemas.microsoft.com/office/drawing/2014/main" id="{00000000-0008-0000-0000-000037000000}"/>
                </a:ext>
              </a:extLst>
            </xdr:cNvPr>
            <xdr:cNvPicPr>
              <a:picLocks noChangeAspect="1" noChangeArrowheads="1"/>
              <a:extLst>
                <a:ext uri="{84589F7E-364E-4C9E-8A38-B11213B215E9}">
                  <a14:cameraTool cellRange="PICTURE3" spid="_x0000_s697324"/>
                </a:ext>
              </a:extLst>
            </xdr:cNvPicPr>
          </xdr:nvPicPr>
          <xdr:blipFill>
            <a:blip xmlns:r="http://schemas.openxmlformats.org/officeDocument/2006/relationships" r:embed="rId1"/>
            <a:srcRect/>
            <a:stretch>
              <a:fillRect/>
            </a:stretch>
          </xdr:blipFill>
          <xdr:spPr bwMode="auto">
            <a:xfrm>
              <a:off x="3963988" y="6538969"/>
              <a:ext cx="8435975" cy="5226050"/>
            </a:xfrm>
            <a:prstGeom prst="rect">
              <a:avLst/>
            </a:prstGeom>
            <a:noFill/>
            <a:ln w="15875">
              <a:noFill/>
              <a:miter lim="800000"/>
              <a:headEnd/>
              <a:tailEnd/>
            </a:ln>
            <a:extLst>
              <a:ext uri="{909E8E84-426E-40DD-AFC4-6F175D3DCCD1}">
                <a14:hiddenFill>
                  <a:solidFill>
                    <a:srgbClr val="FFFFFF" mc:Ignorable="a14" a14:legacySpreadsheetColorIndex="65"/>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424393</xdr:colOff>
          <xdr:row>4</xdr:row>
          <xdr:rowOff>209551</xdr:rowOff>
        </xdr:from>
        <xdr:to>
          <xdr:col>16</xdr:col>
          <xdr:colOff>1786468</xdr:colOff>
          <xdr:row>27</xdr:row>
          <xdr:rowOff>38101</xdr:rowOff>
        </xdr:to>
        <xdr:pic>
          <xdr:nvPicPr>
            <xdr:cNvPr id="45" name="Picture 8888">
              <a:extLst>
                <a:ext uri="{FF2B5EF4-FFF2-40B4-BE49-F238E27FC236}">
                  <a16:creationId xmlns:a16="http://schemas.microsoft.com/office/drawing/2014/main" id="{00000000-0008-0000-0000-00002D000000}"/>
                </a:ext>
              </a:extLst>
            </xdr:cNvPr>
            <xdr:cNvPicPr>
              <a:picLocks noChangeAspect="1" noChangeArrowheads="1"/>
              <a:extLst>
                <a:ext uri="{84589F7E-364E-4C9E-8A38-B11213B215E9}">
                  <a14:cameraTool cellRange="PICTURE1" spid="_x0000_s697325"/>
                </a:ext>
              </a:extLst>
            </xdr:cNvPicPr>
          </xdr:nvPicPr>
          <xdr:blipFill>
            <a:blip xmlns:r="http://schemas.openxmlformats.org/officeDocument/2006/relationships" r:embed="rId2"/>
            <a:srcRect/>
            <a:stretch>
              <a:fillRect/>
            </a:stretch>
          </xdr:blipFill>
          <xdr:spPr bwMode="auto">
            <a:xfrm>
              <a:off x="4167718" y="1352551"/>
              <a:ext cx="8324850" cy="4162425"/>
            </a:xfrm>
            <a:prstGeom prst="rect">
              <a:avLst/>
            </a:prstGeom>
            <a:noFill/>
            <a:ln w="15875">
              <a:noFill/>
              <a:miter lim="800000"/>
              <a:headEnd/>
              <a:tailEnd/>
            </a:ln>
            <a:extLst>
              <a:ext uri="{909E8E84-426E-40DD-AFC4-6F175D3DCCD1}">
                <a14:hiddenFill>
                  <a:solidFill>
                    <a:srgbClr val="FFFFFF" mc:Ignorable="a14" a14:legacySpreadsheetColorIndex="65"/>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15</xdr:row>
          <xdr:rowOff>9525</xdr:rowOff>
        </xdr:from>
        <xdr:to>
          <xdr:col>5</xdr:col>
          <xdr:colOff>95250</xdr:colOff>
          <xdr:row>16</xdr:row>
          <xdr:rowOff>9525</xdr:rowOff>
        </xdr:to>
        <xdr:sp macro="" textlink="">
          <xdr:nvSpPr>
            <xdr:cNvPr id="672936" name="Drop Down 168" hidden="1">
              <a:extLst>
                <a:ext uri="{63B3BB69-23CF-44E3-9099-C40C66FF867C}">
                  <a14:compatExt spid="_x0000_s672936"/>
                </a:ext>
                <a:ext uri="{FF2B5EF4-FFF2-40B4-BE49-F238E27FC236}">
                  <a16:creationId xmlns:a16="http://schemas.microsoft.com/office/drawing/2014/main" id="{00000000-0008-0000-0000-0000A844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16</xdr:col>
      <xdr:colOff>524921</xdr:colOff>
      <xdr:row>12</xdr:row>
      <xdr:rowOff>25050</xdr:rowOff>
    </xdr:from>
    <xdr:to>
      <xdr:col>16</xdr:col>
      <xdr:colOff>908854</xdr:colOff>
      <xdr:row>13</xdr:row>
      <xdr:rowOff>76200</xdr:rowOff>
    </xdr:to>
    <xdr:sp macro="" textlink="">
      <xdr:nvSpPr>
        <xdr:cNvPr id="2276" name="Text Box 228">
          <a:extLst>
            <a:ext uri="{FF2B5EF4-FFF2-40B4-BE49-F238E27FC236}">
              <a16:creationId xmlns:a16="http://schemas.microsoft.com/office/drawing/2014/main" id="{00000000-0008-0000-0000-0000E4080000}"/>
            </a:ext>
          </a:extLst>
        </xdr:cNvPr>
        <xdr:cNvSpPr txBox="1">
          <a:spLocks noChangeArrowheads="1"/>
        </xdr:cNvSpPr>
      </xdr:nvSpPr>
      <xdr:spPr bwMode="auto">
        <a:xfrm>
          <a:off x="11088146" y="2673000"/>
          <a:ext cx="383933" cy="251175"/>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100" b="0" i="0" strike="noStrike">
              <a:solidFill>
                <a:srgbClr val="000000"/>
              </a:solidFill>
              <a:latin typeface="Arial" pitchFamily="34" charset="0"/>
              <a:cs typeface="Arial" pitchFamily="34" charset="0"/>
            </a:rPr>
            <a:t>C</a:t>
          </a:r>
          <a:r>
            <a:rPr lang="en-US" sz="1100" b="0" i="0" strike="noStrike" baseline="-25000">
              <a:solidFill>
                <a:srgbClr val="000000"/>
              </a:solidFill>
              <a:latin typeface="Arial" pitchFamily="34" charset="0"/>
              <a:cs typeface="Arial" pitchFamily="34" charset="0"/>
            </a:rPr>
            <a:t>OUT</a:t>
          </a:r>
        </a:p>
      </xdr:txBody>
    </xdr:sp>
    <xdr:clientData/>
  </xdr:twoCellAnchor>
  <xdr:twoCellAnchor>
    <xdr:from>
      <xdr:col>14</xdr:col>
      <xdr:colOff>503675</xdr:colOff>
      <xdr:row>4</xdr:row>
      <xdr:rowOff>239592</xdr:rowOff>
    </xdr:from>
    <xdr:to>
      <xdr:col>15</xdr:col>
      <xdr:colOff>235541</xdr:colOff>
      <xdr:row>6</xdr:row>
      <xdr:rowOff>66676</xdr:rowOff>
    </xdr:to>
    <xdr:sp macro="" textlink="">
      <xdr:nvSpPr>
        <xdr:cNvPr id="2283" name="Text Box 235">
          <a:extLst>
            <a:ext uri="{FF2B5EF4-FFF2-40B4-BE49-F238E27FC236}">
              <a16:creationId xmlns:a16="http://schemas.microsoft.com/office/drawing/2014/main" id="{00000000-0008-0000-0000-0000EB080000}"/>
            </a:ext>
          </a:extLst>
        </xdr:cNvPr>
        <xdr:cNvSpPr txBox="1">
          <a:spLocks noChangeArrowheads="1"/>
        </xdr:cNvSpPr>
      </xdr:nvSpPr>
      <xdr:spPr bwMode="auto">
        <a:xfrm>
          <a:off x="9781025" y="1382592"/>
          <a:ext cx="341466" cy="246184"/>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100" b="0" i="0" strike="noStrike">
              <a:solidFill>
                <a:srgbClr val="000000"/>
              </a:solidFill>
              <a:latin typeface="Arial" pitchFamily="34" charset="0"/>
              <a:cs typeface="Arial" pitchFamily="34" charset="0"/>
            </a:rPr>
            <a:t>L</a:t>
          </a:r>
          <a:r>
            <a:rPr lang="en-US" sz="1100" b="0" i="0" strike="noStrike" baseline="-25000">
              <a:solidFill>
                <a:srgbClr val="000000"/>
              </a:solidFill>
              <a:latin typeface="Arial" pitchFamily="34" charset="0"/>
              <a:cs typeface="Arial" pitchFamily="34" charset="0"/>
            </a:rPr>
            <a:t>F</a:t>
          </a:r>
        </a:p>
      </xdr:txBody>
    </xdr:sp>
    <xdr:clientData/>
  </xdr:twoCellAnchor>
  <xdr:twoCellAnchor>
    <xdr:from>
      <xdr:col>8</xdr:col>
      <xdr:colOff>149893</xdr:colOff>
      <xdr:row>11</xdr:row>
      <xdr:rowOff>27423</xdr:rowOff>
    </xdr:from>
    <xdr:to>
      <xdr:col>8</xdr:col>
      <xdr:colOff>476064</xdr:colOff>
      <xdr:row>12</xdr:row>
      <xdr:rowOff>44119</xdr:rowOff>
    </xdr:to>
    <xdr:sp macro="" textlink="">
      <xdr:nvSpPr>
        <xdr:cNvPr id="2292" name="Text Box 244">
          <a:extLst>
            <a:ext uri="{FF2B5EF4-FFF2-40B4-BE49-F238E27FC236}">
              <a16:creationId xmlns:a16="http://schemas.microsoft.com/office/drawing/2014/main" id="{00000000-0008-0000-0000-0000F4080000}"/>
            </a:ext>
          </a:extLst>
        </xdr:cNvPr>
        <xdr:cNvSpPr txBox="1">
          <a:spLocks noChangeArrowheads="1"/>
        </xdr:cNvSpPr>
      </xdr:nvSpPr>
      <xdr:spPr bwMode="auto">
        <a:xfrm>
          <a:off x="5331493" y="2465823"/>
          <a:ext cx="326171" cy="226246"/>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100" b="0" i="0" strike="noStrike">
              <a:solidFill>
                <a:srgbClr val="000000"/>
              </a:solidFill>
              <a:latin typeface="Arial" pitchFamily="34" charset="0"/>
              <a:cs typeface="Arial" pitchFamily="34" charset="0"/>
            </a:rPr>
            <a:t>C</a:t>
          </a:r>
          <a:r>
            <a:rPr lang="en-US" sz="1100" b="0" i="0" strike="noStrike" baseline="-25000">
              <a:solidFill>
                <a:srgbClr val="000000"/>
              </a:solidFill>
              <a:latin typeface="Arial" pitchFamily="34" charset="0"/>
              <a:cs typeface="Arial" pitchFamily="34" charset="0"/>
            </a:rPr>
            <a:t>IN</a:t>
          </a:r>
        </a:p>
      </xdr:txBody>
    </xdr:sp>
    <xdr:clientData/>
  </xdr:twoCellAnchor>
  <xdr:twoCellAnchor>
    <xdr:from>
      <xdr:col>15</xdr:col>
      <xdr:colOff>417623</xdr:colOff>
      <xdr:row>17</xdr:row>
      <xdr:rowOff>65073</xdr:rowOff>
    </xdr:from>
    <xdr:to>
      <xdr:col>16</xdr:col>
      <xdr:colOff>257015</xdr:colOff>
      <xdr:row>18</xdr:row>
      <xdr:rowOff>99765</xdr:rowOff>
    </xdr:to>
    <xdr:sp macro="" textlink="'Variable Mgmt'!B251">
      <xdr:nvSpPr>
        <xdr:cNvPr id="2312" name="Text Box 264">
          <a:extLst>
            <a:ext uri="{FF2B5EF4-FFF2-40B4-BE49-F238E27FC236}">
              <a16:creationId xmlns:a16="http://schemas.microsoft.com/office/drawing/2014/main" id="{00000000-0008-0000-0000-000008090000}"/>
            </a:ext>
          </a:extLst>
        </xdr:cNvPr>
        <xdr:cNvSpPr txBox="1">
          <a:spLocks noChangeArrowheads="1" noTextEdit="1"/>
        </xdr:cNvSpPr>
      </xdr:nvSpPr>
      <xdr:spPr bwMode="auto">
        <a:xfrm>
          <a:off x="10304573" y="3703623"/>
          <a:ext cx="515667" cy="206142"/>
        </a:xfrm>
        <a:prstGeom prst="rect">
          <a:avLst/>
        </a:prstGeom>
        <a:noFill/>
        <a:ln w="9525">
          <a:noFill/>
          <a:miter lim="800000"/>
          <a:headEnd/>
          <a:tailEnd/>
        </a:ln>
      </xdr:spPr>
      <xdr:txBody>
        <a:bodyPr vertOverflow="clip" wrap="square" lIns="27432" tIns="22860" rIns="0" bIns="0" anchor="ctr" upright="1"/>
        <a:lstStyle/>
        <a:p>
          <a:pPr algn="l" rtl="0">
            <a:defRPr sz="1000"/>
          </a:pPr>
          <a:fld id="{42B8C129-2A99-4A3F-A3AE-3915D9883C3D}" type="TxLink">
            <a:rPr lang="en-US" sz="1100" b="0" i="0" u="none" strike="noStrike" baseline="0">
              <a:solidFill>
                <a:srgbClr val="000000"/>
              </a:solidFill>
              <a:latin typeface="Arial"/>
              <a:cs typeface="Arial"/>
            </a:rPr>
            <a:pPr algn="l" rtl="0">
              <a:defRPr sz="1000"/>
            </a:pPr>
            <a:t> </a:t>
          </a:fld>
          <a:endParaRPr lang="el-GR" sz="1100" b="0" i="0" u="none" strike="noStrike" baseline="0">
            <a:solidFill>
              <a:srgbClr val="000000"/>
            </a:solidFill>
            <a:latin typeface="Arial" pitchFamily="34" charset="0"/>
            <a:cs typeface="Arial" pitchFamily="34" charset="0"/>
          </a:endParaRPr>
        </a:p>
      </xdr:txBody>
    </xdr:sp>
    <xdr:clientData/>
  </xdr:twoCellAnchor>
  <xdr:twoCellAnchor>
    <xdr:from>
      <xdr:col>10</xdr:col>
      <xdr:colOff>32971</xdr:colOff>
      <xdr:row>23</xdr:row>
      <xdr:rowOff>53486</xdr:rowOff>
    </xdr:from>
    <xdr:to>
      <xdr:col>10</xdr:col>
      <xdr:colOff>547321</xdr:colOff>
      <xdr:row>24</xdr:row>
      <xdr:rowOff>79130</xdr:rowOff>
    </xdr:to>
    <xdr:sp macro="" textlink="'Variable Mgmt'!B255">
      <xdr:nvSpPr>
        <xdr:cNvPr id="2313" name="Text Box 265">
          <a:extLst>
            <a:ext uri="{FF2B5EF4-FFF2-40B4-BE49-F238E27FC236}">
              <a16:creationId xmlns:a16="http://schemas.microsoft.com/office/drawing/2014/main" id="{00000000-0008-0000-0000-000009090000}"/>
            </a:ext>
          </a:extLst>
        </xdr:cNvPr>
        <xdr:cNvSpPr txBox="1">
          <a:spLocks noChangeArrowheads="1" noTextEdit="1"/>
        </xdr:cNvSpPr>
      </xdr:nvSpPr>
      <xdr:spPr bwMode="auto">
        <a:xfrm>
          <a:off x="6652846" y="4825511"/>
          <a:ext cx="514350" cy="216144"/>
        </a:xfrm>
        <a:prstGeom prst="rect">
          <a:avLst/>
        </a:prstGeom>
        <a:noFill/>
        <a:ln w="9525">
          <a:noFill/>
          <a:miter lim="800000"/>
          <a:headEnd/>
          <a:tailEnd/>
        </a:ln>
      </xdr:spPr>
      <xdr:txBody>
        <a:bodyPr vertOverflow="clip" wrap="square" lIns="27432" tIns="22860" rIns="0" bIns="0" anchor="t" upright="1"/>
        <a:lstStyle/>
        <a:p>
          <a:pPr algn="l" rtl="0">
            <a:defRPr sz="1000"/>
          </a:pPr>
          <a:fld id="{30247B59-D142-4194-9028-13C083D6194C}" type="TxLink">
            <a:rPr lang="en-US" sz="1100" b="0" i="0" u="none" strike="noStrike" baseline="0">
              <a:solidFill>
                <a:srgbClr val="000000"/>
              </a:solidFill>
              <a:latin typeface="Arialri"/>
              <a:cs typeface="Arial" pitchFamily="34" charset="0"/>
            </a:rPr>
            <a:pPr algn="l" rtl="0">
              <a:defRPr sz="1000"/>
            </a:pPr>
            <a:t>124kΩ</a:t>
          </a:fld>
          <a:endParaRPr lang="el-GR" sz="1100" b="0" i="0" u="none" strike="noStrike" baseline="0">
            <a:solidFill>
              <a:srgbClr val="000000"/>
            </a:solidFill>
            <a:latin typeface="Arial" pitchFamily="34" charset="0"/>
            <a:cs typeface="Arial" pitchFamily="34" charset="0"/>
          </a:endParaRPr>
        </a:p>
      </xdr:txBody>
    </xdr:sp>
    <xdr:clientData/>
  </xdr:twoCellAnchor>
  <xdr:twoCellAnchor>
    <xdr:from>
      <xdr:col>16</xdr:col>
      <xdr:colOff>554161</xdr:colOff>
      <xdr:row>13</xdr:row>
      <xdr:rowOff>88323</xdr:rowOff>
    </xdr:from>
    <xdr:to>
      <xdr:col>16</xdr:col>
      <xdr:colOff>1055060</xdr:colOff>
      <xdr:row>14</xdr:row>
      <xdr:rowOff>113026</xdr:rowOff>
    </xdr:to>
    <xdr:sp macro="" textlink="'Variable Mgmt'!B240">
      <xdr:nvSpPr>
        <xdr:cNvPr id="2315" name="Text Box 267">
          <a:extLst>
            <a:ext uri="{FF2B5EF4-FFF2-40B4-BE49-F238E27FC236}">
              <a16:creationId xmlns:a16="http://schemas.microsoft.com/office/drawing/2014/main" id="{00000000-0008-0000-0000-00000B090000}"/>
            </a:ext>
          </a:extLst>
        </xdr:cNvPr>
        <xdr:cNvSpPr txBox="1">
          <a:spLocks noChangeArrowheads="1" noTextEdit="1"/>
        </xdr:cNvSpPr>
      </xdr:nvSpPr>
      <xdr:spPr bwMode="auto">
        <a:xfrm>
          <a:off x="11117386" y="2936298"/>
          <a:ext cx="500899" cy="196153"/>
        </a:xfrm>
        <a:prstGeom prst="rect">
          <a:avLst/>
        </a:prstGeom>
        <a:noFill/>
        <a:ln w="9525">
          <a:noFill/>
          <a:miter lim="800000"/>
          <a:headEnd/>
          <a:tailEnd/>
        </a:ln>
      </xdr:spPr>
      <xdr:txBody>
        <a:bodyPr vertOverflow="clip" wrap="square" lIns="27432" tIns="22860" rIns="0" bIns="0" anchor="ctr" upright="1"/>
        <a:lstStyle/>
        <a:p>
          <a:pPr algn="l" rtl="0">
            <a:defRPr sz="1000"/>
          </a:pPr>
          <a:fld id="{DEF62FD0-959B-4627-B7E8-61CA1688D174}" type="TxLink">
            <a:rPr lang="en-US" sz="1100" b="0" i="0" u="none" strike="noStrike" baseline="0">
              <a:solidFill>
                <a:srgbClr val="000000"/>
              </a:solidFill>
              <a:latin typeface="Arial" pitchFamily="34" charset="0"/>
              <a:cs typeface="Arial" pitchFamily="34" charset="0"/>
            </a:rPr>
            <a:pPr algn="l" rtl="0">
              <a:defRPr sz="1000"/>
            </a:pPr>
            <a:t>100µF</a:t>
          </a:fld>
          <a:endParaRPr lang="en-US" sz="1100" b="0" i="0" u="none" strike="noStrike" baseline="0">
            <a:solidFill>
              <a:srgbClr val="000000"/>
            </a:solidFill>
            <a:latin typeface="Arial" pitchFamily="34" charset="0"/>
            <a:cs typeface="Arial" pitchFamily="34" charset="0"/>
          </a:endParaRPr>
        </a:p>
      </xdr:txBody>
    </xdr:sp>
    <xdr:clientData/>
  </xdr:twoCellAnchor>
  <xdr:twoCellAnchor>
    <xdr:from>
      <xdr:col>15</xdr:col>
      <xdr:colOff>381914</xdr:colOff>
      <xdr:row>13</xdr:row>
      <xdr:rowOff>32238</xdr:rowOff>
    </xdr:from>
    <xdr:to>
      <xdr:col>16</xdr:col>
      <xdr:colOff>226173</xdr:colOff>
      <xdr:row>14</xdr:row>
      <xdr:rowOff>93473</xdr:rowOff>
    </xdr:to>
    <xdr:sp macro="" textlink="'Variable Mgmt'!B250">
      <xdr:nvSpPr>
        <xdr:cNvPr id="2316" name="Text Box 268">
          <a:extLst>
            <a:ext uri="{FF2B5EF4-FFF2-40B4-BE49-F238E27FC236}">
              <a16:creationId xmlns:a16="http://schemas.microsoft.com/office/drawing/2014/main" id="{00000000-0008-0000-0000-00000C090000}"/>
            </a:ext>
          </a:extLst>
        </xdr:cNvPr>
        <xdr:cNvSpPr txBox="1">
          <a:spLocks noChangeArrowheads="1" noTextEdit="1"/>
        </xdr:cNvSpPr>
      </xdr:nvSpPr>
      <xdr:spPr bwMode="auto">
        <a:xfrm>
          <a:off x="10268864" y="2880213"/>
          <a:ext cx="520534" cy="232685"/>
        </a:xfrm>
        <a:prstGeom prst="rect">
          <a:avLst/>
        </a:prstGeom>
        <a:noFill/>
        <a:ln w="9525">
          <a:noFill/>
          <a:miter lim="800000"/>
          <a:headEnd/>
          <a:tailEnd/>
        </a:ln>
      </xdr:spPr>
      <xdr:txBody>
        <a:bodyPr vertOverflow="clip" wrap="square" lIns="27432" tIns="22860" rIns="0" bIns="0" anchor="ctr" upright="1"/>
        <a:lstStyle/>
        <a:p>
          <a:pPr algn="l" rtl="0">
            <a:defRPr sz="1000"/>
          </a:pPr>
          <a:fld id="{6D872972-49D3-4BB2-A717-3389B9B885D8}" type="TxLink">
            <a:rPr lang="en-US" sz="1100" b="0" i="0" u="none" strike="noStrike">
              <a:solidFill>
                <a:srgbClr val="000000"/>
              </a:solidFill>
              <a:latin typeface="Arial"/>
              <a:cs typeface="Arial"/>
            </a:rPr>
            <a:pPr algn="l" rtl="0">
              <a:defRPr sz="1000"/>
            </a:pPr>
            <a:t> </a:t>
          </a:fld>
          <a:endParaRPr lang="el-GR" sz="1100" b="0" i="0" strike="noStrike">
            <a:solidFill>
              <a:srgbClr val="000000"/>
            </a:solidFill>
            <a:latin typeface="Arial" pitchFamily="34" charset="0"/>
            <a:cs typeface="Arial" pitchFamily="34" charset="0"/>
          </a:endParaRPr>
        </a:p>
      </xdr:txBody>
    </xdr:sp>
    <xdr:clientData/>
  </xdr:twoCellAnchor>
  <xdr:twoCellAnchor>
    <xdr:from>
      <xdr:col>14</xdr:col>
      <xdr:colOff>480811</xdr:colOff>
      <xdr:row>6</xdr:row>
      <xdr:rowOff>32213</xdr:rowOff>
    </xdr:from>
    <xdr:to>
      <xdr:col>15</xdr:col>
      <xdr:colOff>321621</xdr:colOff>
      <xdr:row>7</xdr:row>
      <xdr:rowOff>88905</xdr:rowOff>
    </xdr:to>
    <xdr:sp macro="" textlink="'Variable Mgmt'!B230">
      <xdr:nvSpPr>
        <xdr:cNvPr id="2323" name="Text Box 275">
          <a:extLst>
            <a:ext uri="{FF2B5EF4-FFF2-40B4-BE49-F238E27FC236}">
              <a16:creationId xmlns:a16="http://schemas.microsoft.com/office/drawing/2014/main" id="{00000000-0008-0000-0000-000013090000}"/>
            </a:ext>
          </a:extLst>
        </xdr:cNvPr>
        <xdr:cNvSpPr txBox="1">
          <a:spLocks noChangeArrowheads="1" noTextEdit="1"/>
        </xdr:cNvSpPr>
      </xdr:nvSpPr>
      <xdr:spPr bwMode="auto">
        <a:xfrm>
          <a:off x="9758161" y="1594313"/>
          <a:ext cx="450410" cy="228142"/>
        </a:xfrm>
        <a:prstGeom prst="rect">
          <a:avLst/>
        </a:prstGeom>
        <a:noFill/>
        <a:ln w="9525">
          <a:noFill/>
          <a:miter lim="800000"/>
          <a:headEnd/>
          <a:tailEnd/>
        </a:ln>
      </xdr:spPr>
      <xdr:txBody>
        <a:bodyPr vertOverflow="clip" wrap="square" lIns="27432" tIns="22860" rIns="0" bIns="0" anchor="ctr" upright="1"/>
        <a:lstStyle/>
        <a:p>
          <a:pPr algn="ctr" rtl="0">
            <a:defRPr sz="1000"/>
          </a:pPr>
          <a:fld id="{08583DE7-3129-476B-98BE-2887A134E956}" type="TxLink">
            <a:rPr lang="en-US" sz="1100" b="0" i="0" u="none" strike="noStrike" baseline="0">
              <a:solidFill>
                <a:srgbClr val="000000"/>
              </a:solidFill>
              <a:latin typeface="Arial" pitchFamily="34" charset="0"/>
              <a:cs typeface="Arial" pitchFamily="34" charset="0"/>
            </a:rPr>
            <a:pPr algn="ctr" rtl="0">
              <a:defRPr sz="1000"/>
            </a:pPr>
            <a:t>220µH</a:t>
          </a:fld>
          <a:endParaRPr lang="en-US" sz="1100" b="0" i="0" u="none" strike="noStrike" baseline="0">
            <a:solidFill>
              <a:srgbClr val="000000"/>
            </a:solidFill>
            <a:latin typeface="Arial" pitchFamily="34" charset="0"/>
            <a:cs typeface="Arial" pitchFamily="34" charset="0"/>
          </a:endParaRPr>
        </a:p>
      </xdr:txBody>
    </xdr:sp>
    <xdr:clientData/>
  </xdr:twoCellAnchor>
  <xdr:twoCellAnchor>
    <xdr:from>
      <xdr:col>8</xdr:col>
      <xdr:colOff>58979</xdr:colOff>
      <xdr:row>12</xdr:row>
      <xdr:rowOff>44883</xdr:rowOff>
    </xdr:from>
    <xdr:to>
      <xdr:col>8</xdr:col>
      <xdr:colOff>532059</xdr:colOff>
      <xdr:row>13</xdr:row>
      <xdr:rowOff>42929</xdr:rowOff>
    </xdr:to>
    <xdr:sp macro="" textlink="'Variable Mgmt'!B244">
      <xdr:nvSpPr>
        <xdr:cNvPr id="2324" name="Text Box 276">
          <a:extLst>
            <a:ext uri="{FF2B5EF4-FFF2-40B4-BE49-F238E27FC236}">
              <a16:creationId xmlns:a16="http://schemas.microsoft.com/office/drawing/2014/main" id="{00000000-0008-0000-0000-000014090000}"/>
            </a:ext>
          </a:extLst>
        </xdr:cNvPr>
        <xdr:cNvSpPr txBox="1">
          <a:spLocks noChangeArrowheads="1" noTextEdit="1"/>
        </xdr:cNvSpPr>
      </xdr:nvSpPr>
      <xdr:spPr bwMode="auto">
        <a:xfrm>
          <a:off x="5240579" y="2692833"/>
          <a:ext cx="473080" cy="198071"/>
        </a:xfrm>
        <a:prstGeom prst="rect">
          <a:avLst/>
        </a:prstGeom>
        <a:noFill/>
        <a:ln w="9525">
          <a:noFill/>
          <a:miter lim="800000"/>
          <a:headEnd/>
          <a:tailEnd/>
        </a:ln>
      </xdr:spPr>
      <xdr:txBody>
        <a:bodyPr vertOverflow="clip" wrap="square" lIns="27432" tIns="22860" rIns="0" bIns="0" anchor="ctr" upright="1"/>
        <a:lstStyle/>
        <a:p>
          <a:pPr algn="ctr" rtl="0">
            <a:defRPr sz="1000"/>
          </a:pPr>
          <a:fld id="{7E8F3901-1453-4951-8E28-510E65401D4C}" type="TxLink">
            <a:rPr lang="en-US" sz="1100" b="0" i="0" u="none" strike="noStrike" baseline="0">
              <a:solidFill>
                <a:srgbClr val="000000"/>
              </a:solidFill>
              <a:latin typeface="Arial" pitchFamily="34" charset="0"/>
              <a:cs typeface="Arial" pitchFamily="34" charset="0"/>
            </a:rPr>
            <a:pPr algn="ctr" rtl="0">
              <a:defRPr sz="1000"/>
            </a:pPr>
            <a:t>4.7µF</a:t>
          </a:fld>
          <a:endParaRPr lang="en-US" sz="1100" b="0" i="0" u="none" strike="noStrike" baseline="0">
            <a:solidFill>
              <a:srgbClr val="000000"/>
            </a:solidFill>
            <a:latin typeface="Arial" pitchFamily="34" charset="0"/>
            <a:cs typeface="Arial" pitchFamily="34" charset="0"/>
          </a:endParaRPr>
        </a:p>
      </xdr:txBody>
    </xdr:sp>
    <xdr:clientData/>
  </xdr:twoCellAnchor>
  <xdr:twoCellAnchor>
    <xdr:from>
      <xdr:col>9</xdr:col>
      <xdr:colOff>560699</xdr:colOff>
      <xdr:row>19</xdr:row>
      <xdr:rowOff>108680</xdr:rowOff>
    </xdr:from>
    <xdr:to>
      <xdr:col>10</xdr:col>
      <xdr:colOff>172662</xdr:colOff>
      <xdr:row>20</xdr:row>
      <xdr:rowOff>173322</xdr:rowOff>
    </xdr:to>
    <xdr:sp macro="" textlink="'Variable Mgmt'!D267">
      <xdr:nvSpPr>
        <xdr:cNvPr id="2329" name="Text Box 281">
          <a:extLst>
            <a:ext uri="{FF2B5EF4-FFF2-40B4-BE49-F238E27FC236}">
              <a16:creationId xmlns:a16="http://schemas.microsoft.com/office/drawing/2014/main" id="{00000000-0008-0000-0000-000019090000}"/>
            </a:ext>
          </a:extLst>
        </xdr:cNvPr>
        <xdr:cNvSpPr txBox="1">
          <a:spLocks noChangeArrowheads="1" noTextEdit="1"/>
        </xdr:cNvSpPr>
      </xdr:nvSpPr>
      <xdr:spPr bwMode="auto">
        <a:xfrm>
          <a:off x="6351899" y="4090130"/>
          <a:ext cx="440638" cy="236092"/>
        </a:xfrm>
        <a:prstGeom prst="rect">
          <a:avLst/>
        </a:prstGeom>
        <a:noFill/>
        <a:ln w="9525">
          <a:noFill/>
          <a:miter lim="800000"/>
          <a:headEnd/>
          <a:tailEnd/>
        </a:ln>
      </xdr:spPr>
      <xdr:txBody>
        <a:bodyPr vertOverflow="clip" wrap="square" lIns="27432" tIns="22860" rIns="0" bIns="0" anchor="ctr" upright="1"/>
        <a:lstStyle/>
        <a:p>
          <a:pPr algn="l" rtl="0">
            <a:defRPr sz="1000"/>
          </a:pPr>
          <a:fld id="{F2115F91-8BFD-4C9B-9969-8B2C04ADF4C5}" type="TxLink">
            <a:rPr lang="en-US" sz="1050" b="0" i="0" u="none" strike="noStrike">
              <a:solidFill>
                <a:srgbClr val="000000"/>
              </a:solidFill>
              <a:latin typeface="Arial"/>
              <a:cs typeface="Arial"/>
            </a:rPr>
            <a:pPr algn="l" rtl="0">
              <a:defRPr sz="1000"/>
            </a:pPr>
            <a:t>47nF</a:t>
          </a:fld>
          <a:endParaRPr lang="en-US" sz="1050" b="0" i="0" strike="noStrike">
            <a:solidFill>
              <a:srgbClr val="000000"/>
            </a:solidFill>
            <a:latin typeface="Arial" pitchFamily="34" charset="0"/>
            <a:cs typeface="Arial" pitchFamily="34" charset="0"/>
          </a:endParaRPr>
        </a:p>
      </xdr:txBody>
    </xdr:sp>
    <xdr:clientData/>
  </xdr:twoCellAnchor>
  <xdr:twoCellAnchor>
    <xdr:from>
      <xdr:col>6</xdr:col>
      <xdr:colOff>456373</xdr:colOff>
      <xdr:row>7</xdr:row>
      <xdr:rowOff>103607</xdr:rowOff>
    </xdr:from>
    <xdr:to>
      <xdr:col>7</xdr:col>
      <xdr:colOff>214055</xdr:colOff>
      <xdr:row>8</xdr:row>
      <xdr:rowOff>161925</xdr:rowOff>
    </xdr:to>
    <xdr:sp macro="" textlink="'Variable Mgmt'!B235">
      <xdr:nvSpPr>
        <xdr:cNvPr id="2331" name="Text Box 283">
          <a:extLst>
            <a:ext uri="{FF2B5EF4-FFF2-40B4-BE49-F238E27FC236}">
              <a16:creationId xmlns:a16="http://schemas.microsoft.com/office/drawing/2014/main" id="{00000000-0008-0000-0000-00001B090000}"/>
            </a:ext>
          </a:extLst>
        </xdr:cNvPr>
        <xdr:cNvSpPr txBox="1">
          <a:spLocks noChangeArrowheads="1" noTextEdit="1"/>
        </xdr:cNvSpPr>
      </xdr:nvSpPr>
      <xdr:spPr bwMode="auto">
        <a:xfrm>
          <a:off x="4056823" y="1837157"/>
          <a:ext cx="548257" cy="229768"/>
        </a:xfrm>
        <a:prstGeom prst="rect">
          <a:avLst/>
        </a:prstGeom>
        <a:noFill/>
        <a:ln w="9525">
          <a:noFill/>
          <a:miter lim="800000"/>
          <a:headEnd/>
          <a:tailEnd/>
        </a:ln>
      </xdr:spPr>
      <xdr:txBody>
        <a:bodyPr vertOverflow="clip" wrap="square" lIns="27432" tIns="22860" rIns="0" bIns="0" anchor="ctr" upright="1"/>
        <a:lstStyle/>
        <a:p>
          <a:pPr algn="r" rtl="0">
            <a:defRPr sz="1000"/>
          </a:pPr>
          <a:fld id="{211B0151-B00E-493E-8C8F-6E492416D93B}" type="TxLink">
            <a:rPr lang="en-US" sz="1400" b="1" i="0" u="none" strike="noStrike">
              <a:solidFill>
                <a:srgbClr val="FF0000"/>
              </a:solidFill>
              <a:latin typeface="Arial" pitchFamily="34" charset="0"/>
              <a:cs typeface="Arial" pitchFamily="34" charset="0"/>
            </a:rPr>
            <a:pPr algn="r" rtl="0">
              <a:defRPr sz="1000"/>
            </a:pPr>
            <a:t>43V</a:t>
          </a:fld>
          <a:endParaRPr lang="en-US" sz="1400" b="1" i="0" strike="noStrike">
            <a:solidFill>
              <a:srgbClr val="FF0000"/>
            </a:solidFill>
            <a:latin typeface="Arial" pitchFamily="34" charset="0"/>
            <a:cs typeface="Arial" pitchFamily="34" charset="0"/>
          </a:endParaRPr>
        </a:p>
      </xdr:txBody>
    </xdr:sp>
    <xdr:clientData/>
  </xdr:twoCellAnchor>
  <xdr:twoCellAnchor>
    <xdr:from>
      <xdr:col>16</xdr:col>
      <xdr:colOff>941866</xdr:colOff>
      <xdr:row>7</xdr:row>
      <xdr:rowOff>105508</xdr:rowOff>
    </xdr:from>
    <xdr:to>
      <xdr:col>16</xdr:col>
      <xdr:colOff>1600200</xdr:colOff>
      <xdr:row>9</xdr:row>
      <xdr:rowOff>4398</xdr:rowOff>
    </xdr:to>
    <xdr:sp macro="" textlink="'Variable Mgmt'!B238">
      <xdr:nvSpPr>
        <xdr:cNvPr id="2333" name="Text Box 285">
          <a:extLst>
            <a:ext uri="{FF2B5EF4-FFF2-40B4-BE49-F238E27FC236}">
              <a16:creationId xmlns:a16="http://schemas.microsoft.com/office/drawing/2014/main" id="{00000000-0008-0000-0000-00001D090000}"/>
            </a:ext>
          </a:extLst>
        </xdr:cNvPr>
        <xdr:cNvSpPr txBox="1">
          <a:spLocks noChangeArrowheads="1" noTextEdit="1"/>
        </xdr:cNvSpPr>
      </xdr:nvSpPr>
      <xdr:spPr bwMode="auto">
        <a:xfrm>
          <a:off x="11647966" y="1839058"/>
          <a:ext cx="658334" cy="241790"/>
        </a:xfrm>
        <a:prstGeom prst="rect">
          <a:avLst/>
        </a:prstGeom>
        <a:noFill/>
        <a:ln w="9525">
          <a:noFill/>
          <a:miter lim="800000"/>
          <a:headEnd/>
          <a:tailEnd/>
        </a:ln>
      </xdr:spPr>
      <xdr:txBody>
        <a:bodyPr vertOverflow="clip" wrap="square" lIns="27432" tIns="22860" rIns="0" bIns="0" anchor="ctr" upright="1"/>
        <a:lstStyle/>
        <a:p>
          <a:pPr algn="l" rtl="0">
            <a:defRPr sz="1000"/>
          </a:pPr>
          <a:fld id="{702C2B8A-7C4B-4FDB-B229-3170089D9686}" type="TxLink">
            <a:rPr lang="en-US" sz="1400" b="1" i="0" u="none" strike="noStrike" baseline="0">
              <a:solidFill>
                <a:srgbClr val="FF0000"/>
              </a:solidFill>
              <a:latin typeface="Arial" pitchFamily="34" charset="0"/>
              <a:cs typeface="Arial" pitchFamily="34" charset="0"/>
            </a:rPr>
            <a:pPr algn="l" rtl="0">
              <a:defRPr sz="1000"/>
            </a:pPr>
            <a:t>5V</a:t>
          </a:fld>
          <a:endParaRPr lang="en-US" sz="1400" b="1" i="0" u="none" strike="noStrike" baseline="0">
            <a:solidFill>
              <a:srgbClr val="FF0000"/>
            </a:solidFill>
            <a:latin typeface="Arial" pitchFamily="34" charset="0"/>
            <a:cs typeface="Arial" pitchFamily="34" charset="0"/>
          </a:endParaRPr>
        </a:p>
      </xdr:txBody>
    </xdr:sp>
    <xdr:clientData/>
  </xdr:twoCellAnchor>
  <xdr:twoCellAnchor>
    <xdr:from>
      <xdr:col>16</xdr:col>
      <xdr:colOff>790575</xdr:colOff>
      <xdr:row>8</xdr:row>
      <xdr:rowOff>150712</xdr:rowOff>
    </xdr:from>
    <xdr:to>
      <xdr:col>16</xdr:col>
      <xdr:colOff>1543050</xdr:colOff>
      <xdr:row>10</xdr:row>
      <xdr:rowOff>76200</xdr:rowOff>
    </xdr:to>
    <xdr:sp macro="" textlink="'Variable Mgmt'!B283">
      <xdr:nvSpPr>
        <xdr:cNvPr id="2334" name="Text Box 286">
          <a:extLst>
            <a:ext uri="{FF2B5EF4-FFF2-40B4-BE49-F238E27FC236}">
              <a16:creationId xmlns:a16="http://schemas.microsoft.com/office/drawing/2014/main" id="{00000000-0008-0000-0000-00001E090000}"/>
            </a:ext>
          </a:extLst>
        </xdr:cNvPr>
        <xdr:cNvSpPr txBox="1">
          <a:spLocks noChangeArrowheads="1" noTextEdit="1"/>
        </xdr:cNvSpPr>
      </xdr:nvSpPr>
      <xdr:spPr bwMode="auto">
        <a:xfrm>
          <a:off x="11353800" y="2055712"/>
          <a:ext cx="752475" cy="268388"/>
        </a:xfrm>
        <a:prstGeom prst="rect">
          <a:avLst/>
        </a:prstGeom>
        <a:noFill/>
        <a:ln w="9525">
          <a:noFill/>
          <a:miter lim="800000"/>
          <a:headEnd/>
          <a:tailEnd/>
        </a:ln>
      </xdr:spPr>
      <xdr:txBody>
        <a:bodyPr vertOverflow="clip" wrap="square" lIns="27432" tIns="22860" rIns="0" bIns="0" anchor="ctr" upright="1"/>
        <a:lstStyle/>
        <a:p>
          <a:pPr algn="ctr" rtl="0">
            <a:defRPr sz="1000"/>
          </a:pPr>
          <a:fld id="{E0FB88FA-F39E-4ACF-AB5E-DCB628763AAE}" type="TxLink">
            <a:rPr lang="en-US" sz="1350" b="1" i="0" u="none" strike="noStrike">
              <a:solidFill>
                <a:srgbClr val="FF0000"/>
              </a:solidFill>
              <a:latin typeface="Arial" pitchFamily="34" charset="0"/>
              <a:cs typeface="Arial" pitchFamily="34" charset="0"/>
            </a:rPr>
            <a:pPr algn="ctr" rtl="0">
              <a:defRPr sz="1000"/>
            </a:pPr>
            <a:t>150mA</a:t>
          </a:fld>
          <a:endParaRPr lang="en-US" sz="1350" b="1" i="0" strike="noStrike">
            <a:solidFill>
              <a:srgbClr val="FF0000"/>
            </a:solidFill>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xdr:from>
          <xdr:col>5</xdr:col>
          <xdr:colOff>123825</xdr:colOff>
          <xdr:row>6</xdr:row>
          <xdr:rowOff>9525</xdr:rowOff>
        </xdr:from>
        <xdr:to>
          <xdr:col>5</xdr:col>
          <xdr:colOff>304800</xdr:colOff>
          <xdr:row>7</xdr:row>
          <xdr:rowOff>19050</xdr:rowOff>
        </xdr:to>
        <xdr:sp macro="" textlink="">
          <xdr:nvSpPr>
            <xdr:cNvPr id="672895" name="Spinner 127" hidden="1">
              <a:extLst>
                <a:ext uri="{63B3BB69-23CF-44E3-9099-C40C66FF867C}">
                  <a14:compatExt spid="_x0000_s672895"/>
                </a:ext>
                <a:ext uri="{FF2B5EF4-FFF2-40B4-BE49-F238E27FC236}">
                  <a16:creationId xmlns:a16="http://schemas.microsoft.com/office/drawing/2014/main" id="{00000000-0008-0000-0000-00007F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9</xdr:col>
      <xdr:colOff>160778</xdr:colOff>
      <xdr:row>10</xdr:row>
      <xdr:rowOff>30490</xdr:rowOff>
    </xdr:from>
    <xdr:to>
      <xdr:col>9</xdr:col>
      <xdr:colOff>682745</xdr:colOff>
      <xdr:row>11</xdr:row>
      <xdr:rowOff>66676</xdr:rowOff>
    </xdr:to>
    <xdr:sp macro="" textlink="'Variable Mgmt'!C262">
      <xdr:nvSpPr>
        <xdr:cNvPr id="71" name="Text Box 268">
          <a:extLst>
            <a:ext uri="{FF2B5EF4-FFF2-40B4-BE49-F238E27FC236}">
              <a16:creationId xmlns:a16="http://schemas.microsoft.com/office/drawing/2014/main" id="{00000000-0008-0000-0000-000047000000}"/>
            </a:ext>
          </a:extLst>
        </xdr:cNvPr>
        <xdr:cNvSpPr txBox="1">
          <a:spLocks noChangeArrowheads="1" noTextEdit="1"/>
        </xdr:cNvSpPr>
      </xdr:nvSpPr>
      <xdr:spPr bwMode="auto">
        <a:xfrm>
          <a:off x="5951978" y="2278390"/>
          <a:ext cx="521967" cy="226686"/>
        </a:xfrm>
        <a:prstGeom prst="rect">
          <a:avLst/>
        </a:prstGeom>
        <a:noFill/>
        <a:ln w="9525">
          <a:noFill/>
          <a:miter lim="800000"/>
          <a:headEnd/>
          <a:tailEnd/>
        </a:ln>
      </xdr:spPr>
      <xdr:txBody>
        <a:bodyPr vertOverflow="clip" wrap="square" lIns="27432" tIns="22860" rIns="0" bIns="0" anchor="ctr" upright="1"/>
        <a:lstStyle/>
        <a:p>
          <a:pPr algn="l" rtl="0">
            <a:defRPr sz="1000"/>
          </a:pPr>
          <a:fld id="{9F0ED324-D4DC-458E-AFDF-B2BC6995B894}" type="TxLink">
            <a:rPr lang="en-US" sz="1100" b="0" i="0" u="none" strike="noStrike">
              <a:solidFill>
                <a:srgbClr val="000000"/>
              </a:solidFill>
              <a:latin typeface="Arial"/>
              <a:cs typeface="Arial"/>
            </a:rPr>
            <a:pPr algn="l" rtl="0">
              <a:defRPr sz="1000"/>
            </a:pPr>
            <a:t> </a:t>
          </a:fld>
          <a:endParaRPr lang="el-GR" sz="1100" b="0" i="0" strike="noStrike">
            <a:solidFill>
              <a:srgbClr val="000000"/>
            </a:solidFill>
            <a:latin typeface="Arial" pitchFamily="34" charset="0"/>
            <a:cs typeface="Arial" pitchFamily="34" charset="0"/>
          </a:endParaRPr>
        </a:p>
      </xdr:txBody>
    </xdr:sp>
    <xdr:clientData/>
  </xdr:twoCellAnchor>
  <xdr:twoCellAnchor>
    <xdr:from>
      <xdr:col>9</xdr:col>
      <xdr:colOff>141728</xdr:colOff>
      <xdr:row>13</xdr:row>
      <xdr:rowOff>64175</xdr:rowOff>
    </xdr:from>
    <xdr:to>
      <xdr:col>9</xdr:col>
      <xdr:colOff>663695</xdr:colOff>
      <xdr:row>14</xdr:row>
      <xdr:rowOff>123825</xdr:rowOff>
    </xdr:to>
    <xdr:sp macro="" textlink="'Variable Mgmt'!C263">
      <xdr:nvSpPr>
        <xdr:cNvPr id="73" name="Text Box 268">
          <a:extLst>
            <a:ext uri="{FF2B5EF4-FFF2-40B4-BE49-F238E27FC236}">
              <a16:creationId xmlns:a16="http://schemas.microsoft.com/office/drawing/2014/main" id="{00000000-0008-0000-0000-000049000000}"/>
            </a:ext>
          </a:extLst>
        </xdr:cNvPr>
        <xdr:cNvSpPr txBox="1">
          <a:spLocks noChangeArrowheads="1" noTextEdit="1"/>
        </xdr:cNvSpPr>
      </xdr:nvSpPr>
      <xdr:spPr bwMode="auto">
        <a:xfrm>
          <a:off x="5932928" y="2912150"/>
          <a:ext cx="521967" cy="231100"/>
        </a:xfrm>
        <a:prstGeom prst="rect">
          <a:avLst/>
        </a:prstGeom>
        <a:noFill/>
        <a:ln w="9525">
          <a:noFill/>
          <a:miter lim="800000"/>
          <a:headEnd/>
          <a:tailEnd/>
        </a:ln>
      </xdr:spPr>
      <xdr:txBody>
        <a:bodyPr vertOverflow="clip" wrap="square" lIns="27432" tIns="22860" rIns="0" bIns="0" anchor="ctr" upright="1"/>
        <a:lstStyle/>
        <a:p>
          <a:pPr algn="l" rtl="0">
            <a:defRPr sz="1000"/>
          </a:pPr>
          <a:fld id="{34FF5C9F-E605-45FC-B7D1-F0CC0D61FE72}" type="TxLink">
            <a:rPr lang="en-US" sz="1100" b="0" i="0" u="none" strike="noStrike">
              <a:solidFill>
                <a:srgbClr val="000000"/>
              </a:solidFill>
              <a:latin typeface="Arial"/>
              <a:cs typeface="Arial"/>
            </a:rPr>
            <a:pPr algn="l" rtl="0">
              <a:defRPr sz="1000"/>
            </a:pPr>
            <a:t> </a:t>
          </a:fld>
          <a:endParaRPr lang="el-GR" sz="1100" b="0" i="0" strike="noStrike">
            <a:solidFill>
              <a:srgbClr val="000000"/>
            </a:solidFill>
            <a:latin typeface="Arial" pitchFamily="34" charset="0"/>
            <a:cs typeface="Arial" pitchFamily="34" charset="0"/>
          </a:endParaRPr>
        </a:p>
      </xdr:txBody>
    </xdr:sp>
    <xdr:clientData/>
  </xdr:twoCellAnchor>
  <xdr:twoCellAnchor>
    <xdr:from>
      <xdr:col>9</xdr:col>
      <xdr:colOff>113153</xdr:colOff>
      <xdr:row>16</xdr:row>
      <xdr:rowOff>18715</xdr:rowOff>
    </xdr:from>
    <xdr:to>
      <xdr:col>9</xdr:col>
      <xdr:colOff>635120</xdr:colOff>
      <xdr:row>17</xdr:row>
      <xdr:rowOff>107706</xdr:rowOff>
    </xdr:to>
    <xdr:sp macro="" textlink="'Variable Mgmt'!C264">
      <xdr:nvSpPr>
        <xdr:cNvPr id="89" name="Text Box 268">
          <a:extLst>
            <a:ext uri="{FF2B5EF4-FFF2-40B4-BE49-F238E27FC236}">
              <a16:creationId xmlns:a16="http://schemas.microsoft.com/office/drawing/2014/main" id="{00000000-0008-0000-0000-000059000000}"/>
            </a:ext>
          </a:extLst>
        </xdr:cNvPr>
        <xdr:cNvSpPr txBox="1">
          <a:spLocks noChangeArrowheads="1" noTextEdit="1"/>
        </xdr:cNvSpPr>
      </xdr:nvSpPr>
      <xdr:spPr bwMode="auto">
        <a:xfrm>
          <a:off x="6047228" y="3485815"/>
          <a:ext cx="521967" cy="260441"/>
        </a:xfrm>
        <a:prstGeom prst="rect">
          <a:avLst/>
        </a:prstGeom>
        <a:noFill/>
        <a:ln w="9525">
          <a:noFill/>
          <a:miter lim="800000"/>
          <a:headEnd/>
          <a:tailEnd/>
        </a:ln>
      </xdr:spPr>
      <xdr:txBody>
        <a:bodyPr vertOverflow="clip" wrap="square" lIns="27432" tIns="22860" rIns="0" bIns="0" anchor="ctr" upright="1"/>
        <a:lstStyle/>
        <a:p>
          <a:pPr algn="ctr" rtl="0">
            <a:defRPr sz="1000"/>
          </a:pPr>
          <a:fld id="{CEE4656F-B1E1-4EA7-855C-42F20649C38D}" type="TxLink">
            <a:rPr lang="en-US" sz="1100" b="0" i="0" u="none" strike="noStrike">
              <a:solidFill>
                <a:srgbClr val="000000"/>
              </a:solidFill>
              <a:latin typeface="Arial"/>
              <a:cs typeface="Arial"/>
            </a:rPr>
            <a:pPr algn="ctr" rtl="0">
              <a:defRPr sz="1000"/>
            </a:pPr>
            <a:t> </a:t>
          </a:fld>
          <a:endParaRPr lang="el-GR" sz="1100" b="0" i="0" strike="noStrike">
            <a:solidFill>
              <a:srgbClr val="000000"/>
            </a:solidFill>
            <a:latin typeface="Arial" pitchFamily="34" charset="0"/>
            <a:cs typeface="Arial" pitchFamily="34" charset="0"/>
          </a:endParaRPr>
        </a:p>
      </xdr:txBody>
    </xdr:sp>
    <xdr:clientData/>
  </xdr:twoCellAnchor>
  <xdr:twoCellAnchor>
    <xdr:from>
      <xdr:col>14</xdr:col>
      <xdr:colOff>401512</xdr:colOff>
      <xdr:row>19</xdr:row>
      <xdr:rowOff>74177</xdr:rowOff>
    </xdr:from>
    <xdr:to>
      <xdr:col>15</xdr:col>
      <xdr:colOff>305530</xdr:colOff>
      <xdr:row>20</xdr:row>
      <xdr:rowOff>131152</xdr:rowOff>
    </xdr:to>
    <xdr:sp macro="" textlink="'Variable Mgmt'!B271">
      <xdr:nvSpPr>
        <xdr:cNvPr id="91" name="Text Box 265">
          <a:extLst>
            <a:ext uri="{FF2B5EF4-FFF2-40B4-BE49-F238E27FC236}">
              <a16:creationId xmlns:a16="http://schemas.microsoft.com/office/drawing/2014/main" id="{00000000-0008-0000-0000-00005B000000}"/>
            </a:ext>
          </a:extLst>
        </xdr:cNvPr>
        <xdr:cNvSpPr txBox="1">
          <a:spLocks noChangeArrowheads="1" noTextEdit="1"/>
        </xdr:cNvSpPr>
      </xdr:nvSpPr>
      <xdr:spPr bwMode="auto">
        <a:xfrm>
          <a:off x="9678862" y="4055627"/>
          <a:ext cx="513618" cy="228425"/>
        </a:xfrm>
        <a:prstGeom prst="rect">
          <a:avLst/>
        </a:prstGeom>
        <a:noFill/>
        <a:ln w="9525">
          <a:noFill/>
          <a:miter lim="800000"/>
          <a:headEnd/>
          <a:tailEnd/>
        </a:ln>
      </xdr:spPr>
      <xdr:txBody>
        <a:bodyPr vertOverflow="clip" wrap="square" lIns="27432" tIns="22860" rIns="0" bIns="0" anchor="t" upright="1"/>
        <a:lstStyle/>
        <a:p>
          <a:pPr algn="ctr" rtl="0">
            <a:defRPr sz="1000"/>
          </a:pPr>
          <a:fld id="{EB97343E-37DA-47FD-AA00-D13D24E415DA}" type="TxLink">
            <a:rPr lang="en-US" sz="1050" b="0" i="0" u="none" strike="noStrike" baseline="0">
              <a:solidFill>
                <a:srgbClr val="000000"/>
              </a:solidFill>
              <a:latin typeface="Arial"/>
              <a:cs typeface="Arial"/>
            </a:rPr>
            <a:pPr algn="ctr" rtl="0">
              <a:defRPr sz="1000"/>
            </a:pPr>
            <a:t> </a:t>
          </a:fld>
          <a:endParaRPr lang="el-GR" sz="1050" b="0" i="0" u="none" strike="noStrike" baseline="0">
            <a:solidFill>
              <a:srgbClr val="000000"/>
            </a:solidFill>
            <a:latin typeface="Arial" pitchFamily="34" charset="0"/>
            <a:cs typeface="Arial" pitchFamily="34" charset="0"/>
          </a:endParaRPr>
        </a:p>
      </xdr:txBody>
    </xdr:sp>
    <xdr:clientData/>
  </xdr:twoCellAnchor>
  <xdr:twoCellAnchor>
    <xdr:from>
      <xdr:col>6</xdr:col>
      <xdr:colOff>412414</xdr:colOff>
      <xdr:row>9</xdr:row>
      <xdr:rowOff>25717</xdr:rowOff>
    </xdr:from>
    <xdr:to>
      <xdr:col>7</xdr:col>
      <xdr:colOff>542924</xdr:colOff>
      <xdr:row>10</xdr:row>
      <xdr:rowOff>114300</xdr:rowOff>
    </xdr:to>
    <xdr:sp macro="" textlink="'Variable Mgmt'!B236">
      <xdr:nvSpPr>
        <xdr:cNvPr id="35" name="Text Box 283">
          <a:extLst>
            <a:ext uri="{FF2B5EF4-FFF2-40B4-BE49-F238E27FC236}">
              <a16:creationId xmlns:a16="http://schemas.microsoft.com/office/drawing/2014/main" id="{00000000-0008-0000-0000-000023000000}"/>
            </a:ext>
          </a:extLst>
        </xdr:cNvPr>
        <xdr:cNvSpPr txBox="1">
          <a:spLocks noChangeArrowheads="1" noTextEdit="1"/>
        </xdr:cNvSpPr>
      </xdr:nvSpPr>
      <xdr:spPr bwMode="auto">
        <a:xfrm>
          <a:off x="4012864" y="2102167"/>
          <a:ext cx="921085" cy="260033"/>
        </a:xfrm>
        <a:prstGeom prst="rect">
          <a:avLst/>
        </a:prstGeom>
        <a:noFill/>
        <a:ln w="9525">
          <a:noFill/>
          <a:miter lim="800000"/>
          <a:headEnd/>
          <a:tailEnd/>
        </a:ln>
      </xdr:spPr>
      <xdr:txBody>
        <a:bodyPr vertOverflow="clip" wrap="square" lIns="27432" tIns="22860" rIns="0" bIns="0" anchor="t" upright="1"/>
        <a:lstStyle/>
        <a:p>
          <a:pPr algn="ctr" rtl="0">
            <a:defRPr sz="1000"/>
          </a:pPr>
          <a:fld id="{47315316-35F3-49E7-A4CE-EA42773D1FAE}" type="TxLink">
            <a:rPr lang="en-US" sz="1200" b="1" i="0" u="none" strike="noStrike">
              <a:solidFill>
                <a:srgbClr val="000000"/>
              </a:solidFill>
              <a:latin typeface="Arial"/>
              <a:cs typeface="Arial"/>
            </a:rPr>
            <a:pPr algn="ctr" rtl="0">
              <a:defRPr sz="1000"/>
            </a:pPr>
            <a:t>30V...50V</a:t>
          </a:fld>
          <a:endParaRPr lang="en-US" sz="1200" b="1" i="0" strike="noStrike">
            <a:solidFill>
              <a:srgbClr val="000000"/>
            </a:solidFill>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4</xdr:col>
          <xdr:colOff>0</xdr:colOff>
          <xdr:row>9</xdr:row>
          <xdr:rowOff>161925</xdr:rowOff>
        </xdr:from>
        <xdr:to>
          <xdr:col>5</xdr:col>
          <xdr:colOff>85725</xdr:colOff>
          <xdr:row>11</xdr:row>
          <xdr:rowOff>0</xdr:rowOff>
        </xdr:to>
        <xdr:sp macro="" textlink="">
          <xdr:nvSpPr>
            <xdr:cNvPr id="672928" name="Drop Down 160" hidden="1">
              <a:extLst>
                <a:ext uri="{63B3BB69-23CF-44E3-9099-C40C66FF867C}">
                  <a14:compatExt spid="_x0000_s672928"/>
                </a:ext>
                <a:ext uri="{FF2B5EF4-FFF2-40B4-BE49-F238E27FC236}">
                  <a16:creationId xmlns:a16="http://schemas.microsoft.com/office/drawing/2014/main" id="{00000000-0008-0000-0000-0000A044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36</xdr:row>
          <xdr:rowOff>0</xdr:rowOff>
        </xdr:from>
        <xdr:to>
          <xdr:col>5</xdr:col>
          <xdr:colOff>285750</xdr:colOff>
          <xdr:row>37</xdr:row>
          <xdr:rowOff>0</xdr:rowOff>
        </xdr:to>
        <xdr:sp macro="" textlink="">
          <xdr:nvSpPr>
            <xdr:cNvPr id="672935" name="Drop Down 167" hidden="1">
              <a:extLst>
                <a:ext uri="{63B3BB69-23CF-44E3-9099-C40C66FF867C}">
                  <a14:compatExt spid="_x0000_s672935"/>
                </a:ext>
                <a:ext uri="{FF2B5EF4-FFF2-40B4-BE49-F238E27FC236}">
                  <a16:creationId xmlns:a16="http://schemas.microsoft.com/office/drawing/2014/main" id="{00000000-0008-0000-0000-0000A744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16</xdr:col>
      <xdr:colOff>483658</xdr:colOff>
      <xdr:row>9</xdr:row>
      <xdr:rowOff>98912</xdr:rowOff>
    </xdr:from>
    <xdr:to>
      <xdr:col>16</xdr:col>
      <xdr:colOff>820950</xdr:colOff>
      <xdr:row>11</xdr:row>
      <xdr:rowOff>33979</xdr:rowOff>
    </xdr:to>
    <xdr:sp macro="" textlink="'Variable Mgmt'!C257">
      <xdr:nvSpPr>
        <xdr:cNvPr id="43" name="Text Box 225">
          <a:extLst>
            <a:ext uri="{FF2B5EF4-FFF2-40B4-BE49-F238E27FC236}">
              <a16:creationId xmlns:a16="http://schemas.microsoft.com/office/drawing/2014/main" id="{00000000-0008-0000-0000-00002B000000}"/>
            </a:ext>
          </a:extLst>
        </xdr:cNvPr>
        <xdr:cNvSpPr txBox="1">
          <a:spLocks noChangeArrowheads="1"/>
        </xdr:cNvSpPr>
      </xdr:nvSpPr>
      <xdr:spPr bwMode="auto">
        <a:xfrm>
          <a:off x="11046883" y="2175362"/>
          <a:ext cx="337292" cy="297017"/>
        </a:xfrm>
        <a:prstGeom prst="rect">
          <a:avLst/>
        </a:prstGeom>
        <a:noFill/>
        <a:ln w="9525">
          <a:noFill/>
          <a:miter lim="800000"/>
          <a:headEnd/>
          <a:tailEnd/>
        </a:ln>
      </xdr:spPr>
      <xdr:txBody>
        <a:bodyPr vertOverflow="clip" wrap="square" lIns="27432" tIns="27432" rIns="0" bIns="0" anchor="ctr" upright="1"/>
        <a:lstStyle/>
        <a:p>
          <a:pPr algn="ctr" rtl="0">
            <a:defRPr sz="1000"/>
          </a:pPr>
          <a:fld id="{5A9D5443-864F-4F8F-ABFF-993F58DADF9E}" type="TxLink">
            <a:rPr lang="en-US" sz="1100" b="0" i="0" u="none" strike="noStrike">
              <a:solidFill>
                <a:srgbClr val="000000"/>
              </a:solidFill>
              <a:latin typeface="Arial"/>
              <a:cs typeface="Arial"/>
            </a:rPr>
            <a:pPr algn="ctr" rtl="0">
              <a:defRPr sz="1000"/>
            </a:pPr>
            <a:t>Resr</a:t>
          </a:fld>
          <a:endParaRPr lang="en-US" sz="1100" b="0" i="0" strike="noStrike" baseline="-25000">
            <a:solidFill>
              <a:srgbClr val="000000"/>
            </a:solidFill>
            <a:latin typeface="Arial" pitchFamily="34" charset="0"/>
            <a:cs typeface="Arial" pitchFamily="34" charset="0"/>
          </a:endParaRPr>
        </a:p>
      </xdr:txBody>
    </xdr:sp>
    <xdr:clientData/>
  </xdr:twoCellAnchor>
  <xdr:twoCellAnchor>
    <xdr:from>
      <xdr:col>16</xdr:col>
      <xdr:colOff>490904</xdr:colOff>
      <xdr:row>10</xdr:row>
      <xdr:rowOff>167113</xdr:rowOff>
    </xdr:from>
    <xdr:to>
      <xdr:col>16</xdr:col>
      <xdr:colOff>1009240</xdr:colOff>
      <xdr:row>11</xdr:row>
      <xdr:rowOff>201970</xdr:rowOff>
    </xdr:to>
    <xdr:sp macro="" textlink="'Variable Mgmt'!B258">
      <xdr:nvSpPr>
        <xdr:cNvPr id="44" name="Text Box 268">
          <a:extLst>
            <a:ext uri="{FF2B5EF4-FFF2-40B4-BE49-F238E27FC236}">
              <a16:creationId xmlns:a16="http://schemas.microsoft.com/office/drawing/2014/main" id="{00000000-0008-0000-0000-00002C000000}"/>
            </a:ext>
          </a:extLst>
        </xdr:cNvPr>
        <xdr:cNvSpPr txBox="1">
          <a:spLocks noChangeArrowheads="1" noTextEdit="1"/>
        </xdr:cNvSpPr>
      </xdr:nvSpPr>
      <xdr:spPr bwMode="auto">
        <a:xfrm>
          <a:off x="11054129" y="2415013"/>
          <a:ext cx="518336" cy="225357"/>
        </a:xfrm>
        <a:prstGeom prst="rect">
          <a:avLst/>
        </a:prstGeom>
        <a:noFill/>
        <a:ln w="9525">
          <a:noFill/>
          <a:miter lim="800000"/>
          <a:headEnd/>
          <a:tailEnd/>
        </a:ln>
      </xdr:spPr>
      <xdr:txBody>
        <a:bodyPr vertOverflow="clip" wrap="square" lIns="27432" tIns="22860" rIns="0" bIns="0" anchor="ctr" upright="1"/>
        <a:lstStyle/>
        <a:p>
          <a:pPr algn="l" rtl="0">
            <a:defRPr sz="1000"/>
          </a:pPr>
          <a:fld id="{35437053-6AF1-4CB6-8BC9-CEEF911045AA}" type="TxLink">
            <a:rPr lang="en-US" sz="1100" b="0" i="0" u="none" strike="noStrike">
              <a:solidFill>
                <a:srgbClr val="000000"/>
              </a:solidFill>
              <a:latin typeface="Arial"/>
              <a:cs typeface="Arial"/>
            </a:rPr>
            <a:pPr algn="l" rtl="0">
              <a:defRPr sz="1000"/>
            </a:pPr>
            <a:t>1.5Ω</a:t>
          </a:fld>
          <a:endParaRPr lang="el-GR" sz="1100" b="0" i="0" strike="noStrike">
            <a:solidFill>
              <a:srgbClr val="000000"/>
            </a:solidFill>
            <a:latin typeface="Arial" pitchFamily="34" charset="0"/>
            <a:cs typeface="Arial" pitchFamily="34" charset="0"/>
          </a:endParaRPr>
        </a:p>
      </xdr:txBody>
    </xdr:sp>
    <xdr:clientData/>
  </xdr:twoCellAnchor>
  <xdr:twoCellAnchor>
    <xdr:from>
      <xdr:col>10</xdr:col>
      <xdr:colOff>57150</xdr:colOff>
      <xdr:row>22</xdr:row>
      <xdr:rowOff>104775</xdr:rowOff>
    </xdr:from>
    <xdr:to>
      <xdr:col>10</xdr:col>
      <xdr:colOff>342900</xdr:colOff>
      <xdr:row>23</xdr:row>
      <xdr:rowOff>66675</xdr:rowOff>
    </xdr:to>
    <xdr:sp macro="" textlink="'Variable Mgmt'!C254">
      <xdr:nvSpPr>
        <xdr:cNvPr id="42" name="Text Box 265">
          <a:extLst>
            <a:ext uri="{FF2B5EF4-FFF2-40B4-BE49-F238E27FC236}">
              <a16:creationId xmlns:a16="http://schemas.microsoft.com/office/drawing/2014/main" id="{00000000-0008-0000-0000-00002A000000}"/>
            </a:ext>
          </a:extLst>
        </xdr:cNvPr>
        <xdr:cNvSpPr txBox="1">
          <a:spLocks noChangeArrowheads="1" noTextEdit="1"/>
        </xdr:cNvSpPr>
      </xdr:nvSpPr>
      <xdr:spPr bwMode="auto">
        <a:xfrm>
          <a:off x="6677025" y="4629150"/>
          <a:ext cx="285750" cy="209550"/>
        </a:xfrm>
        <a:prstGeom prst="rect">
          <a:avLst/>
        </a:prstGeom>
        <a:noFill/>
        <a:ln w="9525">
          <a:noFill/>
          <a:miter lim="800000"/>
          <a:headEnd/>
          <a:tailEnd/>
        </a:ln>
      </xdr:spPr>
      <xdr:txBody>
        <a:bodyPr vertOverflow="clip" wrap="square" lIns="27432" tIns="22860" rIns="0" bIns="0" anchor="t" upright="1"/>
        <a:lstStyle/>
        <a:p>
          <a:pPr algn="l" rtl="0">
            <a:defRPr sz="1000"/>
          </a:pPr>
          <a:fld id="{970109A0-B269-4FC6-8DE5-A0283C6CD83E}" type="TxLink">
            <a:rPr lang="en-US" sz="1100" b="0" i="0" u="none" strike="noStrike" baseline="0">
              <a:solidFill>
                <a:srgbClr val="000000"/>
              </a:solidFill>
              <a:latin typeface="Arial"/>
              <a:cs typeface="Arial"/>
            </a:rPr>
            <a:pPr algn="l" rtl="0">
              <a:defRPr sz="1000"/>
            </a:pPr>
            <a:t>Rt</a:t>
          </a:fld>
          <a:endParaRPr lang="el-GR" sz="1100" b="0" i="0" u="none" strike="noStrike" baseline="0">
            <a:solidFill>
              <a:srgbClr val="000000"/>
            </a:solidFill>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6</xdr:col>
          <xdr:colOff>438150</xdr:colOff>
          <xdr:row>58</xdr:row>
          <xdr:rowOff>66675</xdr:rowOff>
        </xdr:from>
        <xdr:to>
          <xdr:col>7</xdr:col>
          <xdr:colOff>714375</xdr:colOff>
          <xdr:row>59</xdr:row>
          <xdr:rowOff>133350</xdr:rowOff>
        </xdr:to>
        <xdr:sp macro="" textlink="">
          <xdr:nvSpPr>
            <xdr:cNvPr id="673001" name="Drop Down 233" hidden="1">
              <a:extLst>
                <a:ext uri="{63B3BB69-23CF-44E3-9099-C40C66FF867C}">
                  <a14:compatExt spid="_x0000_s673001"/>
                </a:ext>
                <a:ext uri="{FF2B5EF4-FFF2-40B4-BE49-F238E27FC236}">
                  <a16:creationId xmlns:a16="http://schemas.microsoft.com/office/drawing/2014/main" id="{00000000-0008-0000-0000-0000E944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15</xdr:col>
      <xdr:colOff>457200</xdr:colOff>
      <xdr:row>12</xdr:row>
      <xdr:rowOff>47625</xdr:rowOff>
    </xdr:from>
    <xdr:to>
      <xdr:col>16</xdr:col>
      <xdr:colOff>114300</xdr:colOff>
      <xdr:row>13</xdr:row>
      <xdr:rowOff>28575</xdr:rowOff>
    </xdr:to>
    <xdr:sp macro="" textlink="'Variable Mgmt'!C249">
      <xdr:nvSpPr>
        <xdr:cNvPr id="46" name="Text Box 264">
          <a:extLst>
            <a:ext uri="{FF2B5EF4-FFF2-40B4-BE49-F238E27FC236}">
              <a16:creationId xmlns:a16="http://schemas.microsoft.com/office/drawing/2014/main" id="{00000000-0008-0000-0000-00002E000000}"/>
            </a:ext>
          </a:extLst>
        </xdr:cNvPr>
        <xdr:cNvSpPr txBox="1">
          <a:spLocks noChangeArrowheads="1" noTextEdit="1"/>
        </xdr:cNvSpPr>
      </xdr:nvSpPr>
      <xdr:spPr bwMode="auto">
        <a:xfrm>
          <a:off x="10344150" y="2695575"/>
          <a:ext cx="333375" cy="180975"/>
        </a:xfrm>
        <a:prstGeom prst="rect">
          <a:avLst/>
        </a:prstGeom>
        <a:noFill/>
        <a:ln w="9525">
          <a:noFill/>
          <a:miter lim="800000"/>
          <a:headEnd/>
          <a:tailEnd/>
        </a:ln>
      </xdr:spPr>
      <xdr:txBody>
        <a:bodyPr vertOverflow="clip" wrap="square" lIns="27432" tIns="22860" rIns="0" bIns="0" anchor="ctr" upright="1"/>
        <a:lstStyle/>
        <a:p>
          <a:pPr algn="l" rtl="0">
            <a:defRPr sz="1000"/>
          </a:pPr>
          <a:fld id="{550436E8-A57B-4A31-A58B-A97830A51D86}" type="TxLink">
            <a:rPr lang="en-US" sz="1100" b="0" i="0" u="none" strike="noStrike" baseline="0">
              <a:solidFill>
                <a:srgbClr val="000000"/>
              </a:solidFill>
              <a:latin typeface="Arial"/>
              <a:cs typeface="Arial"/>
            </a:rPr>
            <a:pPr algn="l" rtl="0">
              <a:defRPr sz="1000"/>
            </a:pPr>
            <a:t> </a:t>
          </a:fld>
          <a:endParaRPr lang="el-GR" sz="1100" b="0" i="0" u="none" strike="noStrike" baseline="0">
            <a:solidFill>
              <a:srgbClr val="000000"/>
            </a:solidFill>
            <a:latin typeface="Arial" pitchFamily="34" charset="0"/>
            <a:cs typeface="Arial" pitchFamily="34" charset="0"/>
          </a:endParaRPr>
        </a:p>
      </xdr:txBody>
    </xdr:sp>
    <xdr:clientData/>
  </xdr:twoCellAnchor>
  <xdr:twoCellAnchor>
    <xdr:from>
      <xdr:col>15</xdr:col>
      <xdr:colOff>457200</xdr:colOff>
      <xdr:row>16</xdr:row>
      <xdr:rowOff>57150</xdr:rowOff>
    </xdr:from>
    <xdr:to>
      <xdr:col>16</xdr:col>
      <xdr:colOff>190500</xdr:colOff>
      <xdr:row>17</xdr:row>
      <xdr:rowOff>66675</xdr:rowOff>
    </xdr:to>
    <xdr:sp macro="" textlink="'Variable Mgmt'!D249">
      <xdr:nvSpPr>
        <xdr:cNvPr id="47" name="Text Box 264">
          <a:extLst>
            <a:ext uri="{FF2B5EF4-FFF2-40B4-BE49-F238E27FC236}">
              <a16:creationId xmlns:a16="http://schemas.microsoft.com/office/drawing/2014/main" id="{00000000-0008-0000-0000-00002F000000}"/>
            </a:ext>
          </a:extLst>
        </xdr:cNvPr>
        <xdr:cNvSpPr txBox="1">
          <a:spLocks noChangeArrowheads="1" noTextEdit="1"/>
        </xdr:cNvSpPr>
      </xdr:nvSpPr>
      <xdr:spPr bwMode="auto">
        <a:xfrm>
          <a:off x="10344150" y="3524250"/>
          <a:ext cx="409575" cy="180975"/>
        </a:xfrm>
        <a:prstGeom prst="rect">
          <a:avLst/>
        </a:prstGeom>
        <a:noFill/>
        <a:ln w="9525">
          <a:noFill/>
          <a:miter lim="800000"/>
          <a:headEnd/>
          <a:tailEnd/>
        </a:ln>
      </xdr:spPr>
      <xdr:txBody>
        <a:bodyPr vertOverflow="clip" wrap="square" lIns="27432" tIns="22860" rIns="0" bIns="0" anchor="ctr" upright="1"/>
        <a:lstStyle/>
        <a:p>
          <a:pPr algn="l" rtl="0">
            <a:defRPr sz="1000"/>
          </a:pPr>
          <a:fld id="{1F8554B2-78A9-4B46-B866-A38D3FD58740}" type="TxLink">
            <a:rPr lang="en-US" sz="1100" b="0" i="0" u="none" strike="noStrike" baseline="0">
              <a:solidFill>
                <a:srgbClr val="000000"/>
              </a:solidFill>
              <a:latin typeface="Arial"/>
              <a:cs typeface="Arial"/>
            </a:rPr>
            <a:pPr algn="l" rtl="0">
              <a:defRPr sz="1000"/>
            </a:pPr>
            <a:t> </a:t>
          </a:fld>
          <a:endParaRPr lang="el-GR" sz="1100" b="0" i="0" u="none" strike="noStrike" baseline="0">
            <a:solidFill>
              <a:srgbClr val="000000"/>
            </a:solidFill>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4</xdr:col>
          <xdr:colOff>9525</xdr:colOff>
          <xdr:row>39</xdr:row>
          <xdr:rowOff>0</xdr:rowOff>
        </xdr:from>
        <xdr:to>
          <xdr:col>5</xdr:col>
          <xdr:colOff>266700</xdr:colOff>
          <xdr:row>40</xdr:row>
          <xdr:rowOff>0</xdr:rowOff>
        </xdr:to>
        <xdr:sp macro="" textlink="">
          <xdr:nvSpPr>
            <xdr:cNvPr id="673043" name="Drop Down 275" hidden="1">
              <a:extLst>
                <a:ext uri="{63B3BB69-23CF-44E3-9099-C40C66FF867C}">
                  <a14:compatExt spid="_x0000_s673043"/>
                </a:ext>
                <a:ext uri="{FF2B5EF4-FFF2-40B4-BE49-F238E27FC236}">
                  <a16:creationId xmlns:a16="http://schemas.microsoft.com/office/drawing/2014/main" id="{00000000-0008-0000-0000-00001345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180975</xdr:colOff>
      <xdr:row>9</xdr:row>
      <xdr:rowOff>7327</xdr:rowOff>
    </xdr:from>
    <xdr:to>
      <xdr:col>9</xdr:col>
      <xdr:colOff>580293</xdr:colOff>
      <xdr:row>10</xdr:row>
      <xdr:rowOff>30774</xdr:rowOff>
    </xdr:to>
    <xdr:sp macro="" textlink="'Variable Mgmt'!C261">
      <xdr:nvSpPr>
        <xdr:cNvPr id="48" name="Text Box 264">
          <a:extLst>
            <a:ext uri="{FF2B5EF4-FFF2-40B4-BE49-F238E27FC236}">
              <a16:creationId xmlns:a16="http://schemas.microsoft.com/office/drawing/2014/main" id="{00000000-0008-0000-0000-000030000000}"/>
            </a:ext>
          </a:extLst>
        </xdr:cNvPr>
        <xdr:cNvSpPr txBox="1">
          <a:spLocks noChangeArrowheads="1" noTextEdit="1"/>
        </xdr:cNvSpPr>
      </xdr:nvSpPr>
      <xdr:spPr bwMode="auto">
        <a:xfrm>
          <a:off x="5972175" y="2083777"/>
          <a:ext cx="399318" cy="194897"/>
        </a:xfrm>
        <a:prstGeom prst="rect">
          <a:avLst/>
        </a:prstGeom>
        <a:noFill/>
        <a:ln w="9525">
          <a:noFill/>
          <a:miter lim="800000"/>
          <a:headEnd/>
          <a:tailEnd/>
        </a:ln>
      </xdr:spPr>
      <xdr:txBody>
        <a:bodyPr vertOverflow="clip" wrap="square" lIns="27432" tIns="22860" rIns="0" bIns="0" anchor="ctr" upright="1"/>
        <a:lstStyle/>
        <a:p>
          <a:pPr algn="l" rtl="0">
            <a:defRPr sz="1000"/>
          </a:pPr>
          <a:fld id="{31380AD2-7EE8-49DF-ADF3-9022D781233D}" type="TxLink">
            <a:rPr lang="en-US" sz="1100" b="0" i="0" u="none" strike="noStrike" baseline="0">
              <a:solidFill>
                <a:srgbClr val="000000"/>
              </a:solidFill>
              <a:latin typeface="Arial"/>
              <a:cs typeface="Arial"/>
            </a:rPr>
            <a:pPr algn="l" rtl="0">
              <a:defRPr sz="1000"/>
            </a:pPr>
            <a:t> </a:t>
          </a:fld>
          <a:endParaRPr lang="el-GR" sz="1100" b="0" i="0" u="none" strike="noStrike" baseline="0">
            <a:solidFill>
              <a:srgbClr val="000000"/>
            </a:solidFill>
            <a:latin typeface="Arial" pitchFamily="34" charset="0"/>
            <a:cs typeface="Arial" pitchFamily="34" charset="0"/>
          </a:endParaRPr>
        </a:p>
      </xdr:txBody>
    </xdr:sp>
    <xdr:clientData/>
  </xdr:twoCellAnchor>
  <xdr:twoCellAnchor>
    <xdr:from>
      <xdr:col>9</xdr:col>
      <xdr:colOff>180975</xdr:colOff>
      <xdr:row>12</xdr:row>
      <xdr:rowOff>76200</xdr:rowOff>
    </xdr:from>
    <xdr:to>
      <xdr:col>9</xdr:col>
      <xdr:colOff>602273</xdr:colOff>
      <xdr:row>13</xdr:row>
      <xdr:rowOff>62279</xdr:rowOff>
    </xdr:to>
    <xdr:sp macro="" textlink="'Variable Mgmt'!D261">
      <xdr:nvSpPr>
        <xdr:cNvPr id="50" name="Text Box 264">
          <a:extLst>
            <a:ext uri="{FF2B5EF4-FFF2-40B4-BE49-F238E27FC236}">
              <a16:creationId xmlns:a16="http://schemas.microsoft.com/office/drawing/2014/main" id="{00000000-0008-0000-0000-000032000000}"/>
            </a:ext>
          </a:extLst>
        </xdr:cNvPr>
        <xdr:cNvSpPr txBox="1">
          <a:spLocks noChangeArrowheads="1" noTextEdit="1"/>
        </xdr:cNvSpPr>
      </xdr:nvSpPr>
      <xdr:spPr bwMode="auto">
        <a:xfrm>
          <a:off x="5972175" y="2724150"/>
          <a:ext cx="421298" cy="186104"/>
        </a:xfrm>
        <a:prstGeom prst="rect">
          <a:avLst/>
        </a:prstGeom>
        <a:noFill/>
        <a:ln w="9525">
          <a:noFill/>
          <a:miter lim="800000"/>
          <a:headEnd/>
          <a:tailEnd/>
        </a:ln>
      </xdr:spPr>
      <xdr:txBody>
        <a:bodyPr vertOverflow="clip" wrap="square" lIns="27432" tIns="22860" rIns="0" bIns="0" anchor="ctr" upright="1"/>
        <a:lstStyle/>
        <a:p>
          <a:pPr algn="l" rtl="0">
            <a:defRPr sz="1000"/>
          </a:pPr>
          <a:fld id="{873432C6-E14A-45C8-BEDA-C8EFF8641C5C}" type="TxLink">
            <a:rPr lang="en-US" sz="1100" b="0" i="0" u="none" strike="noStrike" baseline="0">
              <a:solidFill>
                <a:srgbClr val="000000"/>
              </a:solidFill>
              <a:latin typeface="Arial"/>
              <a:cs typeface="Arial"/>
            </a:rPr>
            <a:pPr algn="l" rtl="0">
              <a:defRPr sz="1000"/>
            </a:pPr>
            <a:t> </a:t>
          </a:fld>
          <a:endParaRPr lang="el-GR" sz="1100" b="0" i="0" u="none" strike="noStrike" baseline="0">
            <a:solidFill>
              <a:srgbClr val="000000"/>
            </a:solidFill>
            <a:latin typeface="Arial" pitchFamily="34" charset="0"/>
            <a:cs typeface="Arial" pitchFamily="34" charset="0"/>
          </a:endParaRPr>
        </a:p>
      </xdr:txBody>
    </xdr:sp>
    <xdr:clientData/>
  </xdr:twoCellAnchor>
  <xdr:twoCellAnchor>
    <xdr:from>
      <xdr:col>9</xdr:col>
      <xdr:colOff>190500</xdr:colOff>
      <xdr:row>15</xdr:row>
      <xdr:rowOff>66675</xdr:rowOff>
    </xdr:from>
    <xdr:to>
      <xdr:col>9</xdr:col>
      <xdr:colOff>600075</xdr:colOff>
      <xdr:row>16</xdr:row>
      <xdr:rowOff>47625</xdr:rowOff>
    </xdr:to>
    <xdr:sp macro="" textlink="'Variable Mgmt'!E261">
      <xdr:nvSpPr>
        <xdr:cNvPr id="51" name="Text Box 264">
          <a:extLst>
            <a:ext uri="{FF2B5EF4-FFF2-40B4-BE49-F238E27FC236}">
              <a16:creationId xmlns:a16="http://schemas.microsoft.com/office/drawing/2014/main" id="{00000000-0008-0000-0000-000033000000}"/>
            </a:ext>
          </a:extLst>
        </xdr:cNvPr>
        <xdr:cNvSpPr txBox="1">
          <a:spLocks noChangeArrowheads="1" noTextEdit="1"/>
        </xdr:cNvSpPr>
      </xdr:nvSpPr>
      <xdr:spPr bwMode="auto">
        <a:xfrm>
          <a:off x="6124575" y="3333750"/>
          <a:ext cx="409575" cy="180975"/>
        </a:xfrm>
        <a:prstGeom prst="rect">
          <a:avLst/>
        </a:prstGeom>
        <a:noFill/>
        <a:ln w="9525">
          <a:noFill/>
          <a:miter lim="800000"/>
          <a:headEnd/>
          <a:tailEnd/>
        </a:ln>
      </xdr:spPr>
      <xdr:txBody>
        <a:bodyPr vertOverflow="clip" wrap="square" lIns="27432" tIns="22860" rIns="0" bIns="0" anchor="ctr" upright="1"/>
        <a:lstStyle/>
        <a:p>
          <a:pPr algn="l" rtl="0">
            <a:defRPr sz="1000"/>
          </a:pPr>
          <a:fld id="{A509FE62-88DE-44AA-B865-BC8D20CDDBD3}" type="TxLink">
            <a:rPr lang="en-US" sz="1100" b="0" i="0" u="none" strike="noStrike" baseline="0">
              <a:solidFill>
                <a:srgbClr val="000000"/>
              </a:solidFill>
              <a:latin typeface="Arial"/>
              <a:cs typeface="Arial"/>
            </a:rPr>
            <a:pPr algn="l" rtl="0">
              <a:defRPr sz="1000"/>
            </a:pPr>
            <a:t> </a:t>
          </a:fld>
          <a:endParaRPr lang="el-GR" sz="1100" b="0" i="0" u="none" strike="noStrike" baseline="0">
            <a:solidFill>
              <a:srgbClr val="000000"/>
            </a:solidFill>
            <a:latin typeface="Arial" pitchFamily="34" charset="0"/>
            <a:cs typeface="Arial" pitchFamily="34" charset="0"/>
          </a:endParaRPr>
        </a:p>
      </xdr:txBody>
    </xdr:sp>
    <xdr:clientData/>
  </xdr:twoCellAnchor>
  <xdr:twoCellAnchor>
    <xdr:from>
      <xdr:col>9</xdr:col>
      <xdr:colOff>608324</xdr:colOff>
      <xdr:row>18</xdr:row>
      <xdr:rowOff>61055</xdr:rowOff>
    </xdr:from>
    <xdr:to>
      <xdr:col>10</xdr:col>
      <xdr:colOff>220287</xdr:colOff>
      <xdr:row>19</xdr:row>
      <xdr:rowOff>125697</xdr:rowOff>
    </xdr:to>
    <xdr:sp macro="" textlink="'Variable Mgmt'!C268">
      <xdr:nvSpPr>
        <xdr:cNvPr id="49" name="Text Box 281">
          <a:extLst>
            <a:ext uri="{FF2B5EF4-FFF2-40B4-BE49-F238E27FC236}">
              <a16:creationId xmlns:a16="http://schemas.microsoft.com/office/drawing/2014/main" id="{00000000-0008-0000-0000-000031000000}"/>
            </a:ext>
          </a:extLst>
        </xdr:cNvPr>
        <xdr:cNvSpPr txBox="1">
          <a:spLocks noChangeArrowheads="1" noTextEdit="1"/>
        </xdr:cNvSpPr>
      </xdr:nvSpPr>
      <xdr:spPr bwMode="auto">
        <a:xfrm>
          <a:off x="6399524" y="3871055"/>
          <a:ext cx="440638" cy="236092"/>
        </a:xfrm>
        <a:prstGeom prst="rect">
          <a:avLst/>
        </a:prstGeom>
        <a:noFill/>
        <a:ln w="9525">
          <a:noFill/>
          <a:miter lim="800000"/>
          <a:headEnd/>
          <a:tailEnd/>
        </a:ln>
      </xdr:spPr>
      <xdr:txBody>
        <a:bodyPr vertOverflow="clip" wrap="square" lIns="27432" tIns="22860" rIns="0" bIns="0" anchor="ctr" upright="1"/>
        <a:lstStyle/>
        <a:p>
          <a:pPr algn="l" rtl="0">
            <a:defRPr sz="1000"/>
          </a:pPr>
          <a:fld id="{B81C36CF-66FD-4734-B04F-DAE82AF849A9}" type="TxLink">
            <a:rPr lang="en-US" sz="1100" b="0" i="0" u="none" strike="noStrike">
              <a:solidFill>
                <a:srgbClr val="000000"/>
              </a:solidFill>
              <a:latin typeface="Arial"/>
              <a:cs typeface="Arial"/>
            </a:rPr>
            <a:pPr algn="l" rtl="0">
              <a:defRPr sz="1000"/>
            </a:pPr>
            <a:t>Css</a:t>
          </a:fld>
          <a:endParaRPr lang="en-US" sz="1100" b="0" i="0" strike="noStrike">
            <a:solidFill>
              <a:srgbClr val="000000"/>
            </a:solidFill>
            <a:latin typeface="Arial" pitchFamily="34" charset="0"/>
            <a:cs typeface="Arial" pitchFamily="34" charset="0"/>
          </a:endParaRPr>
        </a:p>
      </xdr:txBody>
    </xdr:sp>
    <xdr:clientData/>
  </xdr:twoCellAnchor>
  <xdr:twoCellAnchor>
    <xdr:from>
      <xdr:col>14</xdr:col>
      <xdr:colOff>477712</xdr:colOff>
      <xdr:row>17</xdr:row>
      <xdr:rowOff>169427</xdr:rowOff>
    </xdr:from>
    <xdr:to>
      <xdr:col>15</xdr:col>
      <xdr:colOff>381730</xdr:colOff>
      <xdr:row>19</xdr:row>
      <xdr:rowOff>54952</xdr:rowOff>
    </xdr:to>
    <xdr:sp macro="" textlink="'Variable Mgmt'!C270">
      <xdr:nvSpPr>
        <xdr:cNvPr id="52" name="Text Box 265">
          <a:extLst>
            <a:ext uri="{FF2B5EF4-FFF2-40B4-BE49-F238E27FC236}">
              <a16:creationId xmlns:a16="http://schemas.microsoft.com/office/drawing/2014/main" id="{00000000-0008-0000-0000-000034000000}"/>
            </a:ext>
          </a:extLst>
        </xdr:cNvPr>
        <xdr:cNvSpPr txBox="1">
          <a:spLocks noChangeArrowheads="1" noTextEdit="1"/>
        </xdr:cNvSpPr>
      </xdr:nvSpPr>
      <xdr:spPr bwMode="auto">
        <a:xfrm>
          <a:off x="9755062" y="3807977"/>
          <a:ext cx="513618" cy="228425"/>
        </a:xfrm>
        <a:prstGeom prst="rect">
          <a:avLst/>
        </a:prstGeom>
        <a:noFill/>
        <a:ln w="9525">
          <a:noFill/>
          <a:miter lim="800000"/>
          <a:headEnd/>
          <a:tailEnd/>
        </a:ln>
      </xdr:spPr>
      <xdr:txBody>
        <a:bodyPr vertOverflow="clip" wrap="square" lIns="27432" tIns="22860" rIns="0" bIns="0" anchor="ctr" upright="1"/>
        <a:lstStyle/>
        <a:p>
          <a:pPr algn="l" rtl="0">
            <a:defRPr sz="1000"/>
          </a:pPr>
          <a:fld id="{324772CA-E155-491E-B5C0-0A29EA714D13}" type="TxLink">
            <a:rPr lang="en-US" sz="1100" b="0" i="0" u="none" strike="noStrike" baseline="0">
              <a:solidFill>
                <a:srgbClr val="000000"/>
              </a:solidFill>
              <a:latin typeface="Arial"/>
              <a:cs typeface="Arial"/>
            </a:rPr>
            <a:pPr algn="l" rtl="0">
              <a:defRPr sz="1000"/>
            </a:pPr>
            <a:t> </a:t>
          </a:fld>
          <a:endParaRPr lang="el-GR" sz="1100" b="0" i="0" u="none" strike="noStrike" baseline="0">
            <a:solidFill>
              <a:srgbClr val="000000"/>
            </a:solidFill>
            <a:latin typeface="Arial" pitchFamily="34" charset="0"/>
            <a:cs typeface="Arial" pitchFamily="34" charset="0"/>
          </a:endParaRPr>
        </a:p>
      </xdr:txBody>
    </xdr:sp>
    <xdr:clientData/>
  </xdr:twoCellAnchor>
  <xdr:twoCellAnchor>
    <xdr:from>
      <xdr:col>16</xdr:col>
      <xdr:colOff>219075</xdr:colOff>
      <xdr:row>36</xdr:row>
      <xdr:rowOff>50857</xdr:rowOff>
    </xdr:from>
    <xdr:to>
      <xdr:col>16</xdr:col>
      <xdr:colOff>685799</xdr:colOff>
      <xdr:row>37</xdr:row>
      <xdr:rowOff>73081</xdr:rowOff>
    </xdr:to>
    <xdr:sp macro="" textlink="'Variable Mgmt'!$B$276">
      <xdr:nvSpPr>
        <xdr:cNvPr id="56" name="Text Box 24">
          <a:extLst>
            <a:ext uri="{FF2B5EF4-FFF2-40B4-BE49-F238E27FC236}">
              <a16:creationId xmlns:a16="http://schemas.microsoft.com/office/drawing/2014/main" id="{00000000-0008-0000-0000-000038000000}"/>
            </a:ext>
          </a:extLst>
        </xdr:cNvPr>
        <xdr:cNvSpPr txBox="1">
          <a:spLocks noChangeArrowheads="1" noTextEdit="1"/>
        </xdr:cNvSpPr>
      </xdr:nvSpPr>
      <xdr:spPr bwMode="auto">
        <a:xfrm>
          <a:off x="10799763" y="7305732"/>
          <a:ext cx="466724" cy="220662"/>
        </a:xfrm>
        <a:prstGeom prst="rect">
          <a:avLst/>
        </a:prstGeom>
        <a:solidFill>
          <a:schemeClr val="bg1"/>
        </a:solidFill>
        <a:ln w="9525">
          <a:noFill/>
          <a:miter lim="800000"/>
          <a:headEnd/>
          <a:tailEnd/>
        </a:ln>
      </xdr:spPr>
      <xdr:txBody>
        <a:bodyPr wrap="square" lIns="27432" tIns="22860" rIns="0" bIns="22860" anchor="ctr"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rtl="0">
            <a:defRPr sz="1000"/>
          </a:pPr>
          <a:fld id="{1F0AFB1C-0795-4024-9821-D34D86340D40}" type="TxLink">
            <a:rPr lang="en-US" sz="1100" b="0" i="0" u="none" strike="noStrike" baseline="0">
              <a:solidFill>
                <a:srgbClr val="000000"/>
              </a:solidFill>
              <a:latin typeface="Arial"/>
              <a:cs typeface="Arial"/>
            </a:rPr>
            <a:pPr algn="ctr" rtl="0">
              <a:defRPr sz="1000"/>
            </a:pPr>
            <a:t>#NOME?</a:t>
          </a:fld>
          <a:endParaRPr lang="en-US" sz="1100" b="1" i="0" u="none" strike="noStrike" baseline="0">
            <a:solidFill>
              <a:srgbClr val="000000"/>
            </a:solidFill>
            <a:latin typeface="Arial" pitchFamily="34" charset="0"/>
            <a:cs typeface="Arial" pitchFamily="34" charset="0"/>
          </a:endParaRPr>
        </a:p>
      </xdr:txBody>
    </xdr:sp>
    <xdr:clientData/>
  </xdr:twoCellAnchor>
  <xdr:twoCellAnchor editAs="oneCell">
    <xdr:from>
      <xdr:col>0</xdr:col>
      <xdr:colOff>78143</xdr:colOff>
      <xdr:row>0</xdr:row>
      <xdr:rowOff>32845</xdr:rowOff>
    </xdr:from>
    <xdr:to>
      <xdr:col>3</xdr:col>
      <xdr:colOff>351439</xdr:colOff>
      <xdr:row>0</xdr:row>
      <xdr:rowOff>571501</xdr:rowOff>
    </xdr:to>
    <xdr:pic macro="[0]!OpenLM27403ProductFolder">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4896" b="8304"/>
        <a:stretch/>
      </xdr:blipFill>
      <xdr:spPr>
        <a:xfrm>
          <a:off x="78143" y="32845"/>
          <a:ext cx="2283071" cy="538656"/>
        </a:xfrm>
        <a:prstGeom prst="rect">
          <a:avLst/>
        </a:prstGeom>
      </xdr:spPr>
    </xdr:pic>
    <xdr:clientData/>
  </xdr:twoCellAnchor>
  <xdr:twoCellAnchor editAs="oneCell">
    <xdr:from>
      <xdr:col>16</xdr:col>
      <xdr:colOff>285750</xdr:colOff>
      <xdr:row>0</xdr:row>
      <xdr:rowOff>76200</xdr:rowOff>
    </xdr:from>
    <xdr:to>
      <xdr:col>16</xdr:col>
      <xdr:colOff>1346454</xdr:colOff>
      <xdr:row>2</xdr:row>
      <xdr:rowOff>128521</xdr:rowOff>
    </xdr:to>
    <xdr:pic macro="[0]!OpenLM27403ProductFolder">
      <xdr:nvPicPr>
        <xdr:cNvPr id="53" name="Picture 52">
          <a:extLst>
            <a:ext uri="{FF2B5EF4-FFF2-40B4-BE49-F238E27FC236}">
              <a16:creationId xmlns:a16="http://schemas.microsoft.com/office/drawing/2014/main" id="{00000000-0008-0000-0000-000035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0848975" y="76200"/>
          <a:ext cx="1060704" cy="823846"/>
        </a:xfrm>
        <a:prstGeom prst="rect">
          <a:avLst/>
        </a:prstGeom>
      </xdr:spPr>
    </xdr:pic>
    <xdr:clientData/>
  </xdr:twoCellAnchor>
  <xdr:twoCellAnchor editAs="oneCell">
    <xdr:from>
      <xdr:col>16</xdr:col>
      <xdr:colOff>1432287</xdr:colOff>
      <xdr:row>0</xdr:row>
      <xdr:rowOff>80138</xdr:rowOff>
    </xdr:from>
    <xdr:to>
      <xdr:col>17</xdr:col>
      <xdr:colOff>2894</xdr:colOff>
      <xdr:row>2</xdr:row>
      <xdr:rowOff>134504</xdr:rowOff>
    </xdr:to>
    <xdr:pic macro="[0]!OpenLM27403ProductFolder">
      <xdr:nvPicPr>
        <xdr:cNvPr id="54" name="Picture 53">
          <a:extLst>
            <a:ext uri="{FF2B5EF4-FFF2-40B4-BE49-F238E27FC236}">
              <a16:creationId xmlns:a16="http://schemas.microsoft.com/office/drawing/2014/main" id="{00000000-0008-0000-0000-00003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995512" y="80138"/>
          <a:ext cx="1056632" cy="825891"/>
        </a:xfrm>
        <a:prstGeom prst="rect">
          <a:avLst/>
        </a:prstGeom>
      </xdr:spPr>
    </xdr:pic>
    <xdr:clientData/>
  </xdr:twoCellAnchor>
  <xdr:twoCellAnchor editAs="oneCell">
    <xdr:from>
      <xdr:col>1</xdr:col>
      <xdr:colOff>409575</xdr:colOff>
      <xdr:row>52</xdr:row>
      <xdr:rowOff>85724</xdr:rowOff>
    </xdr:from>
    <xdr:to>
      <xdr:col>4</xdr:col>
      <xdr:colOff>263120</xdr:colOff>
      <xdr:row>60</xdr:row>
      <xdr:rowOff>76200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6">
          <a:extLst>
            <a:ext uri="{28A0092B-C50C-407E-A947-70E740481C1C}">
              <a14:useLocalDpi xmlns:a14="http://schemas.microsoft.com/office/drawing/2010/main" val="0"/>
            </a:ext>
          </a:extLst>
        </a:blip>
        <a:srcRect l="7960" t="7913" r="6965" b="16357"/>
        <a:stretch/>
      </xdr:blipFill>
      <xdr:spPr>
        <a:xfrm>
          <a:off x="962025" y="10372724"/>
          <a:ext cx="1863320" cy="136207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438150</xdr:colOff>
          <xdr:row>1</xdr:row>
          <xdr:rowOff>104775</xdr:rowOff>
        </xdr:from>
        <xdr:to>
          <xdr:col>9</xdr:col>
          <xdr:colOff>53687</xdr:colOff>
          <xdr:row>27</xdr:row>
          <xdr:rowOff>57150</xdr:rowOff>
        </xdr:to>
        <xdr:pic>
          <xdr:nvPicPr>
            <xdr:cNvPr id="74" name="Picture 8888">
              <a:extLst>
                <a:ext uri="{FF2B5EF4-FFF2-40B4-BE49-F238E27FC236}">
                  <a16:creationId xmlns:a16="http://schemas.microsoft.com/office/drawing/2014/main" id="{00000000-0008-0000-0100-00004A000000}"/>
                </a:ext>
              </a:extLst>
            </xdr:cNvPr>
            <xdr:cNvPicPr>
              <a:picLocks noChangeAspect="1" noChangeArrowheads="1"/>
              <a:extLst>
                <a:ext uri="{84589F7E-364E-4C9E-8A38-B11213B215E9}">
                  <a14:cameraTool cellRange="PICTURE1" spid="_x0000_s705712"/>
                </a:ext>
              </a:extLst>
            </xdr:cNvPicPr>
          </xdr:nvPicPr>
          <xdr:blipFill>
            <a:blip xmlns:r="http://schemas.openxmlformats.org/officeDocument/2006/relationships" r:embed="rId1"/>
            <a:srcRect/>
            <a:stretch>
              <a:fillRect/>
            </a:stretch>
          </xdr:blipFill>
          <xdr:spPr bwMode="auto">
            <a:xfrm>
              <a:off x="438150" y="266700"/>
              <a:ext cx="8324850" cy="4162425"/>
            </a:xfrm>
            <a:prstGeom prst="rect">
              <a:avLst/>
            </a:prstGeom>
            <a:noFill/>
            <a:ln w="15875">
              <a:noFill/>
              <a:miter lim="800000"/>
              <a:headEnd/>
              <a:tailEnd/>
            </a:ln>
            <a:extLst>
              <a:ext uri="{909E8E84-426E-40DD-AFC4-6F175D3DCCD1}">
                <a14:hiddenFill>
                  <a:solidFill>
                    <a:srgbClr val="FFFFFF" mc:Ignorable="a14" a14:legacySpreadsheetColorIndex="65"/>
                  </a:solidFill>
                </a14:hiddenFill>
              </a:ext>
            </a:extLst>
          </xdr:spPr>
        </xdr:pic>
        <xdr:clientData/>
      </xdr:twoCellAnchor>
    </mc:Choice>
    <mc:Fallback/>
  </mc:AlternateContent>
  <xdr:twoCellAnchor>
    <xdr:from>
      <xdr:col>7</xdr:col>
      <xdr:colOff>729178</xdr:colOff>
      <xdr:row>9</xdr:row>
      <xdr:rowOff>129824</xdr:rowOff>
    </xdr:from>
    <xdr:to>
      <xdr:col>7</xdr:col>
      <xdr:colOff>1113111</xdr:colOff>
      <xdr:row>11</xdr:row>
      <xdr:rowOff>57149</xdr:rowOff>
    </xdr:to>
    <xdr:sp macro="" textlink="">
      <xdr:nvSpPr>
        <xdr:cNvPr id="76" name="Text Box 228">
          <a:extLst>
            <a:ext uri="{FF2B5EF4-FFF2-40B4-BE49-F238E27FC236}">
              <a16:creationId xmlns:a16="http://schemas.microsoft.com/office/drawing/2014/main" id="{00000000-0008-0000-0100-00004C000000}"/>
            </a:ext>
          </a:extLst>
        </xdr:cNvPr>
        <xdr:cNvSpPr txBox="1">
          <a:spLocks noChangeArrowheads="1"/>
        </xdr:cNvSpPr>
      </xdr:nvSpPr>
      <xdr:spPr bwMode="auto">
        <a:xfrm>
          <a:off x="7501453" y="1587149"/>
          <a:ext cx="383933" cy="251175"/>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100" b="0" i="0" strike="noStrike">
              <a:solidFill>
                <a:srgbClr val="000000"/>
              </a:solidFill>
              <a:latin typeface="Arial" pitchFamily="34" charset="0"/>
              <a:cs typeface="Arial" pitchFamily="34" charset="0"/>
            </a:rPr>
            <a:t>C</a:t>
          </a:r>
          <a:r>
            <a:rPr lang="en-US" sz="1100" b="0" i="0" strike="noStrike" baseline="-25000">
              <a:solidFill>
                <a:srgbClr val="000000"/>
              </a:solidFill>
              <a:latin typeface="Arial" pitchFamily="34" charset="0"/>
              <a:cs typeface="Arial" pitchFamily="34" charset="0"/>
            </a:rPr>
            <a:t>OUT</a:t>
          </a:r>
        </a:p>
      </xdr:txBody>
    </xdr:sp>
    <xdr:clientData/>
  </xdr:twoCellAnchor>
  <xdr:twoCellAnchor>
    <xdr:from>
      <xdr:col>6</xdr:col>
      <xdr:colOff>498382</xdr:colOff>
      <xdr:row>1</xdr:row>
      <xdr:rowOff>134816</xdr:rowOff>
    </xdr:from>
    <xdr:to>
      <xdr:col>6</xdr:col>
      <xdr:colOff>839848</xdr:colOff>
      <xdr:row>3</xdr:row>
      <xdr:rowOff>57150</xdr:rowOff>
    </xdr:to>
    <xdr:sp macro="" textlink="">
      <xdr:nvSpPr>
        <xdr:cNvPr id="83" name="Text Box 235">
          <a:extLst>
            <a:ext uri="{FF2B5EF4-FFF2-40B4-BE49-F238E27FC236}">
              <a16:creationId xmlns:a16="http://schemas.microsoft.com/office/drawing/2014/main" id="{00000000-0008-0000-0100-000053000000}"/>
            </a:ext>
          </a:extLst>
        </xdr:cNvPr>
        <xdr:cNvSpPr txBox="1">
          <a:spLocks noChangeArrowheads="1"/>
        </xdr:cNvSpPr>
      </xdr:nvSpPr>
      <xdr:spPr bwMode="auto">
        <a:xfrm>
          <a:off x="6194332" y="296741"/>
          <a:ext cx="341466" cy="246184"/>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100" b="0" i="0" strike="noStrike">
              <a:solidFill>
                <a:srgbClr val="000000"/>
              </a:solidFill>
              <a:latin typeface="Arial" pitchFamily="34" charset="0"/>
              <a:cs typeface="Arial" pitchFamily="34" charset="0"/>
            </a:rPr>
            <a:t>L</a:t>
          </a:r>
          <a:r>
            <a:rPr lang="en-US" sz="1100" b="0" i="0" strike="noStrike" baseline="-25000">
              <a:solidFill>
                <a:srgbClr val="000000"/>
              </a:solidFill>
              <a:latin typeface="Arial" pitchFamily="34" charset="0"/>
              <a:cs typeface="Arial" pitchFamily="34" charset="0"/>
            </a:rPr>
            <a:t>F</a:t>
          </a:r>
        </a:p>
      </xdr:txBody>
    </xdr:sp>
    <xdr:clientData/>
  </xdr:twoCellAnchor>
  <xdr:twoCellAnchor>
    <xdr:from>
      <xdr:col>2</xdr:col>
      <xdr:colOff>344625</xdr:colOff>
      <xdr:row>8</xdr:row>
      <xdr:rowOff>84572</xdr:rowOff>
    </xdr:from>
    <xdr:to>
      <xdr:col>2</xdr:col>
      <xdr:colOff>670796</xdr:colOff>
      <xdr:row>9</xdr:row>
      <xdr:rowOff>148893</xdr:rowOff>
    </xdr:to>
    <xdr:sp macro="" textlink="">
      <xdr:nvSpPr>
        <xdr:cNvPr id="84" name="Text Box 244">
          <a:extLst>
            <a:ext uri="{FF2B5EF4-FFF2-40B4-BE49-F238E27FC236}">
              <a16:creationId xmlns:a16="http://schemas.microsoft.com/office/drawing/2014/main" id="{00000000-0008-0000-0100-000054000000}"/>
            </a:ext>
          </a:extLst>
        </xdr:cNvPr>
        <xdr:cNvSpPr txBox="1">
          <a:spLocks noChangeArrowheads="1"/>
        </xdr:cNvSpPr>
      </xdr:nvSpPr>
      <xdr:spPr bwMode="auto">
        <a:xfrm>
          <a:off x="1744800" y="1379972"/>
          <a:ext cx="326171" cy="226246"/>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100" b="0" i="0" strike="noStrike">
              <a:solidFill>
                <a:srgbClr val="000000"/>
              </a:solidFill>
              <a:latin typeface="Arial" pitchFamily="34" charset="0"/>
              <a:cs typeface="Arial" pitchFamily="34" charset="0"/>
            </a:rPr>
            <a:t>C</a:t>
          </a:r>
          <a:r>
            <a:rPr lang="en-US" sz="1100" b="0" i="0" strike="noStrike" baseline="-25000">
              <a:solidFill>
                <a:srgbClr val="000000"/>
              </a:solidFill>
              <a:latin typeface="Arial" pitchFamily="34" charset="0"/>
              <a:cs typeface="Arial" pitchFamily="34" charset="0"/>
            </a:rPr>
            <a:t>IN</a:t>
          </a:r>
        </a:p>
      </xdr:txBody>
    </xdr:sp>
    <xdr:clientData/>
  </xdr:twoCellAnchor>
  <xdr:twoCellAnchor>
    <xdr:from>
      <xdr:col>6</xdr:col>
      <xdr:colOff>1021930</xdr:colOff>
      <xdr:row>16</xdr:row>
      <xdr:rowOff>26972</xdr:rowOff>
    </xdr:from>
    <xdr:to>
      <xdr:col>7</xdr:col>
      <xdr:colOff>461272</xdr:colOff>
      <xdr:row>17</xdr:row>
      <xdr:rowOff>71189</xdr:rowOff>
    </xdr:to>
    <xdr:sp macro="" textlink="'Variable Mgmt'!B251">
      <xdr:nvSpPr>
        <xdr:cNvPr id="86" name="Text Box 264">
          <a:extLst>
            <a:ext uri="{FF2B5EF4-FFF2-40B4-BE49-F238E27FC236}">
              <a16:creationId xmlns:a16="http://schemas.microsoft.com/office/drawing/2014/main" id="{00000000-0008-0000-0100-000056000000}"/>
            </a:ext>
          </a:extLst>
        </xdr:cNvPr>
        <xdr:cNvSpPr txBox="1">
          <a:spLocks noChangeArrowheads="1" noTextEdit="1"/>
        </xdr:cNvSpPr>
      </xdr:nvSpPr>
      <xdr:spPr bwMode="auto">
        <a:xfrm>
          <a:off x="6717880" y="2617772"/>
          <a:ext cx="515667" cy="206142"/>
        </a:xfrm>
        <a:prstGeom prst="rect">
          <a:avLst/>
        </a:prstGeom>
        <a:noFill/>
        <a:ln w="9525">
          <a:noFill/>
          <a:miter lim="800000"/>
          <a:headEnd/>
          <a:tailEnd/>
        </a:ln>
      </xdr:spPr>
      <xdr:txBody>
        <a:bodyPr vertOverflow="clip" wrap="square" lIns="27432" tIns="22860" rIns="0" bIns="0" anchor="ctr" upright="1"/>
        <a:lstStyle/>
        <a:p>
          <a:pPr algn="l" rtl="0">
            <a:defRPr sz="1000"/>
          </a:pPr>
          <a:fld id="{42B8C129-2A99-4A3F-A3AE-3915D9883C3D}" type="TxLink">
            <a:rPr lang="en-US" sz="1100" b="0" i="0" u="none" strike="noStrike" baseline="0">
              <a:solidFill>
                <a:srgbClr val="000000"/>
              </a:solidFill>
              <a:latin typeface="Arial"/>
              <a:cs typeface="Arial"/>
            </a:rPr>
            <a:pPr algn="l" rtl="0">
              <a:defRPr sz="1000"/>
            </a:pPr>
            <a:t> </a:t>
          </a:fld>
          <a:endParaRPr lang="el-GR" sz="1100" b="0" i="0" u="none" strike="noStrike" baseline="0">
            <a:solidFill>
              <a:srgbClr val="000000"/>
            </a:solidFill>
            <a:latin typeface="Arial" pitchFamily="34" charset="0"/>
            <a:cs typeface="Arial" pitchFamily="34" charset="0"/>
          </a:endParaRPr>
        </a:p>
      </xdr:txBody>
    </xdr:sp>
    <xdr:clientData/>
  </xdr:twoCellAnchor>
  <xdr:twoCellAnchor>
    <xdr:from>
      <xdr:col>3</xdr:col>
      <xdr:colOff>770628</xdr:colOff>
      <xdr:row>23</xdr:row>
      <xdr:rowOff>43960</xdr:rowOff>
    </xdr:from>
    <xdr:to>
      <xdr:col>3</xdr:col>
      <xdr:colOff>1284978</xdr:colOff>
      <xdr:row>24</xdr:row>
      <xdr:rowOff>98179</xdr:rowOff>
    </xdr:to>
    <xdr:sp macro="" textlink="'Variable Mgmt'!B255">
      <xdr:nvSpPr>
        <xdr:cNvPr id="89" name="Text Box 265">
          <a:extLst>
            <a:ext uri="{FF2B5EF4-FFF2-40B4-BE49-F238E27FC236}">
              <a16:creationId xmlns:a16="http://schemas.microsoft.com/office/drawing/2014/main" id="{00000000-0008-0000-0100-000059000000}"/>
            </a:ext>
          </a:extLst>
        </xdr:cNvPr>
        <xdr:cNvSpPr txBox="1">
          <a:spLocks noChangeArrowheads="1" noTextEdit="1"/>
        </xdr:cNvSpPr>
      </xdr:nvSpPr>
      <xdr:spPr bwMode="auto">
        <a:xfrm>
          <a:off x="3066153" y="3768235"/>
          <a:ext cx="514350" cy="216144"/>
        </a:xfrm>
        <a:prstGeom prst="rect">
          <a:avLst/>
        </a:prstGeom>
        <a:noFill/>
        <a:ln w="9525">
          <a:noFill/>
          <a:miter lim="800000"/>
          <a:headEnd/>
          <a:tailEnd/>
        </a:ln>
      </xdr:spPr>
      <xdr:txBody>
        <a:bodyPr vertOverflow="clip" wrap="square" lIns="27432" tIns="22860" rIns="0" bIns="0" anchor="t" upright="1"/>
        <a:lstStyle/>
        <a:p>
          <a:pPr algn="l" rtl="0">
            <a:defRPr sz="1000"/>
          </a:pPr>
          <a:fld id="{30247B59-D142-4194-9028-13C083D6194C}" type="TxLink">
            <a:rPr lang="en-US" sz="1100" b="0" i="0" u="none" strike="noStrike" baseline="0">
              <a:solidFill>
                <a:srgbClr val="000000"/>
              </a:solidFill>
              <a:latin typeface="Arialri"/>
              <a:cs typeface="Arial" pitchFamily="34" charset="0"/>
            </a:rPr>
            <a:pPr algn="l" rtl="0">
              <a:defRPr sz="1000"/>
            </a:pPr>
            <a:t>124kΩ</a:t>
          </a:fld>
          <a:endParaRPr lang="el-GR" sz="1100" b="0" i="0" u="none" strike="noStrike" baseline="0">
            <a:solidFill>
              <a:srgbClr val="000000"/>
            </a:solidFill>
            <a:latin typeface="Arial" pitchFamily="34" charset="0"/>
            <a:cs typeface="Arial" pitchFamily="34" charset="0"/>
          </a:endParaRPr>
        </a:p>
      </xdr:txBody>
    </xdr:sp>
    <xdr:clientData/>
  </xdr:twoCellAnchor>
  <xdr:twoCellAnchor>
    <xdr:from>
      <xdr:col>7</xdr:col>
      <xdr:colOff>748893</xdr:colOff>
      <xdr:row>11</xdr:row>
      <xdr:rowOff>69272</xdr:rowOff>
    </xdr:from>
    <xdr:to>
      <xdr:col>8</xdr:col>
      <xdr:colOff>40117</xdr:colOff>
      <xdr:row>12</xdr:row>
      <xdr:rowOff>103500</xdr:rowOff>
    </xdr:to>
    <xdr:sp macro="" textlink="'Variable Mgmt'!B240">
      <xdr:nvSpPr>
        <xdr:cNvPr id="90" name="Text Box 267">
          <a:extLst>
            <a:ext uri="{FF2B5EF4-FFF2-40B4-BE49-F238E27FC236}">
              <a16:creationId xmlns:a16="http://schemas.microsoft.com/office/drawing/2014/main" id="{00000000-0008-0000-0100-00005A000000}"/>
            </a:ext>
          </a:extLst>
        </xdr:cNvPr>
        <xdr:cNvSpPr txBox="1">
          <a:spLocks noChangeArrowheads="1" noTextEdit="1"/>
        </xdr:cNvSpPr>
      </xdr:nvSpPr>
      <xdr:spPr bwMode="auto">
        <a:xfrm>
          <a:off x="7521168" y="1850447"/>
          <a:ext cx="500899" cy="196153"/>
        </a:xfrm>
        <a:prstGeom prst="rect">
          <a:avLst/>
        </a:prstGeom>
        <a:noFill/>
        <a:ln w="9525">
          <a:noFill/>
          <a:miter lim="800000"/>
          <a:headEnd/>
          <a:tailEnd/>
        </a:ln>
      </xdr:spPr>
      <xdr:txBody>
        <a:bodyPr vertOverflow="clip" wrap="square" lIns="27432" tIns="22860" rIns="0" bIns="0" anchor="ctr" upright="1"/>
        <a:lstStyle/>
        <a:p>
          <a:pPr algn="l" rtl="0">
            <a:defRPr sz="1000"/>
          </a:pPr>
          <a:fld id="{DEF62FD0-959B-4627-B7E8-61CA1688D174}" type="TxLink">
            <a:rPr lang="en-US" sz="1100" b="0" i="0" u="none" strike="noStrike" baseline="0">
              <a:solidFill>
                <a:srgbClr val="000000"/>
              </a:solidFill>
              <a:latin typeface="Arial" pitchFamily="34" charset="0"/>
              <a:cs typeface="Arial" pitchFamily="34" charset="0"/>
            </a:rPr>
            <a:pPr algn="l" rtl="0">
              <a:defRPr sz="1000"/>
            </a:pPr>
            <a:t>100µF</a:t>
          </a:fld>
          <a:endParaRPr lang="en-US" sz="1100" b="0" i="0" u="none" strike="noStrike" baseline="0">
            <a:solidFill>
              <a:srgbClr val="000000"/>
            </a:solidFill>
            <a:latin typeface="Arial" pitchFamily="34" charset="0"/>
            <a:cs typeface="Arial" pitchFamily="34" charset="0"/>
          </a:endParaRPr>
        </a:p>
      </xdr:txBody>
    </xdr:sp>
    <xdr:clientData/>
  </xdr:twoCellAnchor>
  <xdr:twoCellAnchor>
    <xdr:from>
      <xdr:col>6</xdr:col>
      <xdr:colOff>986221</xdr:colOff>
      <xdr:row>11</xdr:row>
      <xdr:rowOff>13187</xdr:rowOff>
    </xdr:from>
    <xdr:to>
      <xdr:col>7</xdr:col>
      <xdr:colOff>430430</xdr:colOff>
      <xdr:row>12</xdr:row>
      <xdr:rowOff>83947</xdr:rowOff>
    </xdr:to>
    <xdr:sp macro="" textlink="'Variable Mgmt'!B250">
      <xdr:nvSpPr>
        <xdr:cNvPr id="91" name="Text Box 268">
          <a:extLst>
            <a:ext uri="{FF2B5EF4-FFF2-40B4-BE49-F238E27FC236}">
              <a16:creationId xmlns:a16="http://schemas.microsoft.com/office/drawing/2014/main" id="{00000000-0008-0000-0100-00005B000000}"/>
            </a:ext>
          </a:extLst>
        </xdr:cNvPr>
        <xdr:cNvSpPr txBox="1">
          <a:spLocks noChangeArrowheads="1" noTextEdit="1"/>
        </xdr:cNvSpPr>
      </xdr:nvSpPr>
      <xdr:spPr bwMode="auto">
        <a:xfrm>
          <a:off x="6682171" y="1794362"/>
          <a:ext cx="520534" cy="232685"/>
        </a:xfrm>
        <a:prstGeom prst="rect">
          <a:avLst/>
        </a:prstGeom>
        <a:noFill/>
        <a:ln w="9525">
          <a:noFill/>
          <a:miter lim="800000"/>
          <a:headEnd/>
          <a:tailEnd/>
        </a:ln>
      </xdr:spPr>
      <xdr:txBody>
        <a:bodyPr vertOverflow="clip" wrap="square" lIns="27432" tIns="22860" rIns="0" bIns="0" anchor="ctr" upright="1"/>
        <a:lstStyle/>
        <a:p>
          <a:pPr algn="l" rtl="0">
            <a:defRPr sz="1000"/>
          </a:pPr>
          <a:fld id="{6D872972-49D3-4BB2-A717-3389B9B885D8}" type="TxLink">
            <a:rPr lang="en-US" sz="1100" b="0" i="0" u="none" strike="noStrike">
              <a:solidFill>
                <a:srgbClr val="000000"/>
              </a:solidFill>
              <a:latin typeface="Arial"/>
              <a:cs typeface="Arial"/>
            </a:rPr>
            <a:pPr algn="l" rtl="0">
              <a:defRPr sz="1000"/>
            </a:pPr>
            <a:t> </a:t>
          </a:fld>
          <a:endParaRPr lang="el-GR" sz="1100" b="0" i="0" strike="noStrike">
            <a:solidFill>
              <a:srgbClr val="000000"/>
            </a:solidFill>
            <a:latin typeface="Arial" pitchFamily="34" charset="0"/>
            <a:cs typeface="Arial" pitchFamily="34" charset="0"/>
          </a:endParaRPr>
        </a:p>
      </xdr:txBody>
    </xdr:sp>
    <xdr:clientData/>
  </xdr:twoCellAnchor>
  <xdr:twoCellAnchor>
    <xdr:from>
      <xdr:col>6</xdr:col>
      <xdr:colOff>475518</xdr:colOff>
      <xdr:row>3</xdr:row>
      <xdr:rowOff>22687</xdr:rowOff>
    </xdr:from>
    <xdr:to>
      <xdr:col>6</xdr:col>
      <xdr:colOff>925928</xdr:colOff>
      <xdr:row>4</xdr:row>
      <xdr:rowOff>88904</xdr:rowOff>
    </xdr:to>
    <xdr:sp macro="" textlink="'Variable Mgmt'!B230">
      <xdr:nvSpPr>
        <xdr:cNvPr id="102" name="Text Box 275">
          <a:extLst>
            <a:ext uri="{FF2B5EF4-FFF2-40B4-BE49-F238E27FC236}">
              <a16:creationId xmlns:a16="http://schemas.microsoft.com/office/drawing/2014/main" id="{00000000-0008-0000-0100-000066000000}"/>
            </a:ext>
          </a:extLst>
        </xdr:cNvPr>
        <xdr:cNvSpPr txBox="1">
          <a:spLocks noChangeArrowheads="1" noTextEdit="1"/>
        </xdr:cNvSpPr>
      </xdr:nvSpPr>
      <xdr:spPr bwMode="auto">
        <a:xfrm>
          <a:off x="6171468" y="508462"/>
          <a:ext cx="450410" cy="228142"/>
        </a:xfrm>
        <a:prstGeom prst="rect">
          <a:avLst/>
        </a:prstGeom>
        <a:noFill/>
        <a:ln w="9525">
          <a:noFill/>
          <a:miter lim="800000"/>
          <a:headEnd/>
          <a:tailEnd/>
        </a:ln>
      </xdr:spPr>
      <xdr:txBody>
        <a:bodyPr vertOverflow="clip" wrap="square" lIns="27432" tIns="22860" rIns="0" bIns="0" anchor="ctr" upright="1"/>
        <a:lstStyle/>
        <a:p>
          <a:pPr algn="ctr" rtl="0">
            <a:defRPr sz="1000"/>
          </a:pPr>
          <a:fld id="{08583DE7-3129-476B-98BE-2887A134E956}" type="TxLink">
            <a:rPr lang="en-US" sz="1100" b="0" i="0" u="none" strike="noStrike" baseline="0">
              <a:solidFill>
                <a:srgbClr val="000000"/>
              </a:solidFill>
              <a:latin typeface="Arial" pitchFamily="34" charset="0"/>
              <a:cs typeface="Arial" pitchFamily="34" charset="0"/>
            </a:rPr>
            <a:pPr algn="ctr" rtl="0">
              <a:defRPr sz="1000"/>
            </a:pPr>
            <a:t>220µH</a:t>
          </a:fld>
          <a:endParaRPr lang="en-US" sz="1100" b="0" i="0" u="none" strike="noStrike" baseline="0">
            <a:solidFill>
              <a:srgbClr val="000000"/>
            </a:solidFill>
            <a:latin typeface="Arial" pitchFamily="34" charset="0"/>
            <a:cs typeface="Arial" pitchFamily="34" charset="0"/>
          </a:endParaRPr>
        </a:p>
      </xdr:txBody>
    </xdr:sp>
    <xdr:clientData/>
  </xdr:twoCellAnchor>
  <xdr:twoCellAnchor>
    <xdr:from>
      <xdr:col>2</xdr:col>
      <xdr:colOff>310861</xdr:colOff>
      <xdr:row>9</xdr:row>
      <xdr:rowOff>149657</xdr:rowOff>
    </xdr:from>
    <xdr:to>
      <xdr:col>2</xdr:col>
      <xdr:colOff>783941</xdr:colOff>
      <xdr:row>11</xdr:row>
      <xdr:rowOff>23878</xdr:rowOff>
    </xdr:to>
    <xdr:sp macro="" textlink="'Variable Mgmt'!B244">
      <xdr:nvSpPr>
        <xdr:cNvPr id="106" name="Text Box 276">
          <a:extLst>
            <a:ext uri="{FF2B5EF4-FFF2-40B4-BE49-F238E27FC236}">
              <a16:creationId xmlns:a16="http://schemas.microsoft.com/office/drawing/2014/main" id="{00000000-0008-0000-0100-00006A000000}"/>
            </a:ext>
          </a:extLst>
        </xdr:cNvPr>
        <xdr:cNvSpPr txBox="1">
          <a:spLocks noChangeArrowheads="1" noTextEdit="1"/>
        </xdr:cNvSpPr>
      </xdr:nvSpPr>
      <xdr:spPr bwMode="auto">
        <a:xfrm>
          <a:off x="1711036" y="1606982"/>
          <a:ext cx="473080" cy="198071"/>
        </a:xfrm>
        <a:prstGeom prst="rect">
          <a:avLst/>
        </a:prstGeom>
        <a:noFill/>
        <a:ln w="9525">
          <a:noFill/>
          <a:miter lim="800000"/>
          <a:headEnd/>
          <a:tailEnd/>
        </a:ln>
      </xdr:spPr>
      <xdr:txBody>
        <a:bodyPr vertOverflow="clip" wrap="square" lIns="27432" tIns="22860" rIns="0" bIns="0" anchor="ctr" upright="1"/>
        <a:lstStyle/>
        <a:p>
          <a:pPr algn="l" rtl="0">
            <a:defRPr sz="1000"/>
          </a:pPr>
          <a:fld id="{7E8F3901-1453-4951-8E28-510E65401D4C}" type="TxLink">
            <a:rPr lang="en-US" sz="1100" b="0" i="0" u="none" strike="noStrike" baseline="0">
              <a:solidFill>
                <a:srgbClr val="000000"/>
              </a:solidFill>
              <a:latin typeface="Arial" pitchFamily="34" charset="0"/>
              <a:cs typeface="Arial" pitchFamily="34" charset="0"/>
            </a:rPr>
            <a:pPr algn="l" rtl="0">
              <a:defRPr sz="1000"/>
            </a:pPr>
            <a:t>4.7µF</a:t>
          </a:fld>
          <a:endParaRPr lang="en-US" sz="1100" b="0" i="0" u="none" strike="noStrike" baseline="0">
            <a:solidFill>
              <a:srgbClr val="000000"/>
            </a:solidFill>
            <a:latin typeface="Arial" pitchFamily="34" charset="0"/>
            <a:cs typeface="Arial" pitchFamily="34" charset="0"/>
          </a:endParaRPr>
        </a:p>
      </xdr:txBody>
    </xdr:sp>
    <xdr:clientData/>
  </xdr:twoCellAnchor>
  <xdr:twoCellAnchor>
    <xdr:from>
      <xdr:col>3</xdr:col>
      <xdr:colOff>469681</xdr:colOff>
      <xdr:row>18</xdr:row>
      <xdr:rowOff>89629</xdr:rowOff>
    </xdr:from>
    <xdr:to>
      <xdr:col>3</xdr:col>
      <xdr:colOff>910319</xdr:colOff>
      <xdr:row>20</xdr:row>
      <xdr:rowOff>1871</xdr:rowOff>
    </xdr:to>
    <xdr:sp macro="" textlink="'Variable Mgmt'!D267">
      <xdr:nvSpPr>
        <xdr:cNvPr id="107" name="Text Box 281">
          <a:extLst>
            <a:ext uri="{FF2B5EF4-FFF2-40B4-BE49-F238E27FC236}">
              <a16:creationId xmlns:a16="http://schemas.microsoft.com/office/drawing/2014/main" id="{00000000-0008-0000-0100-00006B000000}"/>
            </a:ext>
          </a:extLst>
        </xdr:cNvPr>
        <xdr:cNvSpPr txBox="1">
          <a:spLocks noChangeArrowheads="1" noTextEdit="1"/>
        </xdr:cNvSpPr>
      </xdr:nvSpPr>
      <xdr:spPr bwMode="auto">
        <a:xfrm>
          <a:off x="2765206" y="3004279"/>
          <a:ext cx="440638" cy="236092"/>
        </a:xfrm>
        <a:prstGeom prst="rect">
          <a:avLst/>
        </a:prstGeom>
        <a:noFill/>
        <a:ln w="9525">
          <a:noFill/>
          <a:miter lim="800000"/>
          <a:headEnd/>
          <a:tailEnd/>
        </a:ln>
      </xdr:spPr>
      <xdr:txBody>
        <a:bodyPr vertOverflow="clip" wrap="square" lIns="27432" tIns="22860" rIns="0" bIns="0" anchor="ctr" upright="1"/>
        <a:lstStyle/>
        <a:p>
          <a:pPr algn="l" rtl="0">
            <a:defRPr sz="1000"/>
          </a:pPr>
          <a:fld id="{F2115F91-8BFD-4C9B-9969-8B2C04ADF4C5}" type="TxLink">
            <a:rPr lang="en-US" sz="1050" b="0" i="0" u="none" strike="noStrike">
              <a:solidFill>
                <a:srgbClr val="000000"/>
              </a:solidFill>
              <a:latin typeface="Arial"/>
              <a:cs typeface="Arial"/>
            </a:rPr>
            <a:pPr algn="l" rtl="0">
              <a:defRPr sz="1000"/>
            </a:pPr>
            <a:t>47nF</a:t>
          </a:fld>
          <a:endParaRPr lang="en-US" sz="1050" b="0" i="0" strike="noStrike">
            <a:solidFill>
              <a:srgbClr val="000000"/>
            </a:solidFill>
            <a:latin typeface="Arial" pitchFamily="34" charset="0"/>
            <a:cs typeface="Arial" pitchFamily="34" charset="0"/>
          </a:endParaRPr>
        </a:p>
      </xdr:txBody>
    </xdr:sp>
    <xdr:clientData/>
  </xdr:twoCellAnchor>
  <xdr:twoCellAnchor>
    <xdr:from>
      <xdr:col>0</xdr:col>
      <xdr:colOff>489180</xdr:colOff>
      <xdr:row>4</xdr:row>
      <xdr:rowOff>103606</xdr:rowOff>
    </xdr:from>
    <xdr:to>
      <xdr:col>1</xdr:col>
      <xdr:colOff>399262</xdr:colOff>
      <xdr:row>6</xdr:row>
      <xdr:rowOff>9524</xdr:rowOff>
    </xdr:to>
    <xdr:sp macro="" textlink="'Variable Mgmt'!B235">
      <xdr:nvSpPr>
        <xdr:cNvPr id="108" name="Text Box 283">
          <a:extLst>
            <a:ext uri="{FF2B5EF4-FFF2-40B4-BE49-F238E27FC236}">
              <a16:creationId xmlns:a16="http://schemas.microsoft.com/office/drawing/2014/main" id="{00000000-0008-0000-0100-00006C000000}"/>
            </a:ext>
          </a:extLst>
        </xdr:cNvPr>
        <xdr:cNvSpPr txBox="1">
          <a:spLocks noChangeArrowheads="1" noTextEdit="1"/>
        </xdr:cNvSpPr>
      </xdr:nvSpPr>
      <xdr:spPr bwMode="auto">
        <a:xfrm>
          <a:off x="489180" y="751306"/>
          <a:ext cx="548257" cy="229768"/>
        </a:xfrm>
        <a:prstGeom prst="rect">
          <a:avLst/>
        </a:prstGeom>
        <a:noFill/>
        <a:ln w="9525">
          <a:noFill/>
          <a:miter lim="800000"/>
          <a:headEnd/>
          <a:tailEnd/>
        </a:ln>
      </xdr:spPr>
      <xdr:txBody>
        <a:bodyPr vertOverflow="clip" wrap="square" lIns="27432" tIns="22860" rIns="0" bIns="0" anchor="ctr" upright="1"/>
        <a:lstStyle/>
        <a:p>
          <a:pPr algn="r" rtl="0">
            <a:defRPr sz="1000"/>
          </a:pPr>
          <a:fld id="{211B0151-B00E-493E-8C8F-6E492416D93B}" type="TxLink">
            <a:rPr lang="en-US" sz="1400" b="1" i="0" u="none" strike="noStrike">
              <a:solidFill>
                <a:srgbClr val="FF0000"/>
              </a:solidFill>
              <a:latin typeface="Arial" pitchFamily="34" charset="0"/>
              <a:cs typeface="Arial" pitchFamily="34" charset="0"/>
            </a:rPr>
            <a:pPr algn="r" rtl="0">
              <a:defRPr sz="1000"/>
            </a:pPr>
            <a:t>43V</a:t>
          </a:fld>
          <a:endParaRPr lang="en-US" sz="1400" b="1" i="0" strike="noStrike">
            <a:solidFill>
              <a:srgbClr val="FF0000"/>
            </a:solidFill>
            <a:latin typeface="Arial" pitchFamily="34" charset="0"/>
            <a:cs typeface="Arial" pitchFamily="34" charset="0"/>
          </a:endParaRPr>
        </a:p>
      </xdr:txBody>
    </xdr:sp>
    <xdr:clientData/>
  </xdr:twoCellAnchor>
  <xdr:twoCellAnchor>
    <xdr:from>
      <xdr:col>7</xdr:col>
      <xdr:colOff>1174698</xdr:colOff>
      <xdr:row>4</xdr:row>
      <xdr:rowOff>105507</xdr:rowOff>
    </xdr:from>
    <xdr:to>
      <xdr:col>8</xdr:col>
      <xdr:colOff>537632</xdr:colOff>
      <xdr:row>6</xdr:row>
      <xdr:rowOff>23447</xdr:rowOff>
    </xdr:to>
    <xdr:sp macro="" textlink="'Variable Mgmt'!B238">
      <xdr:nvSpPr>
        <xdr:cNvPr id="109" name="Text Box 285">
          <a:extLst>
            <a:ext uri="{FF2B5EF4-FFF2-40B4-BE49-F238E27FC236}">
              <a16:creationId xmlns:a16="http://schemas.microsoft.com/office/drawing/2014/main" id="{00000000-0008-0000-0100-00006D000000}"/>
            </a:ext>
          </a:extLst>
        </xdr:cNvPr>
        <xdr:cNvSpPr txBox="1">
          <a:spLocks noChangeArrowheads="1" noTextEdit="1"/>
        </xdr:cNvSpPr>
      </xdr:nvSpPr>
      <xdr:spPr bwMode="auto">
        <a:xfrm>
          <a:off x="7946973" y="753207"/>
          <a:ext cx="572609" cy="241790"/>
        </a:xfrm>
        <a:prstGeom prst="rect">
          <a:avLst/>
        </a:prstGeom>
        <a:noFill/>
        <a:ln w="9525">
          <a:noFill/>
          <a:miter lim="800000"/>
          <a:headEnd/>
          <a:tailEnd/>
        </a:ln>
      </xdr:spPr>
      <xdr:txBody>
        <a:bodyPr vertOverflow="clip" wrap="square" lIns="27432" tIns="22860" rIns="0" bIns="0" anchor="ctr" upright="1"/>
        <a:lstStyle/>
        <a:p>
          <a:pPr algn="l" rtl="0">
            <a:defRPr sz="1000"/>
          </a:pPr>
          <a:fld id="{702C2B8A-7C4B-4FDB-B229-3170089D9686}" type="TxLink">
            <a:rPr lang="en-US" sz="1400" b="1" i="0" u="none" strike="noStrike" baseline="0">
              <a:solidFill>
                <a:srgbClr val="FF0000"/>
              </a:solidFill>
              <a:latin typeface="Arial" pitchFamily="34" charset="0"/>
              <a:cs typeface="Arial" pitchFamily="34" charset="0"/>
            </a:rPr>
            <a:pPr algn="l" rtl="0">
              <a:defRPr sz="1000"/>
            </a:pPr>
            <a:t>5V</a:t>
          </a:fld>
          <a:endParaRPr lang="en-US" sz="1400" b="1" i="0" u="none" strike="noStrike" baseline="0">
            <a:solidFill>
              <a:srgbClr val="FF0000"/>
            </a:solidFill>
            <a:latin typeface="Arial" pitchFamily="34" charset="0"/>
            <a:cs typeface="Arial" pitchFamily="34" charset="0"/>
          </a:endParaRPr>
        </a:p>
      </xdr:txBody>
    </xdr:sp>
    <xdr:clientData/>
  </xdr:twoCellAnchor>
  <xdr:twoCellAnchor>
    <xdr:from>
      <xdr:col>7</xdr:col>
      <xdr:colOff>1023407</xdr:colOff>
      <xdr:row>5</xdr:row>
      <xdr:rowOff>160236</xdr:rowOff>
    </xdr:from>
    <xdr:to>
      <xdr:col>8</xdr:col>
      <xdr:colOff>566207</xdr:colOff>
      <xdr:row>7</xdr:row>
      <xdr:rowOff>104774</xdr:rowOff>
    </xdr:to>
    <xdr:sp macro="" textlink="'Variable Mgmt'!B283">
      <xdr:nvSpPr>
        <xdr:cNvPr id="110" name="Text Box 286">
          <a:extLst>
            <a:ext uri="{FF2B5EF4-FFF2-40B4-BE49-F238E27FC236}">
              <a16:creationId xmlns:a16="http://schemas.microsoft.com/office/drawing/2014/main" id="{00000000-0008-0000-0100-00006E000000}"/>
            </a:ext>
          </a:extLst>
        </xdr:cNvPr>
        <xdr:cNvSpPr txBox="1">
          <a:spLocks noChangeArrowheads="1" noTextEdit="1"/>
        </xdr:cNvSpPr>
      </xdr:nvSpPr>
      <xdr:spPr bwMode="auto">
        <a:xfrm>
          <a:off x="7795682" y="969861"/>
          <a:ext cx="752475" cy="268388"/>
        </a:xfrm>
        <a:prstGeom prst="rect">
          <a:avLst/>
        </a:prstGeom>
        <a:noFill/>
        <a:ln w="9525">
          <a:noFill/>
          <a:miter lim="800000"/>
          <a:headEnd/>
          <a:tailEnd/>
        </a:ln>
      </xdr:spPr>
      <xdr:txBody>
        <a:bodyPr vertOverflow="clip" wrap="square" lIns="27432" tIns="22860" rIns="0" bIns="0" anchor="ctr" upright="1"/>
        <a:lstStyle/>
        <a:p>
          <a:pPr algn="ctr" rtl="0">
            <a:defRPr sz="1000"/>
          </a:pPr>
          <a:fld id="{E0FB88FA-F39E-4ACF-AB5E-DCB628763AAE}" type="TxLink">
            <a:rPr lang="en-US" sz="1350" b="1" i="0" u="none" strike="noStrike">
              <a:solidFill>
                <a:srgbClr val="FF0000"/>
              </a:solidFill>
              <a:latin typeface="Arial" pitchFamily="34" charset="0"/>
              <a:cs typeface="Arial" pitchFamily="34" charset="0"/>
            </a:rPr>
            <a:pPr algn="ctr" rtl="0">
              <a:defRPr sz="1000"/>
            </a:pPr>
            <a:t>150mA</a:t>
          </a:fld>
          <a:endParaRPr lang="en-US" sz="1350" b="1" i="0" strike="noStrike">
            <a:solidFill>
              <a:srgbClr val="FF0000"/>
            </a:solidFill>
            <a:latin typeface="Arial" pitchFamily="34" charset="0"/>
            <a:cs typeface="Arial" pitchFamily="34" charset="0"/>
          </a:endParaRPr>
        </a:p>
      </xdr:txBody>
    </xdr:sp>
    <xdr:clientData/>
  </xdr:twoCellAnchor>
  <xdr:twoCellAnchor>
    <xdr:from>
      <xdr:col>3</xdr:col>
      <xdr:colOff>50710</xdr:colOff>
      <xdr:row>7</xdr:row>
      <xdr:rowOff>59064</xdr:rowOff>
    </xdr:from>
    <xdr:to>
      <xdr:col>3</xdr:col>
      <xdr:colOff>572677</xdr:colOff>
      <xdr:row>8</xdr:row>
      <xdr:rowOff>123825</xdr:rowOff>
    </xdr:to>
    <xdr:sp macro="" textlink="'Variable Mgmt'!C262">
      <xdr:nvSpPr>
        <xdr:cNvPr id="111" name="Text Box 268">
          <a:extLst>
            <a:ext uri="{FF2B5EF4-FFF2-40B4-BE49-F238E27FC236}">
              <a16:creationId xmlns:a16="http://schemas.microsoft.com/office/drawing/2014/main" id="{00000000-0008-0000-0100-00006F000000}"/>
            </a:ext>
          </a:extLst>
        </xdr:cNvPr>
        <xdr:cNvSpPr txBox="1">
          <a:spLocks noChangeArrowheads="1" noTextEdit="1"/>
        </xdr:cNvSpPr>
      </xdr:nvSpPr>
      <xdr:spPr bwMode="auto">
        <a:xfrm>
          <a:off x="2346235" y="1192539"/>
          <a:ext cx="521967" cy="226686"/>
        </a:xfrm>
        <a:prstGeom prst="rect">
          <a:avLst/>
        </a:prstGeom>
        <a:noFill/>
        <a:ln w="9525">
          <a:noFill/>
          <a:miter lim="800000"/>
          <a:headEnd/>
          <a:tailEnd/>
        </a:ln>
      </xdr:spPr>
      <xdr:txBody>
        <a:bodyPr vertOverflow="clip" wrap="square" lIns="27432" tIns="22860" rIns="0" bIns="0" anchor="ctr" upright="1"/>
        <a:lstStyle/>
        <a:p>
          <a:pPr algn="l" rtl="0">
            <a:defRPr sz="1000"/>
          </a:pPr>
          <a:fld id="{9F0ED324-D4DC-458E-AFDF-B2BC6995B894}" type="TxLink">
            <a:rPr lang="en-US" sz="1100" b="0" i="0" u="none" strike="noStrike">
              <a:solidFill>
                <a:srgbClr val="000000"/>
              </a:solidFill>
              <a:latin typeface="Arial"/>
              <a:cs typeface="Arial"/>
            </a:rPr>
            <a:pPr algn="l" rtl="0">
              <a:defRPr sz="1000"/>
            </a:pPr>
            <a:t> </a:t>
          </a:fld>
          <a:endParaRPr lang="el-GR" sz="1100" b="0" i="0" strike="noStrike">
            <a:solidFill>
              <a:srgbClr val="000000"/>
            </a:solidFill>
            <a:latin typeface="Arial" pitchFamily="34" charset="0"/>
            <a:cs typeface="Arial" pitchFamily="34" charset="0"/>
          </a:endParaRPr>
        </a:p>
      </xdr:txBody>
    </xdr:sp>
    <xdr:clientData/>
  </xdr:twoCellAnchor>
  <xdr:twoCellAnchor>
    <xdr:from>
      <xdr:col>3</xdr:col>
      <xdr:colOff>50710</xdr:colOff>
      <xdr:row>11</xdr:row>
      <xdr:rowOff>45124</xdr:rowOff>
    </xdr:from>
    <xdr:to>
      <xdr:col>3</xdr:col>
      <xdr:colOff>572677</xdr:colOff>
      <xdr:row>12</xdr:row>
      <xdr:rowOff>114299</xdr:rowOff>
    </xdr:to>
    <xdr:sp macro="" textlink="'Variable Mgmt'!C263">
      <xdr:nvSpPr>
        <xdr:cNvPr id="112" name="Text Box 268">
          <a:extLst>
            <a:ext uri="{FF2B5EF4-FFF2-40B4-BE49-F238E27FC236}">
              <a16:creationId xmlns:a16="http://schemas.microsoft.com/office/drawing/2014/main" id="{00000000-0008-0000-0100-000070000000}"/>
            </a:ext>
          </a:extLst>
        </xdr:cNvPr>
        <xdr:cNvSpPr txBox="1">
          <a:spLocks noChangeArrowheads="1" noTextEdit="1"/>
        </xdr:cNvSpPr>
      </xdr:nvSpPr>
      <xdr:spPr bwMode="auto">
        <a:xfrm>
          <a:off x="2346235" y="1826299"/>
          <a:ext cx="521967" cy="231100"/>
        </a:xfrm>
        <a:prstGeom prst="rect">
          <a:avLst/>
        </a:prstGeom>
        <a:noFill/>
        <a:ln w="9525">
          <a:noFill/>
          <a:miter lim="800000"/>
          <a:headEnd/>
          <a:tailEnd/>
        </a:ln>
      </xdr:spPr>
      <xdr:txBody>
        <a:bodyPr vertOverflow="clip" wrap="square" lIns="27432" tIns="22860" rIns="0" bIns="0" anchor="ctr" upright="1"/>
        <a:lstStyle/>
        <a:p>
          <a:pPr algn="l" rtl="0">
            <a:defRPr sz="1000"/>
          </a:pPr>
          <a:fld id="{34FF5C9F-E605-45FC-B7D1-F0CC0D61FE72}" type="TxLink">
            <a:rPr lang="en-US" sz="1100" b="0" i="0" u="none" strike="noStrike">
              <a:solidFill>
                <a:srgbClr val="000000"/>
              </a:solidFill>
              <a:latin typeface="Arial"/>
              <a:cs typeface="Arial"/>
            </a:rPr>
            <a:pPr algn="l" rtl="0">
              <a:defRPr sz="1000"/>
            </a:pPr>
            <a:t> </a:t>
          </a:fld>
          <a:endParaRPr lang="el-GR" sz="1100" b="0" i="0" strike="noStrike">
            <a:solidFill>
              <a:srgbClr val="000000"/>
            </a:solidFill>
            <a:latin typeface="Arial" pitchFamily="34" charset="0"/>
            <a:cs typeface="Arial" pitchFamily="34" charset="0"/>
          </a:endParaRPr>
        </a:p>
      </xdr:txBody>
    </xdr:sp>
    <xdr:clientData/>
  </xdr:twoCellAnchor>
  <xdr:twoCellAnchor>
    <xdr:from>
      <xdr:col>3</xdr:col>
      <xdr:colOff>50710</xdr:colOff>
      <xdr:row>14</xdr:row>
      <xdr:rowOff>133014</xdr:rowOff>
    </xdr:from>
    <xdr:to>
      <xdr:col>3</xdr:col>
      <xdr:colOff>572677</xdr:colOff>
      <xdr:row>16</xdr:row>
      <xdr:rowOff>69605</xdr:rowOff>
    </xdr:to>
    <xdr:sp macro="" textlink="'Variable Mgmt'!C264">
      <xdr:nvSpPr>
        <xdr:cNvPr id="113" name="Text Box 268">
          <a:extLst>
            <a:ext uri="{FF2B5EF4-FFF2-40B4-BE49-F238E27FC236}">
              <a16:creationId xmlns:a16="http://schemas.microsoft.com/office/drawing/2014/main" id="{00000000-0008-0000-0100-000071000000}"/>
            </a:ext>
          </a:extLst>
        </xdr:cNvPr>
        <xdr:cNvSpPr txBox="1">
          <a:spLocks noChangeArrowheads="1" noTextEdit="1"/>
        </xdr:cNvSpPr>
      </xdr:nvSpPr>
      <xdr:spPr bwMode="auto">
        <a:xfrm>
          <a:off x="2346235" y="2399964"/>
          <a:ext cx="521967" cy="260441"/>
        </a:xfrm>
        <a:prstGeom prst="rect">
          <a:avLst/>
        </a:prstGeom>
        <a:noFill/>
        <a:ln w="9525">
          <a:noFill/>
          <a:miter lim="800000"/>
          <a:headEnd/>
          <a:tailEnd/>
        </a:ln>
      </xdr:spPr>
      <xdr:txBody>
        <a:bodyPr vertOverflow="clip" wrap="square" lIns="27432" tIns="22860" rIns="0" bIns="0" anchor="ctr" upright="1"/>
        <a:lstStyle/>
        <a:p>
          <a:pPr algn="l" rtl="0">
            <a:defRPr sz="1000"/>
          </a:pPr>
          <a:fld id="{CEE4656F-B1E1-4EA7-855C-42F20649C38D}" type="TxLink">
            <a:rPr lang="en-US" sz="1100" b="0" i="0" u="none" strike="noStrike">
              <a:solidFill>
                <a:srgbClr val="000000"/>
              </a:solidFill>
              <a:latin typeface="Arial"/>
              <a:cs typeface="Arial"/>
            </a:rPr>
            <a:pPr algn="l" rtl="0">
              <a:defRPr sz="1000"/>
            </a:pPr>
            <a:t> </a:t>
          </a:fld>
          <a:endParaRPr lang="el-GR" sz="1100" b="0" i="0" strike="noStrike">
            <a:solidFill>
              <a:srgbClr val="000000"/>
            </a:solidFill>
            <a:latin typeface="Arial" pitchFamily="34" charset="0"/>
            <a:cs typeface="Arial" pitchFamily="34" charset="0"/>
          </a:endParaRPr>
        </a:p>
      </xdr:txBody>
    </xdr:sp>
    <xdr:clientData/>
  </xdr:twoCellAnchor>
  <xdr:twoCellAnchor>
    <xdr:from>
      <xdr:col>6</xdr:col>
      <xdr:colOff>396219</xdr:colOff>
      <xdr:row>18</xdr:row>
      <xdr:rowOff>55126</xdr:rowOff>
    </xdr:from>
    <xdr:to>
      <xdr:col>6</xdr:col>
      <xdr:colOff>909837</xdr:colOff>
      <xdr:row>19</xdr:row>
      <xdr:rowOff>121626</xdr:rowOff>
    </xdr:to>
    <xdr:sp macro="" textlink="'Variable Mgmt'!B271">
      <xdr:nvSpPr>
        <xdr:cNvPr id="114" name="Text Box 265">
          <a:extLst>
            <a:ext uri="{FF2B5EF4-FFF2-40B4-BE49-F238E27FC236}">
              <a16:creationId xmlns:a16="http://schemas.microsoft.com/office/drawing/2014/main" id="{00000000-0008-0000-0100-000072000000}"/>
            </a:ext>
          </a:extLst>
        </xdr:cNvPr>
        <xdr:cNvSpPr txBox="1">
          <a:spLocks noChangeArrowheads="1" noTextEdit="1"/>
        </xdr:cNvSpPr>
      </xdr:nvSpPr>
      <xdr:spPr bwMode="auto">
        <a:xfrm>
          <a:off x="6092169" y="2969776"/>
          <a:ext cx="513618" cy="228425"/>
        </a:xfrm>
        <a:prstGeom prst="rect">
          <a:avLst/>
        </a:prstGeom>
        <a:noFill/>
        <a:ln w="9525">
          <a:noFill/>
          <a:miter lim="800000"/>
          <a:headEnd/>
          <a:tailEnd/>
        </a:ln>
      </xdr:spPr>
      <xdr:txBody>
        <a:bodyPr vertOverflow="clip" wrap="square" lIns="27432" tIns="22860" rIns="0" bIns="0" anchor="t" upright="1"/>
        <a:lstStyle/>
        <a:p>
          <a:pPr algn="ctr" rtl="0">
            <a:defRPr sz="1000"/>
          </a:pPr>
          <a:fld id="{EB97343E-37DA-47FD-AA00-D13D24E415DA}" type="TxLink">
            <a:rPr lang="en-US" sz="1050" b="0" i="0" u="none" strike="noStrike" baseline="0">
              <a:solidFill>
                <a:srgbClr val="000000"/>
              </a:solidFill>
              <a:latin typeface="Arial"/>
              <a:cs typeface="Arial"/>
            </a:rPr>
            <a:pPr algn="ctr" rtl="0">
              <a:defRPr sz="1000"/>
            </a:pPr>
            <a:t> </a:t>
          </a:fld>
          <a:endParaRPr lang="el-GR" sz="1050" b="0" i="0" u="none" strike="noStrike" baseline="0">
            <a:solidFill>
              <a:srgbClr val="000000"/>
            </a:solidFill>
            <a:latin typeface="Arial" pitchFamily="34" charset="0"/>
            <a:cs typeface="Arial" pitchFamily="34" charset="0"/>
          </a:endParaRPr>
        </a:p>
      </xdr:txBody>
    </xdr:sp>
    <xdr:clientData/>
  </xdr:twoCellAnchor>
  <xdr:twoCellAnchor>
    <xdr:from>
      <xdr:col>0</xdr:col>
      <xdr:colOff>511897</xdr:colOff>
      <xdr:row>6</xdr:row>
      <xdr:rowOff>101916</xdr:rowOff>
    </xdr:from>
    <xdr:to>
      <xdr:col>1</xdr:col>
      <xdr:colOff>670981</xdr:colOff>
      <xdr:row>8</xdr:row>
      <xdr:rowOff>38099</xdr:rowOff>
    </xdr:to>
    <xdr:sp macro="" textlink="'Variable Mgmt'!B236">
      <xdr:nvSpPr>
        <xdr:cNvPr id="115" name="Text Box 283">
          <a:extLst>
            <a:ext uri="{FF2B5EF4-FFF2-40B4-BE49-F238E27FC236}">
              <a16:creationId xmlns:a16="http://schemas.microsoft.com/office/drawing/2014/main" id="{00000000-0008-0000-0100-000073000000}"/>
            </a:ext>
          </a:extLst>
        </xdr:cNvPr>
        <xdr:cNvSpPr txBox="1">
          <a:spLocks noChangeArrowheads="1" noTextEdit="1"/>
        </xdr:cNvSpPr>
      </xdr:nvSpPr>
      <xdr:spPr bwMode="auto">
        <a:xfrm>
          <a:off x="511897" y="1073466"/>
          <a:ext cx="797259" cy="260033"/>
        </a:xfrm>
        <a:prstGeom prst="rect">
          <a:avLst/>
        </a:prstGeom>
        <a:noFill/>
        <a:ln w="9525">
          <a:noFill/>
          <a:miter lim="800000"/>
          <a:headEnd/>
          <a:tailEnd/>
        </a:ln>
      </xdr:spPr>
      <xdr:txBody>
        <a:bodyPr vertOverflow="clip" wrap="square" lIns="27432" tIns="22860" rIns="0" bIns="0" anchor="t" upright="1"/>
        <a:lstStyle/>
        <a:p>
          <a:pPr algn="ctr" rtl="0">
            <a:defRPr sz="1000"/>
          </a:pPr>
          <a:fld id="{47315316-35F3-49E7-A4CE-EA42773D1FAE}" type="TxLink">
            <a:rPr lang="en-US" sz="1200" b="1" i="0" u="none" strike="noStrike">
              <a:solidFill>
                <a:srgbClr val="000000"/>
              </a:solidFill>
              <a:latin typeface="Arial"/>
              <a:cs typeface="Arial"/>
            </a:rPr>
            <a:pPr algn="ctr" rtl="0">
              <a:defRPr sz="1000"/>
            </a:pPr>
            <a:t>30V...50V</a:t>
          </a:fld>
          <a:endParaRPr lang="en-US" sz="1200" b="1" i="0" strike="noStrike">
            <a:solidFill>
              <a:srgbClr val="000000"/>
            </a:solidFill>
            <a:latin typeface="Arial" pitchFamily="34" charset="0"/>
            <a:cs typeface="Arial" pitchFamily="34" charset="0"/>
          </a:endParaRPr>
        </a:p>
      </xdr:txBody>
    </xdr:sp>
    <xdr:clientData/>
  </xdr:twoCellAnchor>
  <xdr:twoCellAnchor>
    <xdr:from>
      <xdr:col>7</xdr:col>
      <xdr:colOff>659340</xdr:colOff>
      <xdr:row>6</xdr:row>
      <xdr:rowOff>156061</xdr:rowOff>
    </xdr:from>
    <xdr:to>
      <xdr:col>7</xdr:col>
      <xdr:colOff>996632</xdr:colOff>
      <xdr:row>8</xdr:row>
      <xdr:rowOff>129228</xdr:rowOff>
    </xdr:to>
    <xdr:sp macro="" textlink="'Variable Mgmt'!C257">
      <xdr:nvSpPr>
        <xdr:cNvPr id="116" name="Text Box 225">
          <a:extLst>
            <a:ext uri="{FF2B5EF4-FFF2-40B4-BE49-F238E27FC236}">
              <a16:creationId xmlns:a16="http://schemas.microsoft.com/office/drawing/2014/main" id="{00000000-0008-0000-0100-000074000000}"/>
            </a:ext>
          </a:extLst>
        </xdr:cNvPr>
        <xdr:cNvSpPr txBox="1">
          <a:spLocks noChangeArrowheads="1"/>
        </xdr:cNvSpPr>
      </xdr:nvSpPr>
      <xdr:spPr bwMode="auto">
        <a:xfrm>
          <a:off x="7431615" y="1127611"/>
          <a:ext cx="337292" cy="297017"/>
        </a:xfrm>
        <a:prstGeom prst="rect">
          <a:avLst/>
        </a:prstGeom>
        <a:noFill/>
        <a:ln w="9525">
          <a:noFill/>
          <a:miter lim="800000"/>
          <a:headEnd/>
          <a:tailEnd/>
        </a:ln>
      </xdr:spPr>
      <xdr:txBody>
        <a:bodyPr vertOverflow="clip" wrap="square" lIns="27432" tIns="27432" rIns="0" bIns="0" anchor="ctr" upright="1"/>
        <a:lstStyle/>
        <a:p>
          <a:pPr algn="ctr" rtl="0">
            <a:defRPr sz="1000"/>
          </a:pPr>
          <a:fld id="{5A9D5443-864F-4F8F-ABFF-993F58DADF9E}" type="TxLink">
            <a:rPr lang="en-US" sz="1100" b="0" i="0" u="none" strike="noStrike">
              <a:solidFill>
                <a:srgbClr val="000000"/>
              </a:solidFill>
              <a:latin typeface="Arial"/>
              <a:cs typeface="Arial"/>
            </a:rPr>
            <a:pPr algn="ctr" rtl="0">
              <a:defRPr sz="1000"/>
            </a:pPr>
            <a:t>Resr</a:t>
          </a:fld>
          <a:endParaRPr lang="en-US" sz="1100" b="0" i="0" strike="noStrike" baseline="-25000">
            <a:solidFill>
              <a:srgbClr val="000000"/>
            </a:solidFill>
            <a:latin typeface="Arial" pitchFamily="34" charset="0"/>
            <a:cs typeface="Arial" pitchFamily="34" charset="0"/>
          </a:endParaRPr>
        </a:p>
      </xdr:txBody>
    </xdr:sp>
    <xdr:clientData/>
  </xdr:twoCellAnchor>
  <xdr:twoCellAnchor>
    <xdr:from>
      <xdr:col>7</xdr:col>
      <xdr:colOff>666586</xdr:colOff>
      <xdr:row>8</xdr:row>
      <xdr:rowOff>81387</xdr:rowOff>
    </xdr:from>
    <xdr:to>
      <xdr:col>7</xdr:col>
      <xdr:colOff>1184922</xdr:colOff>
      <xdr:row>9</xdr:row>
      <xdr:rowOff>144819</xdr:rowOff>
    </xdr:to>
    <xdr:sp macro="" textlink="'Variable Mgmt'!B258">
      <xdr:nvSpPr>
        <xdr:cNvPr id="117" name="Text Box 268">
          <a:extLst>
            <a:ext uri="{FF2B5EF4-FFF2-40B4-BE49-F238E27FC236}">
              <a16:creationId xmlns:a16="http://schemas.microsoft.com/office/drawing/2014/main" id="{00000000-0008-0000-0100-000075000000}"/>
            </a:ext>
          </a:extLst>
        </xdr:cNvPr>
        <xdr:cNvSpPr txBox="1">
          <a:spLocks noChangeArrowheads="1" noTextEdit="1"/>
        </xdr:cNvSpPr>
      </xdr:nvSpPr>
      <xdr:spPr bwMode="auto">
        <a:xfrm>
          <a:off x="7438861" y="1376787"/>
          <a:ext cx="518336" cy="225357"/>
        </a:xfrm>
        <a:prstGeom prst="rect">
          <a:avLst/>
        </a:prstGeom>
        <a:noFill/>
        <a:ln w="9525">
          <a:noFill/>
          <a:miter lim="800000"/>
          <a:headEnd/>
          <a:tailEnd/>
        </a:ln>
      </xdr:spPr>
      <xdr:txBody>
        <a:bodyPr vertOverflow="clip" wrap="square" lIns="27432" tIns="22860" rIns="0" bIns="0" anchor="ctr" upright="1"/>
        <a:lstStyle/>
        <a:p>
          <a:pPr algn="l" rtl="0">
            <a:defRPr sz="1000"/>
          </a:pPr>
          <a:fld id="{35437053-6AF1-4CB6-8BC9-CEEF911045AA}" type="TxLink">
            <a:rPr lang="en-US" sz="1100" b="0" i="0" u="none" strike="noStrike">
              <a:solidFill>
                <a:srgbClr val="000000"/>
              </a:solidFill>
              <a:latin typeface="Arial"/>
              <a:cs typeface="Arial"/>
            </a:rPr>
            <a:pPr algn="l" rtl="0">
              <a:defRPr sz="1000"/>
            </a:pPr>
            <a:t>1.5Ω</a:t>
          </a:fld>
          <a:endParaRPr lang="el-GR" sz="1100" b="0" i="0" strike="noStrike">
            <a:solidFill>
              <a:srgbClr val="000000"/>
            </a:solidFill>
            <a:latin typeface="Arial" pitchFamily="34" charset="0"/>
            <a:cs typeface="Arial" pitchFamily="34" charset="0"/>
          </a:endParaRPr>
        </a:p>
      </xdr:txBody>
    </xdr:sp>
    <xdr:clientData/>
  </xdr:twoCellAnchor>
  <xdr:twoCellAnchor>
    <xdr:from>
      <xdr:col>3</xdr:col>
      <xdr:colOff>794807</xdr:colOff>
      <xdr:row>22</xdr:row>
      <xdr:rowOff>9524</xdr:rowOff>
    </xdr:from>
    <xdr:to>
      <xdr:col>3</xdr:col>
      <xdr:colOff>1080557</xdr:colOff>
      <xdr:row>23</xdr:row>
      <xdr:rowOff>57149</xdr:rowOff>
    </xdr:to>
    <xdr:sp macro="" textlink="'Variable Mgmt'!C254">
      <xdr:nvSpPr>
        <xdr:cNvPr id="118" name="Text Box 265">
          <a:extLst>
            <a:ext uri="{FF2B5EF4-FFF2-40B4-BE49-F238E27FC236}">
              <a16:creationId xmlns:a16="http://schemas.microsoft.com/office/drawing/2014/main" id="{00000000-0008-0000-0100-000076000000}"/>
            </a:ext>
          </a:extLst>
        </xdr:cNvPr>
        <xdr:cNvSpPr txBox="1">
          <a:spLocks noChangeArrowheads="1" noTextEdit="1"/>
        </xdr:cNvSpPr>
      </xdr:nvSpPr>
      <xdr:spPr bwMode="auto">
        <a:xfrm>
          <a:off x="3090332" y="3571874"/>
          <a:ext cx="285750" cy="209550"/>
        </a:xfrm>
        <a:prstGeom prst="rect">
          <a:avLst/>
        </a:prstGeom>
        <a:noFill/>
        <a:ln w="9525">
          <a:noFill/>
          <a:miter lim="800000"/>
          <a:headEnd/>
          <a:tailEnd/>
        </a:ln>
      </xdr:spPr>
      <xdr:txBody>
        <a:bodyPr vertOverflow="clip" wrap="square" lIns="27432" tIns="22860" rIns="0" bIns="0" anchor="t" upright="1"/>
        <a:lstStyle/>
        <a:p>
          <a:pPr algn="l" rtl="0">
            <a:defRPr sz="1000"/>
          </a:pPr>
          <a:fld id="{970109A0-B269-4FC6-8DE5-A0283C6CD83E}" type="TxLink">
            <a:rPr lang="en-US" sz="1100" b="0" i="0" u="none" strike="noStrike" baseline="0">
              <a:solidFill>
                <a:srgbClr val="000000"/>
              </a:solidFill>
              <a:latin typeface="Arial"/>
              <a:cs typeface="Arial"/>
            </a:rPr>
            <a:pPr algn="l" rtl="0">
              <a:defRPr sz="1000"/>
            </a:pPr>
            <a:t>Rt</a:t>
          </a:fld>
          <a:endParaRPr lang="el-GR" sz="1100" b="0" i="0" u="none" strike="noStrike" baseline="0">
            <a:solidFill>
              <a:srgbClr val="000000"/>
            </a:solidFill>
            <a:latin typeface="Arial" pitchFamily="34" charset="0"/>
            <a:cs typeface="Arial" pitchFamily="34" charset="0"/>
          </a:endParaRPr>
        </a:p>
      </xdr:txBody>
    </xdr:sp>
    <xdr:clientData/>
  </xdr:twoCellAnchor>
  <xdr:twoCellAnchor>
    <xdr:from>
      <xdr:col>6</xdr:col>
      <xdr:colOff>1061507</xdr:colOff>
      <xdr:row>9</xdr:row>
      <xdr:rowOff>152399</xdr:rowOff>
    </xdr:from>
    <xdr:to>
      <xdr:col>7</xdr:col>
      <xdr:colOff>318557</xdr:colOff>
      <xdr:row>11</xdr:row>
      <xdr:rowOff>9524</xdr:rowOff>
    </xdr:to>
    <xdr:sp macro="" textlink="'Variable Mgmt'!C249">
      <xdr:nvSpPr>
        <xdr:cNvPr id="119" name="Text Box 264">
          <a:extLst>
            <a:ext uri="{FF2B5EF4-FFF2-40B4-BE49-F238E27FC236}">
              <a16:creationId xmlns:a16="http://schemas.microsoft.com/office/drawing/2014/main" id="{00000000-0008-0000-0100-000077000000}"/>
            </a:ext>
          </a:extLst>
        </xdr:cNvPr>
        <xdr:cNvSpPr txBox="1">
          <a:spLocks noChangeArrowheads="1" noTextEdit="1"/>
        </xdr:cNvSpPr>
      </xdr:nvSpPr>
      <xdr:spPr bwMode="auto">
        <a:xfrm>
          <a:off x="6757457" y="1609724"/>
          <a:ext cx="333375" cy="180975"/>
        </a:xfrm>
        <a:prstGeom prst="rect">
          <a:avLst/>
        </a:prstGeom>
        <a:noFill/>
        <a:ln w="9525">
          <a:noFill/>
          <a:miter lim="800000"/>
          <a:headEnd/>
          <a:tailEnd/>
        </a:ln>
      </xdr:spPr>
      <xdr:txBody>
        <a:bodyPr vertOverflow="clip" wrap="square" lIns="27432" tIns="22860" rIns="0" bIns="0" anchor="ctr" upright="1"/>
        <a:lstStyle/>
        <a:p>
          <a:pPr algn="l" rtl="0">
            <a:defRPr sz="1000"/>
          </a:pPr>
          <a:fld id="{550436E8-A57B-4A31-A58B-A97830A51D86}" type="TxLink">
            <a:rPr lang="en-US" sz="1100" b="0" i="0" u="none" strike="noStrike" baseline="0">
              <a:solidFill>
                <a:srgbClr val="000000"/>
              </a:solidFill>
              <a:latin typeface="Arial"/>
              <a:cs typeface="Arial"/>
            </a:rPr>
            <a:pPr algn="l" rtl="0">
              <a:defRPr sz="1000"/>
            </a:pPr>
            <a:t> </a:t>
          </a:fld>
          <a:endParaRPr lang="el-GR" sz="1100" b="0" i="0" u="none" strike="noStrike" baseline="0">
            <a:solidFill>
              <a:srgbClr val="000000"/>
            </a:solidFill>
            <a:latin typeface="Arial" pitchFamily="34" charset="0"/>
            <a:cs typeface="Arial" pitchFamily="34" charset="0"/>
          </a:endParaRPr>
        </a:p>
      </xdr:txBody>
    </xdr:sp>
    <xdr:clientData/>
  </xdr:twoCellAnchor>
  <xdr:twoCellAnchor>
    <xdr:from>
      <xdr:col>6</xdr:col>
      <xdr:colOff>1061507</xdr:colOff>
      <xdr:row>15</xdr:row>
      <xdr:rowOff>9524</xdr:rowOff>
    </xdr:from>
    <xdr:to>
      <xdr:col>7</xdr:col>
      <xdr:colOff>394757</xdr:colOff>
      <xdr:row>16</xdr:row>
      <xdr:rowOff>28574</xdr:rowOff>
    </xdr:to>
    <xdr:sp macro="" textlink="'Variable Mgmt'!D249">
      <xdr:nvSpPr>
        <xdr:cNvPr id="120" name="Text Box 264">
          <a:extLst>
            <a:ext uri="{FF2B5EF4-FFF2-40B4-BE49-F238E27FC236}">
              <a16:creationId xmlns:a16="http://schemas.microsoft.com/office/drawing/2014/main" id="{00000000-0008-0000-0100-000078000000}"/>
            </a:ext>
          </a:extLst>
        </xdr:cNvPr>
        <xdr:cNvSpPr txBox="1">
          <a:spLocks noChangeArrowheads="1" noTextEdit="1"/>
        </xdr:cNvSpPr>
      </xdr:nvSpPr>
      <xdr:spPr bwMode="auto">
        <a:xfrm>
          <a:off x="6757457" y="2438399"/>
          <a:ext cx="409575" cy="180975"/>
        </a:xfrm>
        <a:prstGeom prst="rect">
          <a:avLst/>
        </a:prstGeom>
        <a:noFill/>
        <a:ln w="9525">
          <a:noFill/>
          <a:miter lim="800000"/>
          <a:headEnd/>
          <a:tailEnd/>
        </a:ln>
      </xdr:spPr>
      <xdr:txBody>
        <a:bodyPr vertOverflow="clip" wrap="square" lIns="27432" tIns="22860" rIns="0" bIns="0" anchor="ctr" upright="1"/>
        <a:lstStyle/>
        <a:p>
          <a:pPr algn="l" rtl="0">
            <a:defRPr sz="1000"/>
          </a:pPr>
          <a:fld id="{1F8554B2-78A9-4B46-B866-A38D3FD58740}" type="TxLink">
            <a:rPr lang="en-US" sz="1100" b="0" i="0" u="none" strike="noStrike" baseline="0">
              <a:solidFill>
                <a:srgbClr val="000000"/>
              </a:solidFill>
              <a:latin typeface="Arial"/>
              <a:cs typeface="Arial"/>
            </a:rPr>
            <a:pPr algn="l" rtl="0">
              <a:defRPr sz="1000"/>
            </a:pPr>
            <a:t> </a:t>
          </a:fld>
          <a:endParaRPr lang="el-GR" sz="1100" b="0" i="0" u="none" strike="noStrike" baseline="0">
            <a:solidFill>
              <a:srgbClr val="000000"/>
            </a:solidFill>
            <a:latin typeface="Arial" pitchFamily="34" charset="0"/>
            <a:cs typeface="Arial" pitchFamily="34" charset="0"/>
          </a:endParaRPr>
        </a:p>
      </xdr:txBody>
    </xdr:sp>
    <xdr:clientData/>
  </xdr:twoCellAnchor>
  <xdr:twoCellAnchor>
    <xdr:from>
      <xdr:col>3</xdr:col>
      <xdr:colOff>89957</xdr:colOff>
      <xdr:row>6</xdr:row>
      <xdr:rowOff>26376</xdr:rowOff>
    </xdr:from>
    <xdr:to>
      <xdr:col>3</xdr:col>
      <xdr:colOff>489275</xdr:colOff>
      <xdr:row>7</xdr:row>
      <xdr:rowOff>59348</xdr:rowOff>
    </xdr:to>
    <xdr:sp macro="" textlink="'Variable Mgmt'!C261">
      <xdr:nvSpPr>
        <xdr:cNvPr id="121" name="Text Box 264">
          <a:extLst>
            <a:ext uri="{FF2B5EF4-FFF2-40B4-BE49-F238E27FC236}">
              <a16:creationId xmlns:a16="http://schemas.microsoft.com/office/drawing/2014/main" id="{00000000-0008-0000-0100-000079000000}"/>
            </a:ext>
          </a:extLst>
        </xdr:cNvPr>
        <xdr:cNvSpPr txBox="1">
          <a:spLocks noChangeArrowheads="1" noTextEdit="1"/>
        </xdr:cNvSpPr>
      </xdr:nvSpPr>
      <xdr:spPr bwMode="auto">
        <a:xfrm>
          <a:off x="2385482" y="997926"/>
          <a:ext cx="399318" cy="194897"/>
        </a:xfrm>
        <a:prstGeom prst="rect">
          <a:avLst/>
        </a:prstGeom>
        <a:noFill/>
        <a:ln w="9525">
          <a:noFill/>
          <a:miter lim="800000"/>
          <a:headEnd/>
          <a:tailEnd/>
        </a:ln>
      </xdr:spPr>
      <xdr:txBody>
        <a:bodyPr vertOverflow="clip" wrap="square" lIns="27432" tIns="22860" rIns="0" bIns="0" anchor="ctr" upright="1"/>
        <a:lstStyle/>
        <a:p>
          <a:pPr algn="l" rtl="0">
            <a:defRPr sz="1000"/>
          </a:pPr>
          <a:fld id="{31380AD2-7EE8-49DF-ADF3-9022D781233D}" type="TxLink">
            <a:rPr lang="en-US" sz="1100" b="0" i="0" u="none" strike="noStrike" baseline="0">
              <a:solidFill>
                <a:srgbClr val="000000"/>
              </a:solidFill>
              <a:latin typeface="Arial"/>
              <a:cs typeface="Arial"/>
            </a:rPr>
            <a:pPr algn="l" rtl="0">
              <a:defRPr sz="1000"/>
            </a:pPr>
            <a:t> </a:t>
          </a:fld>
          <a:endParaRPr lang="el-GR" sz="1100" b="0" i="0" u="none" strike="noStrike" baseline="0">
            <a:solidFill>
              <a:srgbClr val="000000"/>
            </a:solidFill>
            <a:latin typeface="Arial" pitchFamily="34" charset="0"/>
            <a:cs typeface="Arial" pitchFamily="34" charset="0"/>
          </a:endParaRPr>
        </a:p>
      </xdr:txBody>
    </xdr:sp>
    <xdr:clientData/>
  </xdr:twoCellAnchor>
  <xdr:twoCellAnchor>
    <xdr:from>
      <xdr:col>3</xdr:col>
      <xdr:colOff>89957</xdr:colOff>
      <xdr:row>10</xdr:row>
      <xdr:rowOff>19049</xdr:rowOff>
    </xdr:from>
    <xdr:to>
      <xdr:col>3</xdr:col>
      <xdr:colOff>511255</xdr:colOff>
      <xdr:row>11</xdr:row>
      <xdr:rowOff>43228</xdr:rowOff>
    </xdr:to>
    <xdr:sp macro="" textlink="'Variable Mgmt'!D261">
      <xdr:nvSpPr>
        <xdr:cNvPr id="122" name="Text Box 264">
          <a:extLst>
            <a:ext uri="{FF2B5EF4-FFF2-40B4-BE49-F238E27FC236}">
              <a16:creationId xmlns:a16="http://schemas.microsoft.com/office/drawing/2014/main" id="{00000000-0008-0000-0100-00007A000000}"/>
            </a:ext>
          </a:extLst>
        </xdr:cNvPr>
        <xdr:cNvSpPr txBox="1">
          <a:spLocks noChangeArrowheads="1" noTextEdit="1"/>
        </xdr:cNvSpPr>
      </xdr:nvSpPr>
      <xdr:spPr bwMode="auto">
        <a:xfrm>
          <a:off x="2385482" y="1638299"/>
          <a:ext cx="421298" cy="186104"/>
        </a:xfrm>
        <a:prstGeom prst="rect">
          <a:avLst/>
        </a:prstGeom>
        <a:noFill/>
        <a:ln w="9525">
          <a:noFill/>
          <a:miter lim="800000"/>
          <a:headEnd/>
          <a:tailEnd/>
        </a:ln>
      </xdr:spPr>
      <xdr:txBody>
        <a:bodyPr vertOverflow="clip" wrap="square" lIns="27432" tIns="22860" rIns="0" bIns="0" anchor="ctr" upright="1"/>
        <a:lstStyle/>
        <a:p>
          <a:pPr algn="l" rtl="0">
            <a:defRPr sz="1000"/>
          </a:pPr>
          <a:fld id="{4E8206B9-FDC6-48C1-BFAB-BFC9EF16C90F}" type="TxLink">
            <a:rPr lang="en-US" sz="1100" b="0" i="0" u="none" strike="noStrike" baseline="0">
              <a:solidFill>
                <a:srgbClr val="000000"/>
              </a:solidFill>
              <a:latin typeface="Arial"/>
              <a:cs typeface="Arial"/>
            </a:rPr>
            <a:pPr algn="l" rtl="0">
              <a:defRPr sz="1000"/>
            </a:pPr>
            <a:t> </a:t>
          </a:fld>
          <a:endParaRPr lang="el-GR" sz="1100" b="0" i="0" u="none" strike="noStrike" baseline="0">
            <a:solidFill>
              <a:srgbClr val="000000"/>
            </a:solidFill>
            <a:latin typeface="Arial" pitchFamily="34" charset="0"/>
            <a:cs typeface="Arial" pitchFamily="34" charset="0"/>
          </a:endParaRPr>
        </a:p>
      </xdr:txBody>
    </xdr:sp>
    <xdr:clientData/>
  </xdr:twoCellAnchor>
  <xdr:twoCellAnchor>
    <xdr:from>
      <xdr:col>3</xdr:col>
      <xdr:colOff>89957</xdr:colOff>
      <xdr:row>13</xdr:row>
      <xdr:rowOff>142874</xdr:rowOff>
    </xdr:from>
    <xdr:to>
      <xdr:col>3</xdr:col>
      <xdr:colOff>499532</xdr:colOff>
      <xdr:row>14</xdr:row>
      <xdr:rowOff>161924</xdr:rowOff>
    </xdr:to>
    <xdr:sp macro="" textlink="'Variable Mgmt'!E261">
      <xdr:nvSpPr>
        <xdr:cNvPr id="123" name="Text Box 264">
          <a:extLst>
            <a:ext uri="{FF2B5EF4-FFF2-40B4-BE49-F238E27FC236}">
              <a16:creationId xmlns:a16="http://schemas.microsoft.com/office/drawing/2014/main" id="{00000000-0008-0000-0100-00007B000000}"/>
            </a:ext>
          </a:extLst>
        </xdr:cNvPr>
        <xdr:cNvSpPr txBox="1">
          <a:spLocks noChangeArrowheads="1" noTextEdit="1"/>
        </xdr:cNvSpPr>
      </xdr:nvSpPr>
      <xdr:spPr bwMode="auto">
        <a:xfrm>
          <a:off x="2385482" y="2247899"/>
          <a:ext cx="409575" cy="180975"/>
        </a:xfrm>
        <a:prstGeom prst="rect">
          <a:avLst/>
        </a:prstGeom>
        <a:noFill/>
        <a:ln w="9525">
          <a:noFill/>
          <a:miter lim="800000"/>
          <a:headEnd/>
          <a:tailEnd/>
        </a:ln>
      </xdr:spPr>
      <xdr:txBody>
        <a:bodyPr vertOverflow="clip" wrap="square" lIns="27432" tIns="22860" rIns="0" bIns="0" anchor="ctr" upright="1"/>
        <a:lstStyle/>
        <a:p>
          <a:pPr algn="l" rtl="0">
            <a:defRPr sz="1000"/>
          </a:pPr>
          <a:fld id="{5A68A102-FC53-43FB-A627-2CD9C951EBBD}" type="TxLink">
            <a:rPr lang="en-US" sz="1100" b="0" i="0" u="none" strike="noStrike" baseline="0">
              <a:solidFill>
                <a:srgbClr val="000000"/>
              </a:solidFill>
              <a:latin typeface="Arial"/>
              <a:cs typeface="Arial"/>
            </a:rPr>
            <a:pPr algn="l" rtl="0">
              <a:defRPr sz="1000"/>
            </a:pPr>
            <a:t> </a:t>
          </a:fld>
          <a:endParaRPr lang="el-GR" sz="1100" b="0" i="0" u="none" strike="noStrike" baseline="0">
            <a:solidFill>
              <a:srgbClr val="000000"/>
            </a:solidFill>
            <a:latin typeface="Arial" pitchFamily="34" charset="0"/>
            <a:cs typeface="Arial" pitchFamily="34" charset="0"/>
          </a:endParaRPr>
        </a:p>
      </xdr:txBody>
    </xdr:sp>
    <xdr:clientData/>
  </xdr:twoCellAnchor>
  <xdr:twoCellAnchor>
    <xdr:from>
      <xdr:col>3</xdr:col>
      <xdr:colOff>517306</xdr:colOff>
      <xdr:row>17</xdr:row>
      <xdr:rowOff>32479</xdr:rowOff>
    </xdr:from>
    <xdr:to>
      <xdr:col>3</xdr:col>
      <xdr:colOff>957944</xdr:colOff>
      <xdr:row>18</xdr:row>
      <xdr:rowOff>106646</xdr:rowOff>
    </xdr:to>
    <xdr:sp macro="" textlink="'Variable Mgmt'!C268">
      <xdr:nvSpPr>
        <xdr:cNvPr id="124" name="Text Box 281">
          <a:extLst>
            <a:ext uri="{FF2B5EF4-FFF2-40B4-BE49-F238E27FC236}">
              <a16:creationId xmlns:a16="http://schemas.microsoft.com/office/drawing/2014/main" id="{00000000-0008-0000-0100-00007C000000}"/>
            </a:ext>
          </a:extLst>
        </xdr:cNvPr>
        <xdr:cNvSpPr txBox="1">
          <a:spLocks noChangeArrowheads="1" noTextEdit="1"/>
        </xdr:cNvSpPr>
      </xdr:nvSpPr>
      <xdr:spPr bwMode="auto">
        <a:xfrm>
          <a:off x="2812831" y="2785204"/>
          <a:ext cx="440638" cy="236092"/>
        </a:xfrm>
        <a:prstGeom prst="rect">
          <a:avLst/>
        </a:prstGeom>
        <a:noFill/>
        <a:ln w="9525">
          <a:noFill/>
          <a:miter lim="800000"/>
          <a:headEnd/>
          <a:tailEnd/>
        </a:ln>
      </xdr:spPr>
      <xdr:txBody>
        <a:bodyPr vertOverflow="clip" wrap="square" lIns="27432" tIns="22860" rIns="0" bIns="0" anchor="ctr" upright="1"/>
        <a:lstStyle/>
        <a:p>
          <a:pPr algn="l" rtl="0">
            <a:defRPr sz="1000"/>
          </a:pPr>
          <a:fld id="{B81C36CF-66FD-4734-B04F-DAE82AF849A9}" type="TxLink">
            <a:rPr lang="en-US" sz="1100" b="0" i="0" u="none" strike="noStrike">
              <a:solidFill>
                <a:srgbClr val="000000"/>
              </a:solidFill>
              <a:latin typeface="Arial"/>
              <a:cs typeface="Arial"/>
            </a:rPr>
            <a:pPr algn="l" rtl="0">
              <a:defRPr sz="1000"/>
            </a:pPr>
            <a:t>Css</a:t>
          </a:fld>
          <a:endParaRPr lang="en-US" sz="1100" b="0" i="0" strike="noStrike">
            <a:solidFill>
              <a:srgbClr val="000000"/>
            </a:solidFill>
            <a:latin typeface="Arial" pitchFamily="34" charset="0"/>
            <a:cs typeface="Arial" pitchFamily="34" charset="0"/>
          </a:endParaRPr>
        </a:p>
      </xdr:txBody>
    </xdr:sp>
    <xdr:clientData/>
  </xdr:twoCellAnchor>
  <xdr:twoCellAnchor>
    <xdr:from>
      <xdr:col>6</xdr:col>
      <xdr:colOff>472419</xdr:colOff>
      <xdr:row>16</xdr:row>
      <xdr:rowOff>131326</xdr:rowOff>
    </xdr:from>
    <xdr:to>
      <xdr:col>6</xdr:col>
      <xdr:colOff>986037</xdr:colOff>
      <xdr:row>18</xdr:row>
      <xdr:rowOff>35901</xdr:rowOff>
    </xdr:to>
    <xdr:sp macro="" textlink="'Variable Mgmt'!C270">
      <xdr:nvSpPr>
        <xdr:cNvPr id="125" name="Text Box 265">
          <a:extLst>
            <a:ext uri="{FF2B5EF4-FFF2-40B4-BE49-F238E27FC236}">
              <a16:creationId xmlns:a16="http://schemas.microsoft.com/office/drawing/2014/main" id="{00000000-0008-0000-0100-00007D000000}"/>
            </a:ext>
          </a:extLst>
        </xdr:cNvPr>
        <xdr:cNvSpPr txBox="1">
          <a:spLocks noChangeArrowheads="1" noTextEdit="1"/>
        </xdr:cNvSpPr>
      </xdr:nvSpPr>
      <xdr:spPr bwMode="auto">
        <a:xfrm>
          <a:off x="6168369" y="2722126"/>
          <a:ext cx="513618" cy="228425"/>
        </a:xfrm>
        <a:prstGeom prst="rect">
          <a:avLst/>
        </a:prstGeom>
        <a:noFill/>
        <a:ln w="9525">
          <a:noFill/>
          <a:miter lim="800000"/>
          <a:headEnd/>
          <a:tailEnd/>
        </a:ln>
      </xdr:spPr>
      <xdr:txBody>
        <a:bodyPr vertOverflow="clip" wrap="square" lIns="27432" tIns="22860" rIns="0" bIns="0" anchor="ctr" upright="1"/>
        <a:lstStyle/>
        <a:p>
          <a:pPr algn="l" rtl="0">
            <a:defRPr sz="1000"/>
          </a:pPr>
          <a:fld id="{324772CA-E155-491E-B5C0-0A29EA714D13}" type="TxLink">
            <a:rPr lang="en-US" sz="1100" b="0" i="0" u="none" strike="noStrike" baseline="0">
              <a:solidFill>
                <a:srgbClr val="000000"/>
              </a:solidFill>
              <a:latin typeface="Arial"/>
              <a:cs typeface="Arial"/>
            </a:rPr>
            <a:pPr algn="l" rtl="0">
              <a:defRPr sz="1000"/>
            </a:pPr>
            <a:t> </a:t>
          </a:fld>
          <a:endParaRPr lang="el-GR" sz="1100" b="0" i="0" u="none" strike="noStrike" baseline="0">
            <a:solidFill>
              <a:srgbClr val="000000"/>
            </a:solidFill>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6</xdr:col>
          <xdr:colOff>0</xdr:colOff>
          <xdr:row>30</xdr:row>
          <xdr:rowOff>9525</xdr:rowOff>
        </xdr:from>
        <xdr:to>
          <xdr:col>6</xdr:col>
          <xdr:colOff>876300</xdr:colOff>
          <xdr:row>31</xdr:row>
          <xdr:rowOff>0</xdr:rowOff>
        </xdr:to>
        <xdr:sp macro="" textlink="">
          <xdr:nvSpPr>
            <xdr:cNvPr id="674505" name="Drop Down 713" hidden="1">
              <a:extLst>
                <a:ext uri="{63B3BB69-23CF-44E3-9099-C40C66FF867C}">
                  <a14:compatExt spid="_x0000_s674505"/>
                </a:ext>
                <a:ext uri="{FF2B5EF4-FFF2-40B4-BE49-F238E27FC236}">
                  <a16:creationId xmlns:a16="http://schemas.microsoft.com/office/drawing/2014/main" id="{00000000-0008-0000-0100-0000C94A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31</xdr:row>
          <xdr:rowOff>9525</xdr:rowOff>
        </xdr:from>
        <xdr:to>
          <xdr:col>6</xdr:col>
          <xdr:colOff>876300</xdr:colOff>
          <xdr:row>32</xdr:row>
          <xdr:rowOff>0</xdr:rowOff>
        </xdr:to>
        <xdr:sp macro="" textlink="">
          <xdr:nvSpPr>
            <xdr:cNvPr id="674508" name="Drop Down 716" hidden="1">
              <a:extLst>
                <a:ext uri="{63B3BB69-23CF-44E3-9099-C40C66FF867C}">
                  <a14:compatExt spid="_x0000_s674508"/>
                </a:ext>
                <a:ext uri="{FF2B5EF4-FFF2-40B4-BE49-F238E27FC236}">
                  <a16:creationId xmlns:a16="http://schemas.microsoft.com/office/drawing/2014/main" id="{00000000-0008-0000-0100-0000CC4A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35</xdr:row>
          <xdr:rowOff>9525</xdr:rowOff>
        </xdr:from>
        <xdr:to>
          <xdr:col>6</xdr:col>
          <xdr:colOff>876300</xdr:colOff>
          <xdr:row>36</xdr:row>
          <xdr:rowOff>0</xdr:rowOff>
        </xdr:to>
        <xdr:sp macro="" textlink="">
          <xdr:nvSpPr>
            <xdr:cNvPr id="674527" name="Drop Down 735" hidden="1">
              <a:extLst>
                <a:ext uri="{63B3BB69-23CF-44E3-9099-C40C66FF867C}">
                  <a14:compatExt spid="_x0000_s674527"/>
                </a:ext>
                <a:ext uri="{FF2B5EF4-FFF2-40B4-BE49-F238E27FC236}">
                  <a16:creationId xmlns:a16="http://schemas.microsoft.com/office/drawing/2014/main" id="{00000000-0008-0000-0100-0000DF4A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36</xdr:row>
          <xdr:rowOff>9525</xdr:rowOff>
        </xdr:from>
        <xdr:to>
          <xdr:col>6</xdr:col>
          <xdr:colOff>876300</xdr:colOff>
          <xdr:row>37</xdr:row>
          <xdr:rowOff>0</xdr:rowOff>
        </xdr:to>
        <xdr:sp macro="" textlink="">
          <xdr:nvSpPr>
            <xdr:cNvPr id="674534" name="Drop Down 742" hidden="1">
              <a:extLst>
                <a:ext uri="{63B3BB69-23CF-44E3-9099-C40C66FF867C}">
                  <a14:compatExt spid="_x0000_s674534"/>
                </a:ext>
                <a:ext uri="{FF2B5EF4-FFF2-40B4-BE49-F238E27FC236}">
                  <a16:creationId xmlns:a16="http://schemas.microsoft.com/office/drawing/2014/main" id="{00000000-0008-0000-0100-0000E64A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37</xdr:row>
          <xdr:rowOff>9525</xdr:rowOff>
        </xdr:from>
        <xdr:to>
          <xdr:col>6</xdr:col>
          <xdr:colOff>876300</xdr:colOff>
          <xdr:row>38</xdr:row>
          <xdr:rowOff>0</xdr:rowOff>
        </xdr:to>
        <xdr:sp macro="" textlink="">
          <xdr:nvSpPr>
            <xdr:cNvPr id="674536" name="Drop Down 744" hidden="1">
              <a:extLst>
                <a:ext uri="{63B3BB69-23CF-44E3-9099-C40C66FF867C}">
                  <a14:compatExt spid="_x0000_s674536"/>
                </a:ext>
                <a:ext uri="{FF2B5EF4-FFF2-40B4-BE49-F238E27FC236}">
                  <a16:creationId xmlns:a16="http://schemas.microsoft.com/office/drawing/2014/main" id="{00000000-0008-0000-0100-0000E84A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38</xdr:row>
          <xdr:rowOff>9525</xdr:rowOff>
        </xdr:from>
        <xdr:to>
          <xdr:col>6</xdr:col>
          <xdr:colOff>876300</xdr:colOff>
          <xdr:row>39</xdr:row>
          <xdr:rowOff>0</xdr:rowOff>
        </xdr:to>
        <xdr:sp macro="" textlink="">
          <xdr:nvSpPr>
            <xdr:cNvPr id="674539" name="Drop Down 747" hidden="1">
              <a:extLst>
                <a:ext uri="{63B3BB69-23CF-44E3-9099-C40C66FF867C}">
                  <a14:compatExt spid="_x0000_s674539"/>
                </a:ext>
                <a:ext uri="{FF2B5EF4-FFF2-40B4-BE49-F238E27FC236}">
                  <a16:creationId xmlns:a16="http://schemas.microsoft.com/office/drawing/2014/main" id="{00000000-0008-0000-0100-0000EB4A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39</xdr:row>
          <xdr:rowOff>9525</xdr:rowOff>
        </xdr:from>
        <xdr:to>
          <xdr:col>6</xdr:col>
          <xdr:colOff>876300</xdr:colOff>
          <xdr:row>40</xdr:row>
          <xdr:rowOff>0</xdr:rowOff>
        </xdr:to>
        <xdr:sp macro="" textlink="">
          <xdr:nvSpPr>
            <xdr:cNvPr id="674540" name="Drop Down 748" hidden="1">
              <a:extLst>
                <a:ext uri="{63B3BB69-23CF-44E3-9099-C40C66FF867C}">
                  <a14:compatExt spid="_x0000_s674540"/>
                </a:ext>
                <a:ext uri="{FF2B5EF4-FFF2-40B4-BE49-F238E27FC236}">
                  <a16:creationId xmlns:a16="http://schemas.microsoft.com/office/drawing/2014/main" id="{00000000-0008-0000-0100-0000EC4A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40</xdr:row>
          <xdr:rowOff>9525</xdr:rowOff>
        </xdr:from>
        <xdr:to>
          <xdr:col>6</xdr:col>
          <xdr:colOff>876300</xdr:colOff>
          <xdr:row>41</xdr:row>
          <xdr:rowOff>0</xdr:rowOff>
        </xdr:to>
        <xdr:sp macro="" textlink="">
          <xdr:nvSpPr>
            <xdr:cNvPr id="674541" name="Drop Down 749" hidden="1">
              <a:extLst>
                <a:ext uri="{63B3BB69-23CF-44E3-9099-C40C66FF867C}">
                  <a14:compatExt spid="_x0000_s674541"/>
                </a:ext>
                <a:ext uri="{FF2B5EF4-FFF2-40B4-BE49-F238E27FC236}">
                  <a16:creationId xmlns:a16="http://schemas.microsoft.com/office/drawing/2014/main" id="{00000000-0008-0000-0100-0000ED4A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41</xdr:row>
          <xdr:rowOff>9525</xdr:rowOff>
        </xdr:from>
        <xdr:to>
          <xdr:col>6</xdr:col>
          <xdr:colOff>876300</xdr:colOff>
          <xdr:row>42</xdr:row>
          <xdr:rowOff>0</xdr:rowOff>
        </xdr:to>
        <xdr:sp macro="" textlink="">
          <xdr:nvSpPr>
            <xdr:cNvPr id="674542" name="Drop Down 750" hidden="1">
              <a:extLst>
                <a:ext uri="{63B3BB69-23CF-44E3-9099-C40C66FF867C}">
                  <a14:compatExt spid="_x0000_s674542"/>
                </a:ext>
                <a:ext uri="{FF2B5EF4-FFF2-40B4-BE49-F238E27FC236}">
                  <a16:creationId xmlns:a16="http://schemas.microsoft.com/office/drawing/2014/main" id="{00000000-0008-0000-0100-0000EE4A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42</xdr:row>
          <xdr:rowOff>9525</xdr:rowOff>
        </xdr:from>
        <xdr:to>
          <xdr:col>6</xdr:col>
          <xdr:colOff>876300</xdr:colOff>
          <xdr:row>43</xdr:row>
          <xdr:rowOff>0</xdr:rowOff>
        </xdr:to>
        <xdr:sp macro="" textlink="">
          <xdr:nvSpPr>
            <xdr:cNvPr id="674543" name="Drop Down 751" hidden="1">
              <a:extLst>
                <a:ext uri="{63B3BB69-23CF-44E3-9099-C40C66FF867C}">
                  <a14:compatExt spid="_x0000_s674543"/>
                </a:ext>
                <a:ext uri="{FF2B5EF4-FFF2-40B4-BE49-F238E27FC236}">
                  <a16:creationId xmlns:a16="http://schemas.microsoft.com/office/drawing/2014/main" id="{00000000-0008-0000-0100-0000EF4A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34</xdr:row>
          <xdr:rowOff>9525</xdr:rowOff>
        </xdr:from>
        <xdr:to>
          <xdr:col>6</xdr:col>
          <xdr:colOff>876300</xdr:colOff>
          <xdr:row>35</xdr:row>
          <xdr:rowOff>0</xdr:rowOff>
        </xdr:to>
        <xdr:sp macro="" textlink="">
          <xdr:nvSpPr>
            <xdr:cNvPr id="674544" name="Drop Down 752" hidden="1">
              <a:extLst>
                <a:ext uri="{63B3BB69-23CF-44E3-9099-C40C66FF867C}">
                  <a14:compatExt spid="_x0000_s674544"/>
                </a:ext>
                <a:ext uri="{FF2B5EF4-FFF2-40B4-BE49-F238E27FC236}">
                  <a16:creationId xmlns:a16="http://schemas.microsoft.com/office/drawing/2014/main" id="{00000000-0008-0000-0100-0000F04A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33</xdr:row>
          <xdr:rowOff>9525</xdr:rowOff>
        </xdr:from>
        <xdr:to>
          <xdr:col>6</xdr:col>
          <xdr:colOff>876300</xdr:colOff>
          <xdr:row>34</xdr:row>
          <xdr:rowOff>0</xdr:rowOff>
        </xdr:to>
        <xdr:sp macro="" textlink="">
          <xdr:nvSpPr>
            <xdr:cNvPr id="674632" name="Drop Down 840" hidden="1">
              <a:extLst>
                <a:ext uri="{63B3BB69-23CF-44E3-9099-C40C66FF867C}">
                  <a14:compatExt spid="_x0000_s674632"/>
                </a:ext>
                <a:ext uri="{FF2B5EF4-FFF2-40B4-BE49-F238E27FC236}">
                  <a16:creationId xmlns:a16="http://schemas.microsoft.com/office/drawing/2014/main" id="{00000000-0008-0000-0100-0000484B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32</xdr:row>
          <xdr:rowOff>9525</xdr:rowOff>
        </xdr:from>
        <xdr:to>
          <xdr:col>6</xdr:col>
          <xdr:colOff>876300</xdr:colOff>
          <xdr:row>33</xdr:row>
          <xdr:rowOff>0</xdr:rowOff>
        </xdr:to>
        <xdr:sp macro="" textlink="">
          <xdr:nvSpPr>
            <xdr:cNvPr id="674633" name="Drop Down 841" hidden="1">
              <a:extLst>
                <a:ext uri="{63B3BB69-23CF-44E3-9099-C40C66FF867C}">
                  <a14:compatExt spid="_x0000_s674633"/>
                </a:ext>
                <a:ext uri="{FF2B5EF4-FFF2-40B4-BE49-F238E27FC236}">
                  <a16:creationId xmlns:a16="http://schemas.microsoft.com/office/drawing/2014/main" id="{00000000-0008-0000-0100-0000494B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217715</xdr:colOff>
      <xdr:row>6</xdr:row>
      <xdr:rowOff>136068</xdr:rowOff>
    </xdr:from>
    <xdr:to>
      <xdr:col>11</xdr:col>
      <xdr:colOff>265340</xdr:colOff>
      <xdr:row>84</xdr:row>
      <xdr:rowOff>115657</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7715" y="1646461"/>
          <a:ext cx="6783161" cy="12715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146466</xdr:colOff>
      <xdr:row>90</xdr:row>
      <xdr:rowOff>16008</xdr:rowOff>
    </xdr:from>
    <xdr:to>
      <xdr:col>7</xdr:col>
      <xdr:colOff>172822</xdr:colOff>
      <xdr:row>98</xdr:row>
      <xdr:rowOff>71798</xdr:rowOff>
    </xdr:to>
    <xdr:pic>
      <xdr:nvPicPr>
        <xdr:cNvPr id="7" name="Picture 6">
          <a:extLst>
            <a:ext uri="{FF2B5EF4-FFF2-40B4-BE49-F238E27FC236}">
              <a16:creationId xmlns:a16="http://schemas.microsoft.com/office/drawing/2014/main" id="{00000000-0008-0000-0200-000007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7960" t="7913" r="6965" b="16357"/>
        <a:stretch/>
      </xdr:blipFill>
      <xdr:spPr>
        <a:xfrm>
          <a:off x="2595752" y="15242401"/>
          <a:ext cx="1863320" cy="1362076"/>
        </a:xfrm>
        <a:prstGeom prst="rect">
          <a:avLst/>
        </a:prstGeom>
      </xdr:spPr>
    </xdr:pic>
    <xdr:clientData/>
  </xdr:twoCellAnchor>
  <xdr:twoCellAnchor editAs="oneCell">
    <xdr:from>
      <xdr:col>13</xdr:col>
      <xdr:colOff>489857</xdr:colOff>
      <xdr:row>10</xdr:row>
      <xdr:rowOff>151039</xdr:rowOff>
    </xdr:from>
    <xdr:to>
      <xdr:col>20</xdr:col>
      <xdr:colOff>222478</xdr:colOff>
      <xdr:row>80</xdr:row>
      <xdr:rowOff>121227</xdr:rowOff>
    </xdr:to>
    <xdr:pic>
      <xdr:nvPicPr>
        <xdr:cNvPr id="9" name="Picture 8">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369630" y="2263857"/>
          <a:ext cx="4616348" cy="108806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23</xdr:col>
      <xdr:colOff>517072</xdr:colOff>
      <xdr:row>11</xdr:row>
      <xdr:rowOff>2</xdr:rowOff>
    </xdr:from>
    <xdr:to>
      <xdr:col>33</xdr:col>
      <xdr:colOff>499923</xdr:colOff>
      <xdr:row>43</xdr:row>
      <xdr:rowOff>40822</xdr:rowOff>
    </xdr:to>
    <xdr:pic>
      <xdr:nvPicPr>
        <xdr:cNvPr id="10" name="Picture 9">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5212786" y="2326823"/>
          <a:ext cx="6106066" cy="526596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15</xdr:col>
      <xdr:colOff>752475</xdr:colOff>
      <xdr:row>30</xdr:row>
      <xdr:rowOff>85725</xdr:rowOff>
    </xdr:from>
    <xdr:to>
      <xdr:col>15</xdr:col>
      <xdr:colOff>1200150</xdr:colOff>
      <xdr:row>31</xdr:row>
      <xdr:rowOff>133350</xdr:rowOff>
    </xdr:to>
    <xdr:sp macro="" textlink="">
      <xdr:nvSpPr>
        <xdr:cNvPr id="3" name="Text Box 2">
          <a:extLst>
            <a:ext uri="{FF2B5EF4-FFF2-40B4-BE49-F238E27FC236}">
              <a16:creationId xmlns:a16="http://schemas.microsoft.com/office/drawing/2014/main" id="{00000000-0008-0000-0400-000003000000}"/>
            </a:ext>
          </a:extLst>
        </xdr:cNvPr>
        <xdr:cNvSpPr txBox="1">
          <a:spLocks noChangeArrowheads="1"/>
        </xdr:cNvSpPr>
      </xdr:nvSpPr>
      <xdr:spPr bwMode="auto">
        <a:xfrm>
          <a:off x="16906875" y="13973175"/>
          <a:ext cx="0" cy="219075"/>
        </a:xfrm>
        <a:prstGeom prst="rect">
          <a:avLst/>
        </a:prstGeom>
        <a:noFill/>
        <a:ln w="9525">
          <a:noFill/>
          <a:miter lim="800000"/>
          <a:headEnd/>
          <a:tailEnd/>
        </a:ln>
      </xdr:spPr>
      <xdr:txBody>
        <a:bodyPr vertOverflow="clip" wrap="square" lIns="27432" tIns="22860" rIns="0" bIns="0" anchor="t" upright="1"/>
        <a:lstStyle/>
        <a:p>
          <a:pPr algn="l" rtl="0">
            <a:defRPr sz="1000"/>
          </a:pPr>
          <a:r>
            <a:rPr lang="en-US" sz="1000" b="1" i="0" strike="noStrike">
              <a:solidFill>
                <a:srgbClr val="0000FF"/>
              </a:solidFill>
              <a:latin typeface="Arial"/>
              <a:cs typeface="Arial"/>
            </a:rPr>
            <a:t>V</a:t>
          </a:r>
          <a:r>
            <a:rPr lang="en-US" sz="1000" b="1" i="0" strike="noStrike" baseline="-25000">
              <a:solidFill>
                <a:srgbClr val="0000FF"/>
              </a:solidFill>
              <a:latin typeface="Arial"/>
              <a:cs typeface="Arial"/>
            </a:rPr>
            <a:t>OUT</a:t>
          </a:r>
        </a:p>
      </xdr:txBody>
    </xdr:sp>
    <xdr:clientData/>
  </xdr:twoCellAnchor>
  <xdr:twoCellAnchor>
    <xdr:from>
      <xdr:col>15</xdr:col>
      <xdr:colOff>752475</xdr:colOff>
      <xdr:row>31</xdr:row>
      <xdr:rowOff>104775</xdr:rowOff>
    </xdr:from>
    <xdr:to>
      <xdr:col>15</xdr:col>
      <xdr:colOff>1181100</xdr:colOff>
      <xdr:row>32</xdr:row>
      <xdr:rowOff>152400</xdr:rowOff>
    </xdr:to>
    <xdr:sp macro="" textlink="">
      <xdr:nvSpPr>
        <xdr:cNvPr id="4" name="Text Box 3">
          <a:extLst>
            <a:ext uri="{FF2B5EF4-FFF2-40B4-BE49-F238E27FC236}">
              <a16:creationId xmlns:a16="http://schemas.microsoft.com/office/drawing/2014/main" id="{00000000-0008-0000-0400-000004000000}"/>
            </a:ext>
          </a:extLst>
        </xdr:cNvPr>
        <xdr:cNvSpPr txBox="1">
          <a:spLocks noChangeArrowheads="1" noTextEdit="1"/>
        </xdr:cNvSpPr>
      </xdr:nvSpPr>
      <xdr:spPr bwMode="auto">
        <a:xfrm>
          <a:off x="16906875" y="14163675"/>
          <a:ext cx="0" cy="219075"/>
        </a:xfrm>
        <a:prstGeom prst="rect">
          <a:avLst/>
        </a:prstGeom>
        <a:noFill/>
        <a:ln w="9525">
          <a:noFill/>
          <a:miter lim="800000"/>
          <a:headEnd/>
          <a:tailEnd/>
        </a:ln>
      </xdr:spPr>
      <xdr:txBody>
        <a:bodyPr vertOverflow="clip" wrap="square" lIns="27432" tIns="22860" rIns="0" bIns="0" anchor="t" upright="1"/>
        <a:lstStyle/>
        <a:p>
          <a:pPr algn="l" rtl="0">
            <a:defRPr sz="1000"/>
          </a:pPr>
          <a:fld id="{0F8B8801-C5EA-4FBD-95F5-162EB7ADACC8}" type="TxLink">
            <a:rPr lang="en-US" sz="1000" b="1" i="0" u="none" strike="noStrike">
              <a:solidFill>
                <a:srgbClr val="0000FF"/>
              </a:solidFill>
              <a:latin typeface="Arial"/>
              <a:cs typeface="Arial"/>
            </a:rPr>
            <a:pPr algn="l" rtl="0">
              <a:defRPr sz="1000"/>
            </a:pPr>
            <a:t>1.2V</a:t>
          </a:fld>
          <a:endParaRPr lang="en-US" sz="1000" b="1" i="0" strike="noStrike">
            <a:solidFill>
              <a:srgbClr val="0000FF"/>
            </a:solidFill>
            <a:latin typeface="Arial"/>
            <a:cs typeface="Arial"/>
          </a:endParaRPr>
        </a:p>
      </xdr:txBody>
    </xdr:sp>
    <xdr:clientData/>
  </xdr:twoCellAnchor>
  <xdr:twoCellAnchor>
    <xdr:from>
      <xdr:col>16</xdr:col>
      <xdr:colOff>0</xdr:colOff>
      <xdr:row>34</xdr:row>
      <xdr:rowOff>142875</xdr:rowOff>
    </xdr:from>
    <xdr:to>
      <xdr:col>16</xdr:col>
      <xdr:colOff>0</xdr:colOff>
      <xdr:row>36</xdr:row>
      <xdr:rowOff>152400</xdr:rowOff>
    </xdr:to>
    <xdr:grpSp>
      <xdr:nvGrpSpPr>
        <xdr:cNvPr id="5" name="Group 25">
          <a:extLst>
            <a:ext uri="{FF2B5EF4-FFF2-40B4-BE49-F238E27FC236}">
              <a16:creationId xmlns:a16="http://schemas.microsoft.com/office/drawing/2014/main" id="{00000000-0008-0000-0400-000005000000}"/>
            </a:ext>
          </a:extLst>
        </xdr:cNvPr>
        <xdr:cNvGrpSpPr>
          <a:grpSpLocks/>
        </xdr:cNvGrpSpPr>
      </xdr:nvGrpSpPr>
      <xdr:grpSpPr bwMode="auto">
        <a:xfrm>
          <a:off x="33137475" y="69789675"/>
          <a:ext cx="0" cy="4333875"/>
          <a:chOff x="953" y="747"/>
          <a:chExt cx="76" cy="41"/>
        </a:xfrm>
      </xdr:grpSpPr>
      <xdr:sp macro="" textlink="">
        <xdr:nvSpPr>
          <xdr:cNvPr id="6" name="Text Box 26">
            <a:extLst>
              <a:ext uri="{FF2B5EF4-FFF2-40B4-BE49-F238E27FC236}">
                <a16:creationId xmlns:a16="http://schemas.microsoft.com/office/drawing/2014/main" id="{00000000-0008-0000-0400-000006000000}"/>
              </a:ext>
            </a:extLst>
          </xdr:cNvPr>
          <xdr:cNvSpPr txBox="1">
            <a:spLocks noChangeArrowheads="1"/>
          </xdr:cNvSpPr>
        </xdr:nvSpPr>
        <xdr:spPr bwMode="auto">
          <a:xfrm>
            <a:off x="16906875" y="-6462072205698"/>
            <a:ext cx="0" cy="21"/>
          </a:xfrm>
          <a:prstGeom prst="rect">
            <a:avLst/>
          </a:prstGeom>
          <a:noFill/>
          <a:ln w="9525">
            <a:noFill/>
            <a:miter lim="800000"/>
            <a:headEnd/>
            <a:tailEnd/>
          </a:ln>
        </xdr:spPr>
        <xdr:txBody>
          <a:bodyPr vertOverflow="clip" wrap="square" lIns="27432" tIns="22860" rIns="0" bIns="0" anchor="t" upright="1"/>
          <a:lstStyle/>
          <a:p>
            <a:pPr algn="l" rtl="0">
              <a:defRPr sz="1000"/>
            </a:pPr>
            <a:r>
              <a:rPr lang="en-US" sz="1000" b="1" i="0" strike="noStrike">
                <a:solidFill>
                  <a:srgbClr val="0000FF"/>
                </a:solidFill>
                <a:latin typeface="Arial"/>
                <a:cs typeface="Arial"/>
              </a:rPr>
              <a:t>C</a:t>
            </a:r>
            <a:r>
              <a:rPr lang="en-US" sz="1000" b="1" i="0" strike="noStrike" baseline="-25000">
                <a:solidFill>
                  <a:srgbClr val="0000FF"/>
                </a:solidFill>
                <a:latin typeface="Arial"/>
                <a:cs typeface="Arial"/>
              </a:rPr>
              <a:t>OUT</a:t>
            </a:r>
          </a:p>
        </xdr:txBody>
      </xdr:sp>
      <xdr:sp macro="" textlink="">
        <xdr:nvSpPr>
          <xdr:cNvPr id="7" name="Text Box 27">
            <a:extLst>
              <a:ext uri="{FF2B5EF4-FFF2-40B4-BE49-F238E27FC236}">
                <a16:creationId xmlns:a16="http://schemas.microsoft.com/office/drawing/2014/main" id="{00000000-0008-0000-0400-000007000000}"/>
              </a:ext>
            </a:extLst>
          </xdr:cNvPr>
          <xdr:cNvSpPr txBox="1">
            <a:spLocks noChangeArrowheads="1" noTextEdit="1"/>
          </xdr:cNvSpPr>
        </xdr:nvSpPr>
        <xdr:spPr bwMode="auto">
          <a:xfrm>
            <a:off x="16906875" y="-11225863852848"/>
            <a:ext cx="0" cy="21"/>
          </a:xfrm>
          <a:prstGeom prst="rect">
            <a:avLst/>
          </a:prstGeom>
          <a:noFill/>
          <a:ln w="9525">
            <a:noFill/>
            <a:miter lim="800000"/>
            <a:headEnd/>
            <a:tailEnd/>
          </a:ln>
        </xdr:spPr>
        <xdr:txBody>
          <a:bodyPr vertOverflow="clip" wrap="square" lIns="27432" tIns="22860" rIns="0" bIns="0" anchor="t" upright="1"/>
          <a:lstStyle/>
          <a:p>
            <a:pPr algn="l" rtl="0">
              <a:defRPr sz="1000"/>
            </a:pPr>
            <a:fld id="{FA2B5858-D1A0-4A0D-80A7-2946C710A8EC}" type="TxLink">
              <a:rPr lang="en-US" sz="1000" b="1" i="0" u="none" strike="noStrike">
                <a:solidFill>
                  <a:srgbClr val="0000FF"/>
                </a:solidFill>
                <a:latin typeface="Arial"/>
                <a:cs typeface="Arial"/>
              </a:rPr>
              <a:pPr algn="l" rtl="0">
                <a:defRPr sz="1000"/>
              </a:pPr>
              <a:t>140µF</a:t>
            </a:fld>
            <a:endParaRPr lang="en-US" sz="1000" b="1" i="0" strike="noStrike">
              <a:solidFill>
                <a:srgbClr val="0000FF"/>
              </a:solidFill>
              <a:latin typeface="Arial"/>
              <a:cs typeface="Arial"/>
            </a:endParaRPr>
          </a:p>
        </xdr:txBody>
      </xdr:sp>
    </xdr:grpSp>
    <xdr:clientData/>
  </xdr:twoCellAnchor>
  <xdr:twoCellAnchor editAs="oneCell">
    <xdr:from>
      <xdr:col>0</xdr:col>
      <xdr:colOff>844825</xdr:colOff>
      <xdr:row>5</xdr:row>
      <xdr:rowOff>207064</xdr:rowOff>
    </xdr:from>
    <xdr:to>
      <xdr:col>1</xdr:col>
      <xdr:colOff>8229599</xdr:colOff>
      <xdr:row>6</xdr:row>
      <xdr:rowOff>4009291</xdr:rowOff>
    </xdr:to>
    <xdr:pic>
      <xdr:nvPicPr>
        <xdr:cNvPr id="23" name="Picture 22">
          <a:extLst>
            <a:ext uri="{FF2B5EF4-FFF2-40B4-BE49-F238E27FC236}">
              <a16:creationId xmlns:a16="http://schemas.microsoft.com/office/drawing/2014/main" id="{00000000-0008-0000-04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4825" y="1026214"/>
          <a:ext cx="8232499" cy="401177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846666</xdr:colOff>
      <xdr:row>7</xdr:row>
      <xdr:rowOff>222249</xdr:rowOff>
    </xdr:from>
    <xdr:to>
      <xdr:col>1</xdr:col>
      <xdr:colOff>8229599</xdr:colOff>
      <xdr:row>8</xdr:row>
      <xdr:rowOff>4009291</xdr:rowOff>
    </xdr:to>
    <xdr:pic>
      <xdr:nvPicPr>
        <xdr:cNvPr id="24" name="Picture 23">
          <a:extLst>
            <a:ext uri="{FF2B5EF4-FFF2-40B4-BE49-F238E27FC236}">
              <a16:creationId xmlns:a16="http://schemas.microsoft.com/office/drawing/2014/main" id="{00000000-0008-0000-0400-000018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46666" y="6826249"/>
          <a:ext cx="8229600" cy="40092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846666</xdr:colOff>
      <xdr:row>9</xdr:row>
      <xdr:rowOff>158749</xdr:rowOff>
    </xdr:from>
    <xdr:to>
      <xdr:col>1</xdr:col>
      <xdr:colOff>8229599</xdr:colOff>
      <xdr:row>10</xdr:row>
      <xdr:rowOff>4009291</xdr:rowOff>
    </xdr:to>
    <xdr:pic>
      <xdr:nvPicPr>
        <xdr:cNvPr id="25" name="Picture 24">
          <a:extLst>
            <a:ext uri="{FF2B5EF4-FFF2-40B4-BE49-F238E27FC236}">
              <a16:creationId xmlns:a16="http://schemas.microsoft.com/office/drawing/2014/main" id="{00000000-0008-0000-0400-000019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46666" y="11144249"/>
          <a:ext cx="8229600" cy="40092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846666</xdr:colOff>
      <xdr:row>11</xdr:row>
      <xdr:rowOff>158749</xdr:rowOff>
    </xdr:from>
    <xdr:to>
      <xdr:col>1</xdr:col>
      <xdr:colOff>8229599</xdr:colOff>
      <xdr:row>12</xdr:row>
      <xdr:rowOff>4009291</xdr:rowOff>
    </xdr:to>
    <xdr:pic>
      <xdr:nvPicPr>
        <xdr:cNvPr id="26" name="Picture 25">
          <a:extLst>
            <a:ext uri="{FF2B5EF4-FFF2-40B4-BE49-F238E27FC236}">
              <a16:creationId xmlns:a16="http://schemas.microsoft.com/office/drawing/2014/main" id="{00000000-0008-0000-0400-00001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46666" y="15462249"/>
          <a:ext cx="8229600" cy="40092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846666</xdr:colOff>
      <xdr:row>13</xdr:row>
      <xdr:rowOff>158749</xdr:rowOff>
    </xdr:from>
    <xdr:to>
      <xdr:col>1</xdr:col>
      <xdr:colOff>8229599</xdr:colOff>
      <xdr:row>14</xdr:row>
      <xdr:rowOff>4009291</xdr:rowOff>
    </xdr:to>
    <xdr:pic>
      <xdr:nvPicPr>
        <xdr:cNvPr id="27" name="Picture 26">
          <a:extLst>
            <a:ext uri="{FF2B5EF4-FFF2-40B4-BE49-F238E27FC236}">
              <a16:creationId xmlns:a16="http://schemas.microsoft.com/office/drawing/2014/main" id="{00000000-0008-0000-0400-00001B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46666" y="19837399"/>
          <a:ext cx="8230658" cy="40124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846666</xdr:colOff>
      <xdr:row>15</xdr:row>
      <xdr:rowOff>158749</xdr:rowOff>
    </xdr:from>
    <xdr:to>
      <xdr:col>1</xdr:col>
      <xdr:colOff>8229599</xdr:colOff>
      <xdr:row>16</xdr:row>
      <xdr:rowOff>4009291</xdr:rowOff>
    </xdr:to>
    <xdr:pic>
      <xdr:nvPicPr>
        <xdr:cNvPr id="28" name="Picture 27">
          <a:extLst>
            <a:ext uri="{FF2B5EF4-FFF2-40B4-BE49-F238E27FC236}">
              <a16:creationId xmlns:a16="http://schemas.microsoft.com/office/drawing/2014/main" id="{00000000-0008-0000-0400-00001C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46666" y="24098249"/>
          <a:ext cx="8229600" cy="40092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847724</xdr:colOff>
      <xdr:row>16</xdr:row>
      <xdr:rowOff>4162424</xdr:rowOff>
    </xdr:from>
    <xdr:to>
      <xdr:col>1</xdr:col>
      <xdr:colOff>8229599</xdr:colOff>
      <xdr:row>17</xdr:row>
      <xdr:rowOff>4009291</xdr:rowOff>
    </xdr:to>
    <xdr:pic>
      <xdr:nvPicPr>
        <xdr:cNvPr id="29" name="Picture 28">
          <a:extLst>
            <a:ext uri="{FF2B5EF4-FFF2-40B4-BE49-F238E27FC236}">
              <a16:creationId xmlns:a16="http://schemas.microsoft.com/office/drawing/2014/main" id="{00000000-0008-0000-0400-00001D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47724" y="28327349"/>
          <a:ext cx="8229600" cy="40092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847724</xdr:colOff>
      <xdr:row>17</xdr:row>
      <xdr:rowOff>4162424</xdr:rowOff>
    </xdr:from>
    <xdr:to>
      <xdr:col>1</xdr:col>
      <xdr:colOff>8229599</xdr:colOff>
      <xdr:row>18</xdr:row>
      <xdr:rowOff>4009291</xdr:rowOff>
    </xdr:to>
    <xdr:pic>
      <xdr:nvPicPr>
        <xdr:cNvPr id="30" name="Picture 29">
          <a:extLst>
            <a:ext uri="{FF2B5EF4-FFF2-40B4-BE49-F238E27FC236}">
              <a16:creationId xmlns:a16="http://schemas.microsoft.com/office/drawing/2014/main" id="{00000000-0008-0000-0400-00001E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847724" y="32489774"/>
          <a:ext cx="8229600" cy="40092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847724</xdr:colOff>
      <xdr:row>18</xdr:row>
      <xdr:rowOff>4162424</xdr:rowOff>
    </xdr:from>
    <xdr:to>
      <xdr:col>1</xdr:col>
      <xdr:colOff>8229599</xdr:colOff>
      <xdr:row>19</xdr:row>
      <xdr:rowOff>4009291</xdr:rowOff>
    </xdr:to>
    <xdr:pic>
      <xdr:nvPicPr>
        <xdr:cNvPr id="31" name="Picture 30">
          <a:extLst>
            <a:ext uri="{FF2B5EF4-FFF2-40B4-BE49-F238E27FC236}">
              <a16:creationId xmlns:a16="http://schemas.microsoft.com/office/drawing/2014/main" id="{00000000-0008-0000-0400-00001F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847724" y="36652199"/>
          <a:ext cx="8229600" cy="40092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847724</xdr:colOff>
      <xdr:row>19</xdr:row>
      <xdr:rowOff>4162424</xdr:rowOff>
    </xdr:from>
    <xdr:to>
      <xdr:col>1</xdr:col>
      <xdr:colOff>8229599</xdr:colOff>
      <xdr:row>20</xdr:row>
      <xdr:rowOff>4009291</xdr:rowOff>
    </xdr:to>
    <xdr:pic>
      <xdr:nvPicPr>
        <xdr:cNvPr id="32" name="Picture 31">
          <a:extLst>
            <a:ext uri="{FF2B5EF4-FFF2-40B4-BE49-F238E27FC236}">
              <a16:creationId xmlns:a16="http://schemas.microsoft.com/office/drawing/2014/main" id="{00000000-0008-0000-0400-000020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847724" y="40814624"/>
          <a:ext cx="8229600" cy="40092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847724</xdr:colOff>
      <xdr:row>21</xdr:row>
      <xdr:rowOff>161924</xdr:rowOff>
    </xdr:from>
    <xdr:to>
      <xdr:col>1</xdr:col>
      <xdr:colOff>8229599</xdr:colOff>
      <xdr:row>22</xdr:row>
      <xdr:rowOff>4009291</xdr:rowOff>
    </xdr:to>
    <xdr:pic>
      <xdr:nvPicPr>
        <xdr:cNvPr id="34" name="Picture 33">
          <a:extLst>
            <a:ext uri="{FF2B5EF4-FFF2-40B4-BE49-F238E27FC236}">
              <a16:creationId xmlns:a16="http://schemas.microsoft.com/office/drawing/2014/main" id="{00000000-0008-0000-0400-000022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847724" y="45138974"/>
          <a:ext cx="8229600" cy="40092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847724</xdr:colOff>
      <xdr:row>23</xdr:row>
      <xdr:rowOff>161924</xdr:rowOff>
    </xdr:from>
    <xdr:to>
      <xdr:col>1</xdr:col>
      <xdr:colOff>8229599</xdr:colOff>
      <xdr:row>24</xdr:row>
      <xdr:rowOff>4009291</xdr:rowOff>
    </xdr:to>
    <xdr:pic>
      <xdr:nvPicPr>
        <xdr:cNvPr id="35" name="Picture 34">
          <a:extLst>
            <a:ext uri="{FF2B5EF4-FFF2-40B4-BE49-F238E27FC236}">
              <a16:creationId xmlns:a16="http://schemas.microsoft.com/office/drawing/2014/main" id="{00000000-0008-0000-0400-000023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847724" y="49463324"/>
          <a:ext cx="8229600" cy="40092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847724</xdr:colOff>
      <xdr:row>25</xdr:row>
      <xdr:rowOff>161924</xdr:rowOff>
    </xdr:from>
    <xdr:to>
      <xdr:col>1</xdr:col>
      <xdr:colOff>8229599</xdr:colOff>
      <xdr:row>26</xdr:row>
      <xdr:rowOff>4009291</xdr:rowOff>
    </xdr:to>
    <xdr:pic>
      <xdr:nvPicPr>
        <xdr:cNvPr id="36" name="Picture 35">
          <a:extLst>
            <a:ext uri="{FF2B5EF4-FFF2-40B4-BE49-F238E27FC236}">
              <a16:creationId xmlns:a16="http://schemas.microsoft.com/office/drawing/2014/main" id="{00000000-0008-0000-0400-000024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847724" y="53787674"/>
          <a:ext cx="8229600" cy="40092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847724</xdr:colOff>
      <xdr:row>27</xdr:row>
      <xdr:rowOff>161924</xdr:rowOff>
    </xdr:from>
    <xdr:to>
      <xdr:col>1</xdr:col>
      <xdr:colOff>8229599</xdr:colOff>
      <xdr:row>28</xdr:row>
      <xdr:rowOff>4009291</xdr:rowOff>
    </xdr:to>
    <xdr:pic>
      <xdr:nvPicPr>
        <xdr:cNvPr id="37" name="Picture 36">
          <a:extLst>
            <a:ext uri="{FF2B5EF4-FFF2-40B4-BE49-F238E27FC236}">
              <a16:creationId xmlns:a16="http://schemas.microsoft.com/office/drawing/2014/main" id="{00000000-0008-0000-0400-000025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847724" y="58102499"/>
          <a:ext cx="8229600" cy="40092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847724</xdr:colOff>
      <xdr:row>29</xdr:row>
      <xdr:rowOff>171449</xdr:rowOff>
    </xdr:from>
    <xdr:to>
      <xdr:col>1</xdr:col>
      <xdr:colOff>8229599</xdr:colOff>
      <xdr:row>30</xdr:row>
      <xdr:rowOff>4009291</xdr:rowOff>
    </xdr:to>
    <xdr:pic>
      <xdr:nvPicPr>
        <xdr:cNvPr id="38" name="Picture 37">
          <a:extLst>
            <a:ext uri="{FF2B5EF4-FFF2-40B4-BE49-F238E27FC236}">
              <a16:creationId xmlns:a16="http://schemas.microsoft.com/office/drawing/2014/main" id="{00000000-0008-0000-0400-000026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847724" y="62436374"/>
          <a:ext cx="8229600" cy="40092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847724</xdr:colOff>
      <xdr:row>31</xdr:row>
      <xdr:rowOff>171449</xdr:rowOff>
    </xdr:from>
    <xdr:to>
      <xdr:col>1</xdr:col>
      <xdr:colOff>8229599</xdr:colOff>
      <xdr:row>32</xdr:row>
      <xdr:rowOff>4009291</xdr:rowOff>
    </xdr:to>
    <xdr:pic>
      <xdr:nvPicPr>
        <xdr:cNvPr id="39" name="Picture 38">
          <a:extLst>
            <a:ext uri="{FF2B5EF4-FFF2-40B4-BE49-F238E27FC236}">
              <a16:creationId xmlns:a16="http://schemas.microsoft.com/office/drawing/2014/main" id="{00000000-0008-0000-0400-000027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847724" y="66770249"/>
          <a:ext cx="8229600" cy="40092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847724</xdr:colOff>
      <xdr:row>33</xdr:row>
      <xdr:rowOff>171449</xdr:rowOff>
    </xdr:from>
    <xdr:to>
      <xdr:col>1</xdr:col>
      <xdr:colOff>8229599</xdr:colOff>
      <xdr:row>34</xdr:row>
      <xdr:rowOff>4009291</xdr:rowOff>
    </xdr:to>
    <xdr:pic>
      <xdr:nvPicPr>
        <xdr:cNvPr id="41" name="Picture 40">
          <a:extLst>
            <a:ext uri="{FF2B5EF4-FFF2-40B4-BE49-F238E27FC236}">
              <a16:creationId xmlns:a16="http://schemas.microsoft.com/office/drawing/2014/main" id="{00000000-0008-0000-0400-000029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847724" y="71104124"/>
          <a:ext cx="8229600" cy="40092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847724</xdr:colOff>
      <xdr:row>35</xdr:row>
      <xdr:rowOff>171449</xdr:rowOff>
    </xdr:from>
    <xdr:to>
      <xdr:col>1</xdr:col>
      <xdr:colOff>8229599</xdr:colOff>
      <xdr:row>36</xdr:row>
      <xdr:rowOff>4009291</xdr:rowOff>
    </xdr:to>
    <xdr:pic>
      <xdr:nvPicPr>
        <xdr:cNvPr id="42" name="Picture 41">
          <a:extLst>
            <a:ext uri="{FF2B5EF4-FFF2-40B4-BE49-F238E27FC236}">
              <a16:creationId xmlns:a16="http://schemas.microsoft.com/office/drawing/2014/main" id="{00000000-0008-0000-0400-00002A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847724" y="75428474"/>
          <a:ext cx="8229600" cy="40092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847724</xdr:colOff>
      <xdr:row>37</xdr:row>
      <xdr:rowOff>171449</xdr:rowOff>
    </xdr:from>
    <xdr:to>
      <xdr:col>1</xdr:col>
      <xdr:colOff>8229599</xdr:colOff>
      <xdr:row>38</xdr:row>
      <xdr:rowOff>4009291</xdr:rowOff>
    </xdr:to>
    <xdr:pic>
      <xdr:nvPicPr>
        <xdr:cNvPr id="43" name="Picture 42">
          <a:extLst>
            <a:ext uri="{FF2B5EF4-FFF2-40B4-BE49-F238E27FC236}">
              <a16:creationId xmlns:a16="http://schemas.microsoft.com/office/drawing/2014/main" id="{00000000-0008-0000-0400-00002B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847724" y="79762349"/>
          <a:ext cx="8229600" cy="40092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847724</xdr:colOff>
      <xdr:row>39</xdr:row>
      <xdr:rowOff>161924</xdr:rowOff>
    </xdr:from>
    <xdr:to>
      <xdr:col>1</xdr:col>
      <xdr:colOff>8229599</xdr:colOff>
      <xdr:row>40</xdr:row>
      <xdr:rowOff>4009291</xdr:rowOff>
    </xdr:to>
    <xdr:pic>
      <xdr:nvPicPr>
        <xdr:cNvPr id="44" name="Picture 43">
          <a:extLst>
            <a:ext uri="{FF2B5EF4-FFF2-40B4-BE49-F238E27FC236}">
              <a16:creationId xmlns:a16="http://schemas.microsoft.com/office/drawing/2014/main" id="{00000000-0008-0000-0400-00002C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847724" y="84086699"/>
          <a:ext cx="8229600" cy="40092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847724</xdr:colOff>
      <xdr:row>41</xdr:row>
      <xdr:rowOff>161924</xdr:rowOff>
    </xdr:from>
    <xdr:to>
      <xdr:col>1</xdr:col>
      <xdr:colOff>8229599</xdr:colOff>
      <xdr:row>42</xdr:row>
      <xdr:rowOff>4009291</xdr:rowOff>
    </xdr:to>
    <xdr:pic>
      <xdr:nvPicPr>
        <xdr:cNvPr id="45" name="Picture 44">
          <a:extLst>
            <a:ext uri="{FF2B5EF4-FFF2-40B4-BE49-F238E27FC236}">
              <a16:creationId xmlns:a16="http://schemas.microsoft.com/office/drawing/2014/main" id="{00000000-0008-0000-0400-00002D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847724" y="88411049"/>
          <a:ext cx="8229600" cy="40092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847724</xdr:colOff>
      <xdr:row>43</xdr:row>
      <xdr:rowOff>161924</xdr:rowOff>
    </xdr:from>
    <xdr:to>
      <xdr:col>1</xdr:col>
      <xdr:colOff>8229599</xdr:colOff>
      <xdr:row>44</xdr:row>
      <xdr:rowOff>4009291</xdr:rowOff>
    </xdr:to>
    <xdr:pic>
      <xdr:nvPicPr>
        <xdr:cNvPr id="46" name="Picture 45">
          <a:extLst>
            <a:ext uri="{FF2B5EF4-FFF2-40B4-BE49-F238E27FC236}">
              <a16:creationId xmlns:a16="http://schemas.microsoft.com/office/drawing/2014/main" id="{00000000-0008-0000-0400-00002E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847724" y="92735399"/>
          <a:ext cx="8229600" cy="40092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847724</xdr:colOff>
      <xdr:row>45</xdr:row>
      <xdr:rowOff>161924</xdr:rowOff>
    </xdr:from>
    <xdr:to>
      <xdr:col>1</xdr:col>
      <xdr:colOff>8229599</xdr:colOff>
      <xdr:row>46</xdr:row>
      <xdr:rowOff>4009291</xdr:rowOff>
    </xdr:to>
    <xdr:pic>
      <xdr:nvPicPr>
        <xdr:cNvPr id="47" name="Picture 46">
          <a:extLst>
            <a:ext uri="{FF2B5EF4-FFF2-40B4-BE49-F238E27FC236}">
              <a16:creationId xmlns:a16="http://schemas.microsoft.com/office/drawing/2014/main" id="{00000000-0008-0000-0400-00002F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847724" y="97059749"/>
          <a:ext cx="8229600" cy="40092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847724</xdr:colOff>
      <xdr:row>47</xdr:row>
      <xdr:rowOff>161924</xdr:rowOff>
    </xdr:from>
    <xdr:to>
      <xdr:col>1</xdr:col>
      <xdr:colOff>8229599</xdr:colOff>
      <xdr:row>48</xdr:row>
      <xdr:rowOff>4009291</xdr:rowOff>
    </xdr:to>
    <xdr:pic>
      <xdr:nvPicPr>
        <xdr:cNvPr id="48" name="Picture 47">
          <a:extLst>
            <a:ext uri="{FF2B5EF4-FFF2-40B4-BE49-F238E27FC236}">
              <a16:creationId xmlns:a16="http://schemas.microsoft.com/office/drawing/2014/main" id="{00000000-0008-0000-0400-000030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847724" y="101384099"/>
          <a:ext cx="8229600" cy="40092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609599</xdr:colOff>
      <xdr:row>5</xdr:row>
      <xdr:rowOff>209549</xdr:rowOff>
    </xdr:from>
    <xdr:to>
      <xdr:col>4</xdr:col>
      <xdr:colOff>8229599</xdr:colOff>
      <xdr:row>6</xdr:row>
      <xdr:rowOff>4009291</xdr:rowOff>
    </xdr:to>
    <xdr:pic>
      <xdr:nvPicPr>
        <xdr:cNvPr id="49" name="Picture 48">
          <a:extLst>
            <a:ext uri="{FF2B5EF4-FFF2-40B4-BE49-F238E27FC236}">
              <a16:creationId xmlns:a16="http://schemas.microsoft.com/office/drawing/2014/main" id="{00000000-0008-0000-0400-000031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10391774" y="1028699"/>
          <a:ext cx="8229600" cy="40092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609599</xdr:colOff>
      <xdr:row>7</xdr:row>
      <xdr:rowOff>219074</xdr:rowOff>
    </xdr:from>
    <xdr:to>
      <xdr:col>4</xdr:col>
      <xdr:colOff>8229599</xdr:colOff>
      <xdr:row>8</xdr:row>
      <xdr:rowOff>4009291</xdr:rowOff>
    </xdr:to>
    <xdr:pic>
      <xdr:nvPicPr>
        <xdr:cNvPr id="50" name="Picture 49">
          <a:extLst>
            <a:ext uri="{FF2B5EF4-FFF2-40B4-BE49-F238E27FC236}">
              <a16:creationId xmlns:a16="http://schemas.microsoft.com/office/drawing/2014/main" id="{00000000-0008-0000-0400-000032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10391774" y="5410199"/>
          <a:ext cx="8229600" cy="40092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609599</xdr:colOff>
      <xdr:row>9</xdr:row>
      <xdr:rowOff>161924</xdr:rowOff>
    </xdr:from>
    <xdr:to>
      <xdr:col>4</xdr:col>
      <xdr:colOff>8229599</xdr:colOff>
      <xdr:row>10</xdr:row>
      <xdr:rowOff>4009291</xdr:rowOff>
    </xdr:to>
    <xdr:pic>
      <xdr:nvPicPr>
        <xdr:cNvPr id="51" name="Picture 50">
          <a:extLst>
            <a:ext uri="{FF2B5EF4-FFF2-40B4-BE49-F238E27FC236}">
              <a16:creationId xmlns:a16="http://schemas.microsoft.com/office/drawing/2014/main" id="{00000000-0008-0000-0400-000033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10391774" y="9734549"/>
          <a:ext cx="8229600" cy="40092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609599</xdr:colOff>
      <xdr:row>11</xdr:row>
      <xdr:rowOff>161924</xdr:rowOff>
    </xdr:from>
    <xdr:to>
      <xdr:col>4</xdr:col>
      <xdr:colOff>8229599</xdr:colOff>
      <xdr:row>12</xdr:row>
      <xdr:rowOff>4009291</xdr:rowOff>
    </xdr:to>
    <xdr:pic>
      <xdr:nvPicPr>
        <xdr:cNvPr id="52" name="Picture 51">
          <a:extLst>
            <a:ext uri="{FF2B5EF4-FFF2-40B4-BE49-F238E27FC236}">
              <a16:creationId xmlns:a16="http://schemas.microsoft.com/office/drawing/2014/main" id="{00000000-0008-0000-0400-000034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391774" y="14058899"/>
          <a:ext cx="8229600" cy="40092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609599</xdr:colOff>
      <xdr:row>13</xdr:row>
      <xdr:rowOff>161924</xdr:rowOff>
    </xdr:from>
    <xdr:to>
      <xdr:col>4</xdr:col>
      <xdr:colOff>8229599</xdr:colOff>
      <xdr:row>14</xdr:row>
      <xdr:rowOff>4009291</xdr:rowOff>
    </xdr:to>
    <xdr:pic>
      <xdr:nvPicPr>
        <xdr:cNvPr id="53" name="Picture 52">
          <a:extLst>
            <a:ext uri="{FF2B5EF4-FFF2-40B4-BE49-F238E27FC236}">
              <a16:creationId xmlns:a16="http://schemas.microsoft.com/office/drawing/2014/main" id="{00000000-0008-0000-0400-000035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10391774" y="18383249"/>
          <a:ext cx="8229600" cy="40092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609599</xdr:colOff>
      <xdr:row>15</xdr:row>
      <xdr:rowOff>161924</xdr:rowOff>
    </xdr:from>
    <xdr:to>
      <xdr:col>4</xdr:col>
      <xdr:colOff>8229599</xdr:colOff>
      <xdr:row>16</xdr:row>
      <xdr:rowOff>4009291</xdr:rowOff>
    </xdr:to>
    <xdr:pic>
      <xdr:nvPicPr>
        <xdr:cNvPr id="54" name="Picture 53">
          <a:extLst>
            <a:ext uri="{FF2B5EF4-FFF2-40B4-BE49-F238E27FC236}">
              <a16:creationId xmlns:a16="http://schemas.microsoft.com/office/drawing/2014/main" id="{00000000-0008-0000-0400-000036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10391774" y="22707599"/>
          <a:ext cx="8229600" cy="40092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609599</xdr:colOff>
      <xdr:row>16</xdr:row>
      <xdr:rowOff>4162424</xdr:rowOff>
    </xdr:from>
    <xdr:to>
      <xdr:col>4</xdr:col>
      <xdr:colOff>8229599</xdr:colOff>
      <xdr:row>17</xdr:row>
      <xdr:rowOff>4009291</xdr:rowOff>
    </xdr:to>
    <xdr:pic>
      <xdr:nvPicPr>
        <xdr:cNvPr id="55" name="Picture 54">
          <a:extLst>
            <a:ext uri="{FF2B5EF4-FFF2-40B4-BE49-F238E27FC236}">
              <a16:creationId xmlns:a16="http://schemas.microsoft.com/office/drawing/2014/main" id="{00000000-0008-0000-0400-000037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10391774" y="26870024"/>
          <a:ext cx="8229600" cy="40092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609599</xdr:colOff>
      <xdr:row>17</xdr:row>
      <xdr:rowOff>4162424</xdr:rowOff>
    </xdr:from>
    <xdr:to>
      <xdr:col>4</xdr:col>
      <xdr:colOff>8229599</xdr:colOff>
      <xdr:row>18</xdr:row>
      <xdr:rowOff>4009291</xdr:rowOff>
    </xdr:to>
    <xdr:pic>
      <xdr:nvPicPr>
        <xdr:cNvPr id="56" name="Picture 55">
          <a:extLst>
            <a:ext uri="{FF2B5EF4-FFF2-40B4-BE49-F238E27FC236}">
              <a16:creationId xmlns:a16="http://schemas.microsoft.com/office/drawing/2014/main" id="{00000000-0008-0000-0400-000038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0391774" y="31032449"/>
          <a:ext cx="8229600" cy="40092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609599</xdr:colOff>
      <xdr:row>18</xdr:row>
      <xdr:rowOff>4162424</xdr:rowOff>
    </xdr:from>
    <xdr:to>
      <xdr:col>4</xdr:col>
      <xdr:colOff>8229599</xdr:colOff>
      <xdr:row>19</xdr:row>
      <xdr:rowOff>4009291</xdr:rowOff>
    </xdr:to>
    <xdr:pic>
      <xdr:nvPicPr>
        <xdr:cNvPr id="57" name="Picture 56">
          <a:extLst>
            <a:ext uri="{FF2B5EF4-FFF2-40B4-BE49-F238E27FC236}">
              <a16:creationId xmlns:a16="http://schemas.microsoft.com/office/drawing/2014/main" id="{00000000-0008-0000-0400-000039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10391774" y="35194874"/>
          <a:ext cx="8229600" cy="40092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609599</xdr:colOff>
      <xdr:row>19</xdr:row>
      <xdr:rowOff>4162424</xdr:rowOff>
    </xdr:from>
    <xdr:to>
      <xdr:col>4</xdr:col>
      <xdr:colOff>8229599</xdr:colOff>
      <xdr:row>20</xdr:row>
      <xdr:rowOff>4009291</xdr:rowOff>
    </xdr:to>
    <xdr:pic>
      <xdr:nvPicPr>
        <xdr:cNvPr id="58" name="Picture 57">
          <a:extLst>
            <a:ext uri="{FF2B5EF4-FFF2-40B4-BE49-F238E27FC236}">
              <a16:creationId xmlns:a16="http://schemas.microsoft.com/office/drawing/2014/main" id="{00000000-0008-0000-0400-00003A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10391774" y="39357299"/>
          <a:ext cx="8229600" cy="40092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609599</xdr:colOff>
      <xdr:row>21</xdr:row>
      <xdr:rowOff>161924</xdr:rowOff>
    </xdr:from>
    <xdr:to>
      <xdr:col>4</xdr:col>
      <xdr:colOff>8229599</xdr:colOff>
      <xdr:row>22</xdr:row>
      <xdr:rowOff>4009291</xdr:rowOff>
    </xdr:to>
    <xdr:pic>
      <xdr:nvPicPr>
        <xdr:cNvPr id="59" name="Picture 58">
          <a:extLst>
            <a:ext uri="{FF2B5EF4-FFF2-40B4-BE49-F238E27FC236}">
              <a16:creationId xmlns:a16="http://schemas.microsoft.com/office/drawing/2014/main" id="{00000000-0008-0000-0400-00003B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10391774" y="43681649"/>
          <a:ext cx="8229600" cy="40092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609599</xdr:colOff>
      <xdr:row>23</xdr:row>
      <xdr:rowOff>161924</xdr:rowOff>
    </xdr:from>
    <xdr:to>
      <xdr:col>4</xdr:col>
      <xdr:colOff>8229599</xdr:colOff>
      <xdr:row>24</xdr:row>
      <xdr:rowOff>4009291</xdr:rowOff>
    </xdr:to>
    <xdr:pic>
      <xdr:nvPicPr>
        <xdr:cNvPr id="60" name="Picture 59">
          <a:extLst>
            <a:ext uri="{FF2B5EF4-FFF2-40B4-BE49-F238E27FC236}">
              <a16:creationId xmlns:a16="http://schemas.microsoft.com/office/drawing/2014/main" id="{00000000-0008-0000-0400-00003C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391774" y="48005999"/>
          <a:ext cx="8229600" cy="40092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609599</xdr:colOff>
      <xdr:row>25</xdr:row>
      <xdr:rowOff>161924</xdr:rowOff>
    </xdr:from>
    <xdr:to>
      <xdr:col>4</xdr:col>
      <xdr:colOff>8229599</xdr:colOff>
      <xdr:row>26</xdr:row>
      <xdr:rowOff>4009291</xdr:rowOff>
    </xdr:to>
    <xdr:pic>
      <xdr:nvPicPr>
        <xdr:cNvPr id="61" name="Picture 60">
          <a:extLst>
            <a:ext uri="{FF2B5EF4-FFF2-40B4-BE49-F238E27FC236}">
              <a16:creationId xmlns:a16="http://schemas.microsoft.com/office/drawing/2014/main" id="{00000000-0008-0000-0400-00003D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10391774" y="52330349"/>
          <a:ext cx="8229600" cy="40092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609599</xdr:colOff>
      <xdr:row>27</xdr:row>
      <xdr:rowOff>161924</xdr:rowOff>
    </xdr:from>
    <xdr:to>
      <xdr:col>4</xdr:col>
      <xdr:colOff>8229599</xdr:colOff>
      <xdr:row>28</xdr:row>
      <xdr:rowOff>4009291</xdr:rowOff>
    </xdr:to>
    <xdr:pic>
      <xdr:nvPicPr>
        <xdr:cNvPr id="62" name="Picture 61">
          <a:extLst>
            <a:ext uri="{FF2B5EF4-FFF2-40B4-BE49-F238E27FC236}">
              <a16:creationId xmlns:a16="http://schemas.microsoft.com/office/drawing/2014/main" id="{00000000-0008-0000-0400-00003E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10391774" y="56645174"/>
          <a:ext cx="8229600" cy="40092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609599</xdr:colOff>
      <xdr:row>29</xdr:row>
      <xdr:rowOff>171449</xdr:rowOff>
    </xdr:from>
    <xdr:to>
      <xdr:col>4</xdr:col>
      <xdr:colOff>8229599</xdr:colOff>
      <xdr:row>30</xdr:row>
      <xdr:rowOff>4009291</xdr:rowOff>
    </xdr:to>
    <xdr:pic>
      <xdr:nvPicPr>
        <xdr:cNvPr id="63" name="Picture 62">
          <a:extLst>
            <a:ext uri="{FF2B5EF4-FFF2-40B4-BE49-F238E27FC236}">
              <a16:creationId xmlns:a16="http://schemas.microsoft.com/office/drawing/2014/main" id="{00000000-0008-0000-0400-00003F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10391774" y="60979049"/>
          <a:ext cx="8229600" cy="40092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609599</xdr:colOff>
      <xdr:row>31</xdr:row>
      <xdr:rowOff>171449</xdr:rowOff>
    </xdr:from>
    <xdr:to>
      <xdr:col>4</xdr:col>
      <xdr:colOff>8229599</xdr:colOff>
      <xdr:row>32</xdr:row>
      <xdr:rowOff>4009291</xdr:rowOff>
    </xdr:to>
    <xdr:pic>
      <xdr:nvPicPr>
        <xdr:cNvPr id="64" name="Picture 63">
          <a:extLst>
            <a:ext uri="{FF2B5EF4-FFF2-40B4-BE49-F238E27FC236}">
              <a16:creationId xmlns:a16="http://schemas.microsoft.com/office/drawing/2014/main" id="{00000000-0008-0000-0400-000040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0391774" y="65312924"/>
          <a:ext cx="8229600" cy="40092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609599</xdr:colOff>
      <xdr:row>33</xdr:row>
      <xdr:rowOff>171449</xdr:rowOff>
    </xdr:from>
    <xdr:to>
      <xdr:col>4</xdr:col>
      <xdr:colOff>8229599</xdr:colOff>
      <xdr:row>34</xdr:row>
      <xdr:rowOff>4009291</xdr:rowOff>
    </xdr:to>
    <xdr:pic>
      <xdr:nvPicPr>
        <xdr:cNvPr id="65" name="Picture 64">
          <a:extLst>
            <a:ext uri="{FF2B5EF4-FFF2-40B4-BE49-F238E27FC236}">
              <a16:creationId xmlns:a16="http://schemas.microsoft.com/office/drawing/2014/main" id="{00000000-0008-0000-0400-000041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10391774" y="69646799"/>
          <a:ext cx="8229600" cy="40092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609599</xdr:colOff>
      <xdr:row>35</xdr:row>
      <xdr:rowOff>171449</xdr:rowOff>
    </xdr:from>
    <xdr:to>
      <xdr:col>4</xdr:col>
      <xdr:colOff>8229599</xdr:colOff>
      <xdr:row>36</xdr:row>
      <xdr:rowOff>4009291</xdr:rowOff>
    </xdr:to>
    <xdr:pic>
      <xdr:nvPicPr>
        <xdr:cNvPr id="66" name="Picture 65">
          <a:extLst>
            <a:ext uri="{FF2B5EF4-FFF2-40B4-BE49-F238E27FC236}">
              <a16:creationId xmlns:a16="http://schemas.microsoft.com/office/drawing/2014/main" id="{00000000-0008-0000-0400-000042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10391774" y="73971149"/>
          <a:ext cx="8229600" cy="40092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609599</xdr:colOff>
      <xdr:row>37</xdr:row>
      <xdr:rowOff>171449</xdr:rowOff>
    </xdr:from>
    <xdr:to>
      <xdr:col>4</xdr:col>
      <xdr:colOff>8229599</xdr:colOff>
      <xdr:row>38</xdr:row>
      <xdr:rowOff>4009291</xdr:rowOff>
    </xdr:to>
    <xdr:pic>
      <xdr:nvPicPr>
        <xdr:cNvPr id="67" name="Picture 66">
          <a:extLst>
            <a:ext uri="{FF2B5EF4-FFF2-40B4-BE49-F238E27FC236}">
              <a16:creationId xmlns:a16="http://schemas.microsoft.com/office/drawing/2014/main" id="{00000000-0008-0000-0400-000043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10391774" y="78305024"/>
          <a:ext cx="8229600" cy="40092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609599</xdr:colOff>
      <xdr:row>39</xdr:row>
      <xdr:rowOff>161924</xdr:rowOff>
    </xdr:from>
    <xdr:to>
      <xdr:col>4</xdr:col>
      <xdr:colOff>8229599</xdr:colOff>
      <xdr:row>40</xdr:row>
      <xdr:rowOff>4009291</xdr:rowOff>
    </xdr:to>
    <xdr:pic>
      <xdr:nvPicPr>
        <xdr:cNvPr id="68" name="Picture 67">
          <a:extLst>
            <a:ext uri="{FF2B5EF4-FFF2-40B4-BE49-F238E27FC236}">
              <a16:creationId xmlns:a16="http://schemas.microsoft.com/office/drawing/2014/main" id="{00000000-0008-0000-0400-000044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0391774" y="82629374"/>
          <a:ext cx="8229600" cy="40092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609599</xdr:colOff>
      <xdr:row>41</xdr:row>
      <xdr:rowOff>161924</xdr:rowOff>
    </xdr:from>
    <xdr:to>
      <xdr:col>4</xdr:col>
      <xdr:colOff>8229599</xdr:colOff>
      <xdr:row>42</xdr:row>
      <xdr:rowOff>4009291</xdr:rowOff>
    </xdr:to>
    <xdr:pic>
      <xdr:nvPicPr>
        <xdr:cNvPr id="69" name="Picture 68">
          <a:extLst>
            <a:ext uri="{FF2B5EF4-FFF2-40B4-BE49-F238E27FC236}">
              <a16:creationId xmlns:a16="http://schemas.microsoft.com/office/drawing/2014/main" id="{00000000-0008-0000-0400-000045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10391774" y="86953724"/>
          <a:ext cx="8229600" cy="40092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609599</xdr:colOff>
      <xdr:row>43</xdr:row>
      <xdr:rowOff>161924</xdr:rowOff>
    </xdr:from>
    <xdr:to>
      <xdr:col>4</xdr:col>
      <xdr:colOff>8229599</xdr:colOff>
      <xdr:row>44</xdr:row>
      <xdr:rowOff>4009291</xdr:rowOff>
    </xdr:to>
    <xdr:pic>
      <xdr:nvPicPr>
        <xdr:cNvPr id="70" name="Picture 69">
          <a:extLst>
            <a:ext uri="{FF2B5EF4-FFF2-40B4-BE49-F238E27FC236}">
              <a16:creationId xmlns:a16="http://schemas.microsoft.com/office/drawing/2014/main" id="{00000000-0008-0000-0400-000046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10391774" y="91278074"/>
          <a:ext cx="8229600" cy="40092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609599</xdr:colOff>
      <xdr:row>45</xdr:row>
      <xdr:rowOff>161924</xdr:rowOff>
    </xdr:from>
    <xdr:to>
      <xdr:col>4</xdr:col>
      <xdr:colOff>8229599</xdr:colOff>
      <xdr:row>46</xdr:row>
      <xdr:rowOff>4009291</xdr:rowOff>
    </xdr:to>
    <xdr:pic>
      <xdr:nvPicPr>
        <xdr:cNvPr id="71" name="Picture 70">
          <a:extLst>
            <a:ext uri="{FF2B5EF4-FFF2-40B4-BE49-F238E27FC236}">
              <a16:creationId xmlns:a16="http://schemas.microsoft.com/office/drawing/2014/main" id="{00000000-0008-0000-0400-000047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10391774" y="95602424"/>
          <a:ext cx="8229600" cy="40092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609599</xdr:colOff>
      <xdr:row>47</xdr:row>
      <xdr:rowOff>161924</xdr:rowOff>
    </xdr:from>
    <xdr:to>
      <xdr:col>4</xdr:col>
      <xdr:colOff>8229599</xdr:colOff>
      <xdr:row>48</xdr:row>
      <xdr:rowOff>4009291</xdr:rowOff>
    </xdr:to>
    <xdr:pic>
      <xdr:nvPicPr>
        <xdr:cNvPr id="72" name="Picture 71">
          <a:extLst>
            <a:ext uri="{FF2B5EF4-FFF2-40B4-BE49-F238E27FC236}">
              <a16:creationId xmlns:a16="http://schemas.microsoft.com/office/drawing/2014/main" id="{00000000-0008-0000-0400-000048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391774" y="99926774"/>
          <a:ext cx="8229600" cy="40092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85725</xdr:colOff>
      <xdr:row>4</xdr:row>
      <xdr:rowOff>66675</xdr:rowOff>
    </xdr:from>
    <xdr:to>
      <xdr:col>1</xdr:col>
      <xdr:colOff>8251031</xdr:colOff>
      <xdr:row>4</xdr:row>
      <xdr:rowOff>5153025</xdr:rowOff>
    </xdr:to>
    <xdr:graphicFrame macro="">
      <xdr:nvGraphicFramePr>
        <xdr:cNvPr id="2" name="Chart 253">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85725</xdr:colOff>
      <xdr:row>6</xdr:row>
      <xdr:rowOff>85724</xdr:rowOff>
    </xdr:from>
    <xdr:to>
      <xdr:col>1</xdr:col>
      <xdr:colOff>8248650</xdr:colOff>
      <xdr:row>6</xdr:row>
      <xdr:rowOff>5153025</xdr:rowOff>
    </xdr:to>
    <xdr:graphicFrame macro="">
      <xdr:nvGraphicFramePr>
        <xdr:cNvPr id="3" name="Chart 253">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38100</xdr:colOff>
      <xdr:row>6</xdr:row>
      <xdr:rowOff>819150</xdr:rowOff>
    </xdr:from>
    <xdr:to>
      <xdr:col>3</xdr:col>
      <xdr:colOff>561974</xdr:colOff>
      <xdr:row>6</xdr:row>
      <xdr:rowOff>1019175</xdr:rowOff>
    </xdr:to>
    <xdr:sp macro="" textlink="'Variable Mgmt'!$B$276">
      <xdr:nvSpPr>
        <xdr:cNvPr id="5" name="Text Box 24">
          <a:extLst>
            <a:ext uri="{FF2B5EF4-FFF2-40B4-BE49-F238E27FC236}">
              <a16:creationId xmlns:a16="http://schemas.microsoft.com/office/drawing/2014/main" id="{00000000-0008-0000-0500-000005000000}"/>
            </a:ext>
          </a:extLst>
        </xdr:cNvPr>
        <xdr:cNvSpPr txBox="1">
          <a:spLocks noChangeArrowheads="1" noTextEdit="1"/>
        </xdr:cNvSpPr>
      </xdr:nvSpPr>
      <xdr:spPr bwMode="auto">
        <a:xfrm>
          <a:off x="9686925" y="6934200"/>
          <a:ext cx="523874" cy="200025"/>
        </a:xfrm>
        <a:prstGeom prst="rect">
          <a:avLst/>
        </a:prstGeom>
        <a:solidFill>
          <a:schemeClr val="bg1"/>
        </a:solid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r" rtl="0">
            <a:defRPr sz="1000"/>
          </a:pPr>
          <a:fld id="{1F0AFB1C-0795-4024-9821-D34D86340D40}" type="TxLink">
            <a:rPr lang="en-US" sz="1100" b="0" i="0" u="none" strike="noStrike" baseline="0">
              <a:solidFill>
                <a:srgbClr val="000000"/>
              </a:solidFill>
              <a:latin typeface="Arial"/>
              <a:cs typeface="Arial"/>
            </a:rPr>
            <a:pPr algn="r" rtl="0">
              <a:defRPr sz="1000"/>
            </a:pPr>
            <a:t>#NOME?</a:t>
          </a:fld>
          <a:endParaRPr lang="en-US" sz="1100" b="1" i="0" u="none" strike="noStrike" baseline="0">
            <a:solidFill>
              <a:srgbClr val="000000"/>
            </a:solidFill>
            <a:latin typeface="Arial" pitchFamily="34" charset="0"/>
            <a:cs typeface="Arial" pitchFamily="34" charset="0"/>
          </a:endParaRPr>
        </a:p>
      </xdr:txBody>
    </xdr:sp>
    <xdr:clientData/>
  </xdr:twoCellAnchor>
  <xdr:twoCellAnchor>
    <xdr:from>
      <xdr:col>3</xdr:col>
      <xdr:colOff>19050</xdr:colOff>
      <xdr:row>4</xdr:row>
      <xdr:rowOff>704850</xdr:rowOff>
    </xdr:from>
    <xdr:to>
      <xdr:col>3</xdr:col>
      <xdr:colOff>542924</xdr:colOff>
      <xdr:row>4</xdr:row>
      <xdr:rowOff>904875</xdr:rowOff>
    </xdr:to>
    <xdr:sp macro="" textlink="'Variable Mgmt'!$B$276">
      <xdr:nvSpPr>
        <xdr:cNvPr id="6" name="Text Box 24">
          <a:extLst>
            <a:ext uri="{FF2B5EF4-FFF2-40B4-BE49-F238E27FC236}">
              <a16:creationId xmlns:a16="http://schemas.microsoft.com/office/drawing/2014/main" id="{00000000-0008-0000-0500-000006000000}"/>
            </a:ext>
          </a:extLst>
        </xdr:cNvPr>
        <xdr:cNvSpPr txBox="1">
          <a:spLocks noChangeArrowheads="1" noTextEdit="1"/>
        </xdr:cNvSpPr>
      </xdr:nvSpPr>
      <xdr:spPr bwMode="auto">
        <a:xfrm>
          <a:off x="9667875" y="1409700"/>
          <a:ext cx="523874" cy="200025"/>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r" rtl="0">
            <a:defRPr sz="1000"/>
          </a:pPr>
          <a:fld id="{1F0AFB1C-0795-4024-9821-D34D86340D40}" type="TxLink">
            <a:rPr lang="en-US" sz="1100" b="0" i="0" u="none" strike="noStrike" baseline="0">
              <a:solidFill>
                <a:srgbClr val="000000"/>
              </a:solidFill>
              <a:latin typeface="Arial"/>
              <a:cs typeface="Arial"/>
            </a:rPr>
            <a:pPr algn="r" rtl="0">
              <a:defRPr sz="1000"/>
            </a:pPr>
            <a:t>#NOME?</a:t>
          </a:fld>
          <a:endParaRPr lang="en-US" sz="1100" b="1" i="0" u="none" strike="noStrike" baseline="0">
            <a:solidFill>
              <a:srgbClr val="000000"/>
            </a:solidFill>
            <a:latin typeface="Arial" pitchFamily="34" charset="0"/>
            <a:cs typeface="Arial" pitchFamily="34" charset="0"/>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144991</xdr:colOff>
      <xdr:row>86</xdr:row>
      <xdr:rowOff>155574</xdr:rowOff>
    </xdr:from>
    <xdr:to>
      <xdr:col>5</xdr:col>
      <xdr:colOff>411691</xdr:colOff>
      <xdr:row>112</xdr:row>
      <xdr:rowOff>69850</xdr:rowOff>
    </xdr:to>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38100</xdr:colOff>
      <xdr:row>113</xdr:row>
      <xdr:rowOff>47625</xdr:rowOff>
    </xdr:from>
    <xdr:to>
      <xdr:col>15</xdr:col>
      <xdr:colOff>533400</xdr:colOff>
      <xdr:row>146</xdr:row>
      <xdr:rowOff>9525</xdr:rowOff>
    </xdr:to>
    <xdr:graphicFrame macro="">
      <xdr:nvGraphicFramePr>
        <xdr:cNvPr id="3" name="Chart 31">
          <a:extLst>
            <a:ext uri="{FF2B5EF4-FFF2-40B4-BE49-F238E27FC236}">
              <a16:creationId xmlns:a16="http://schemas.microsoft.com/office/drawing/2014/main" i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1781175</xdr:colOff>
      <xdr:row>4</xdr:row>
      <xdr:rowOff>85725</xdr:rowOff>
    </xdr:from>
    <xdr:to>
      <xdr:col>4</xdr:col>
      <xdr:colOff>3362325</xdr:colOff>
      <xdr:row>4</xdr:row>
      <xdr:rowOff>525860</xdr:rowOff>
    </xdr:to>
    <xdr:pic>
      <xdr:nvPicPr>
        <xdr:cNvPr id="4" name="Picture 84">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5248275" y="790575"/>
          <a:ext cx="1581150" cy="440135"/>
        </a:xfrm>
        <a:prstGeom prst="rect">
          <a:avLst/>
        </a:prstGeom>
        <a:noFill/>
        <a:ln w="1">
          <a:noFill/>
          <a:miter lim="800000"/>
          <a:headEnd/>
          <a:tailEnd type="none" w="med" len="med"/>
        </a:ln>
        <a:effectLst/>
      </xdr:spPr>
    </xdr:pic>
    <xdr:clientData/>
  </xdr:twoCellAnchor>
  <xdr:twoCellAnchor>
    <xdr:from>
      <xdr:col>9</xdr:col>
      <xdr:colOff>57150</xdr:colOff>
      <xdr:row>9</xdr:row>
      <xdr:rowOff>143740</xdr:rowOff>
    </xdr:from>
    <xdr:to>
      <xdr:col>23</xdr:col>
      <xdr:colOff>47625</xdr:colOff>
      <xdr:row>37</xdr:row>
      <xdr:rowOff>129886</xdr:rowOff>
    </xdr:to>
    <xdr:graphicFrame macro="">
      <xdr:nvGraphicFramePr>
        <xdr:cNvPr id="5" name="Chart 2">
          <a:extLst>
            <a:ext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173566</xdr:colOff>
      <xdr:row>59</xdr:row>
      <xdr:rowOff>155575</xdr:rowOff>
    </xdr:from>
    <xdr:to>
      <xdr:col>5</xdr:col>
      <xdr:colOff>440266</xdr:colOff>
      <xdr:row>85</xdr:row>
      <xdr:rowOff>117475</xdr:rowOff>
    </xdr:to>
    <xdr:graphicFrame macro="">
      <xdr:nvGraphicFramePr>
        <xdr:cNvPr id="6" name="Chart 1">
          <a:extLst>
            <a:ext uri="{FF2B5EF4-FFF2-40B4-BE49-F238E27FC236}">
              <a16:creationId xmlns:a16="http://schemas.microsoft.com/office/drawing/2014/main" id="{00000000-0008-0000-0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47625</xdr:colOff>
      <xdr:row>70</xdr:row>
      <xdr:rowOff>101312</xdr:rowOff>
    </xdr:from>
    <xdr:to>
      <xdr:col>23</xdr:col>
      <xdr:colOff>76200</xdr:colOff>
      <xdr:row>95</xdr:row>
      <xdr:rowOff>158462</xdr:rowOff>
    </xdr:to>
    <xdr:graphicFrame macro="">
      <xdr:nvGraphicFramePr>
        <xdr:cNvPr id="7" name="Chart 1">
          <a:extLst>
            <a:ext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57150</xdr:colOff>
      <xdr:row>39</xdr:row>
      <xdr:rowOff>104775</xdr:rowOff>
    </xdr:from>
    <xdr:to>
      <xdr:col>23</xdr:col>
      <xdr:colOff>47625</xdr:colOff>
      <xdr:row>68</xdr:row>
      <xdr:rowOff>5196</xdr:rowOff>
    </xdr:to>
    <xdr:graphicFrame macro="">
      <xdr:nvGraphicFramePr>
        <xdr:cNvPr id="8" name="Chart 2">
          <a:extLst>
            <a:ext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95250</xdr:colOff>
      <xdr:row>148</xdr:row>
      <xdr:rowOff>95250</xdr:rowOff>
    </xdr:from>
    <xdr:to>
      <xdr:col>15</xdr:col>
      <xdr:colOff>57150</xdr:colOff>
      <xdr:row>176</xdr:row>
      <xdr:rowOff>142875</xdr:rowOff>
    </xdr:to>
    <xdr:graphicFrame macro="">
      <xdr:nvGraphicFramePr>
        <xdr:cNvPr id="9" name="Chart 31">
          <a:extLst>
            <a:ext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53068</xdr:colOff>
      <xdr:row>177</xdr:row>
      <xdr:rowOff>99334</xdr:rowOff>
    </xdr:from>
    <xdr:to>
      <xdr:col>15</xdr:col>
      <xdr:colOff>76200</xdr:colOff>
      <xdr:row>206</xdr:row>
      <xdr:rowOff>38102</xdr:rowOff>
    </xdr:to>
    <xdr:graphicFrame macro="">
      <xdr:nvGraphicFramePr>
        <xdr:cNvPr id="10" name="Chart 31">
          <a:extLst>
            <a:ext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268941</xdr:colOff>
      <xdr:row>220</xdr:row>
      <xdr:rowOff>38660</xdr:rowOff>
    </xdr:from>
    <xdr:to>
      <xdr:col>15</xdr:col>
      <xdr:colOff>726141</xdr:colOff>
      <xdr:row>264</xdr:row>
      <xdr:rowOff>43142</xdr:rowOff>
    </xdr:to>
    <xdr:graphicFrame macro="">
      <xdr:nvGraphicFramePr>
        <xdr:cNvPr id="11" name="Chart 31">
          <a:extLst>
            <a:ext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247548</xdr:colOff>
      <xdr:row>266</xdr:row>
      <xdr:rowOff>24449</xdr:rowOff>
    </xdr:from>
    <xdr:to>
      <xdr:col>15</xdr:col>
      <xdr:colOff>704748</xdr:colOff>
      <xdr:row>311</xdr:row>
      <xdr:rowOff>85571</xdr:rowOff>
    </xdr:to>
    <xdr:graphicFrame macro="">
      <xdr:nvGraphicFramePr>
        <xdr:cNvPr id="12" name="Chart 31">
          <a:extLst>
            <a:ext uri="{FF2B5EF4-FFF2-40B4-BE49-F238E27FC236}">
              <a16:creationId xmlns:a16="http://schemas.microsoft.com/office/drawing/2014/main" id="{00000000-0008-0000-06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editAs="oneCell">
        <xdr:from>
          <xdr:col>17</xdr:col>
          <xdr:colOff>85725</xdr:colOff>
          <xdr:row>115</xdr:row>
          <xdr:rowOff>9525</xdr:rowOff>
        </xdr:from>
        <xdr:to>
          <xdr:col>30</xdr:col>
          <xdr:colOff>571500</xdr:colOff>
          <xdr:row>129</xdr:row>
          <xdr:rowOff>9525</xdr:rowOff>
        </xdr:to>
        <xdr:sp macro="" textlink="">
          <xdr:nvSpPr>
            <xdr:cNvPr id="684033" name="Object 1" hidden="1">
              <a:extLst>
                <a:ext uri="{63B3BB69-23CF-44E3-9099-C40C66FF867C}">
                  <a14:compatExt spid="_x0000_s684033"/>
                </a:ext>
                <a:ext uri="{FF2B5EF4-FFF2-40B4-BE49-F238E27FC236}">
                  <a16:creationId xmlns:a16="http://schemas.microsoft.com/office/drawing/2014/main" id="{00000000-0008-0000-0600-000001700A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200025</xdr:colOff>
          <xdr:row>49</xdr:row>
          <xdr:rowOff>114300</xdr:rowOff>
        </xdr:from>
        <xdr:to>
          <xdr:col>6</xdr:col>
          <xdr:colOff>428625</xdr:colOff>
          <xdr:row>54</xdr:row>
          <xdr:rowOff>19050</xdr:rowOff>
        </xdr:to>
        <xdr:sp macro="" textlink="">
          <xdr:nvSpPr>
            <xdr:cNvPr id="684034" name="Button 2" descr="Store Efficiency Data" hidden="1">
              <a:extLst>
                <a:ext uri="{63B3BB69-23CF-44E3-9099-C40C66FF867C}">
                  <a14:compatExt spid="_x0000_s684034"/>
                </a:ext>
                <a:ext uri="{FF2B5EF4-FFF2-40B4-BE49-F238E27FC236}">
                  <a16:creationId xmlns:a16="http://schemas.microsoft.com/office/drawing/2014/main" id="{00000000-0008-0000-0600-000002700A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1" i="0" u="none" strike="noStrike" baseline="0">
                  <a:solidFill>
                    <a:srgbClr val="FF0000"/>
                  </a:solidFill>
                  <a:latin typeface="Arial"/>
                  <a:cs typeface="Arial"/>
                </a:rPr>
                <a:t>Store Efficiency Data</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0</xdr:col>
      <xdr:colOff>152400</xdr:colOff>
      <xdr:row>80</xdr:row>
      <xdr:rowOff>19049</xdr:rowOff>
    </xdr:from>
    <xdr:to>
      <xdr:col>5</xdr:col>
      <xdr:colOff>419100</xdr:colOff>
      <xdr:row>105</xdr:row>
      <xdr:rowOff>9525</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85725</xdr:colOff>
      <xdr:row>111</xdr:row>
      <xdr:rowOff>114300</xdr:rowOff>
    </xdr:from>
    <xdr:to>
      <xdr:col>17</xdr:col>
      <xdr:colOff>161925</xdr:colOff>
      <xdr:row>144</xdr:row>
      <xdr:rowOff>76200</xdr:rowOff>
    </xdr:to>
    <xdr:graphicFrame macro="">
      <xdr:nvGraphicFramePr>
        <xdr:cNvPr id="3" name="Chart 31">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1600199</xdr:colOff>
      <xdr:row>4</xdr:row>
      <xdr:rowOff>95250</xdr:rowOff>
    </xdr:from>
    <xdr:to>
      <xdr:col>4</xdr:col>
      <xdr:colOff>3267074</xdr:colOff>
      <xdr:row>4</xdr:row>
      <xdr:rowOff>535385</xdr:rowOff>
    </xdr:to>
    <xdr:pic>
      <xdr:nvPicPr>
        <xdr:cNvPr id="4" name="Picture 84">
          <a:extLst>
            <a:ext uri="{FF2B5EF4-FFF2-40B4-BE49-F238E27FC236}">
              <a16:creationId xmlns:a16="http://schemas.microsoft.com/office/drawing/2014/main" id="{00000000-0008-0000-0700-000004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4857749" y="800100"/>
          <a:ext cx="1666875" cy="440135"/>
        </a:xfrm>
        <a:prstGeom prst="rect">
          <a:avLst/>
        </a:prstGeom>
        <a:noFill/>
        <a:ln w="1">
          <a:noFill/>
          <a:miter lim="800000"/>
          <a:headEnd/>
          <a:tailEnd type="none" w="med" len="med"/>
        </a:ln>
        <a:effectLst/>
      </xdr:spPr>
    </xdr:pic>
    <xdr:clientData/>
  </xdr:twoCellAnchor>
  <xdr:twoCellAnchor>
    <xdr:from>
      <xdr:col>14</xdr:col>
      <xdr:colOff>323851</xdr:colOff>
      <xdr:row>15</xdr:row>
      <xdr:rowOff>29440</xdr:rowOff>
    </xdr:from>
    <xdr:to>
      <xdr:col>28</xdr:col>
      <xdr:colOff>238126</xdr:colOff>
      <xdr:row>42</xdr:row>
      <xdr:rowOff>158461</xdr:rowOff>
    </xdr:to>
    <xdr:graphicFrame macro="">
      <xdr:nvGraphicFramePr>
        <xdr:cNvPr id="5" name="Chart 2">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161925</xdr:colOff>
      <xdr:row>53</xdr:row>
      <xdr:rowOff>133350</xdr:rowOff>
    </xdr:from>
    <xdr:to>
      <xdr:col>5</xdr:col>
      <xdr:colOff>428625</xdr:colOff>
      <xdr:row>79</xdr:row>
      <xdr:rowOff>38100</xdr:rowOff>
    </xdr:to>
    <xdr:graphicFrame macro="">
      <xdr:nvGraphicFramePr>
        <xdr:cNvPr id="6" name="Chart 1">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295276</xdr:colOff>
      <xdr:row>74</xdr:row>
      <xdr:rowOff>44162</xdr:rowOff>
    </xdr:from>
    <xdr:to>
      <xdr:col>28</xdr:col>
      <xdr:colOff>209551</xdr:colOff>
      <xdr:row>99</xdr:row>
      <xdr:rowOff>101312</xdr:rowOff>
    </xdr:to>
    <xdr:graphicFrame macro="">
      <xdr:nvGraphicFramePr>
        <xdr:cNvPr id="7" name="Chart 1">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95250</xdr:colOff>
      <xdr:row>148</xdr:row>
      <xdr:rowOff>76200</xdr:rowOff>
    </xdr:from>
    <xdr:to>
      <xdr:col>17</xdr:col>
      <xdr:colOff>687917</xdr:colOff>
      <xdr:row>181</xdr:row>
      <xdr:rowOff>38100</xdr:rowOff>
    </xdr:to>
    <xdr:graphicFrame macro="">
      <xdr:nvGraphicFramePr>
        <xdr:cNvPr id="8" name="Chart 31">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14</xdr:col>
      <xdr:colOff>295275</xdr:colOff>
      <xdr:row>44</xdr:row>
      <xdr:rowOff>38100</xdr:rowOff>
    </xdr:from>
    <xdr:to>
      <xdr:col>28</xdr:col>
      <xdr:colOff>219075</xdr:colOff>
      <xdr:row>72</xdr:row>
      <xdr:rowOff>138546</xdr:rowOff>
    </xdr:to>
    <xdr:graphicFrame macro="">
      <xdr:nvGraphicFramePr>
        <xdr:cNvPr id="10" name="Chart 2">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mc:AlternateContent xmlns:mc="http://schemas.openxmlformats.org/markup-compatibility/2006">
    <mc:Choice xmlns:a14="http://schemas.microsoft.com/office/drawing/2010/main" Requires="a14">
      <xdr:twoCellAnchor editAs="oneCell">
        <xdr:from>
          <xdr:col>19</xdr:col>
          <xdr:colOff>180975</xdr:colOff>
          <xdr:row>111</xdr:row>
          <xdr:rowOff>142875</xdr:rowOff>
        </xdr:from>
        <xdr:to>
          <xdr:col>33</xdr:col>
          <xdr:colOff>9525</xdr:colOff>
          <xdr:row>125</xdr:row>
          <xdr:rowOff>142875</xdr:rowOff>
        </xdr:to>
        <xdr:sp macro="" textlink="">
          <xdr:nvSpPr>
            <xdr:cNvPr id="683009" name="Object 1" hidden="1">
              <a:extLst>
                <a:ext uri="{63B3BB69-23CF-44E3-9099-C40C66FF867C}">
                  <a14:compatExt spid="_x0000_s683009"/>
                </a:ext>
                <a:ext uri="{FF2B5EF4-FFF2-40B4-BE49-F238E27FC236}">
                  <a16:creationId xmlns:a16="http://schemas.microsoft.com/office/drawing/2014/main" id="{00000000-0008-0000-0700-0000016C0A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314325</xdr:colOff>
          <xdr:row>46</xdr:row>
          <xdr:rowOff>152400</xdr:rowOff>
        </xdr:from>
        <xdr:to>
          <xdr:col>6</xdr:col>
          <xdr:colOff>447675</xdr:colOff>
          <xdr:row>52</xdr:row>
          <xdr:rowOff>9525</xdr:rowOff>
        </xdr:to>
        <xdr:sp macro="" textlink="">
          <xdr:nvSpPr>
            <xdr:cNvPr id="683010" name="Button 2" descr="Store Efficiency Data" hidden="1">
              <a:extLst>
                <a:ext uri="{63B3BB69-23CF-44E3-9099-C40C66FF867C}">
                  <a14:compatExt spid="_x0000_s683010"/>
                </a:ext>
                <a:ext uri="{FF2B5EF4-FFF2-40B4-BE49-F238E27FC236}">
                  <a16:creationId xmlns:a16="http://schemas.microsoft.com/office/drawing/2014/main" id="{00000000-0008-0000-0700-0000026C0A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1" i="0" u="none" strike="noStrike" baseline="0">
                  <a:solidFill>
                    <a:srgbClr val="FF0000"/>
                  </a:solidFill>
                  <a:latin typeface="Arial"/>
                  <a:cs typeface="Arial"/>
                </a:rPr>
                <a:t>Store Efficiency Data</a:t>
              </a:r>
            </a:p>
          </xdr:txBody>
        </xdr:sp>
        <xdr:clientData/>
      </xdr:twoCellAnchor>
    </mc:Choice>
    <mc:Fallback/>
  </mc:AlternateContent>
  <xdr:twoCellAnchor>
    <xdr:from>
      <xdr:col>0</xdr:col>
      <xdr:colOff>392906</xdr:colOff>
      <xdr:row>218</xdr:row>
      <xdr:rowOff>130969</xdr:rowOff>
    </xdr:from>
    <xdr:to>
      <xdr:col>16</xdr:col>
      <xdr:colOff>626267</xdr:colOff>
      <xdr:row>250</xdr:row>
      <xdr:rowOff>124619</xdr:rowOff>
    </xdr:to>
    <xdr:graphicFrame macro="">
      <xdr:nvGraphicFramePr>
        <xdr:cNvPr id="13" name="Chart 31">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35718</xdr:colOff>
      <xdr:row>255</xdr:row>
      <xdr:rowOff>47626</xdr:rowOff>
    </xdr:from>
    <xdr:to>
      <xdr:col>12</xdr:col>
      <xdr:colOff>16668</xdr:colOff>
      <xdr:row>287</xdr:row>
      <xdr:rowOff>104776</xdr:rowOff>
    </xdr:to>
    <xdr:graphicFrame macro="">
      <xdr:nvGraphicFramePr>
        <xdr:cNvPr id="16" name="Chart 253">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28575</xdr:colOff>
      <xdr:row>289</xdr:row>
      <xdr:rowOff>66675</xdr:rowOff>
    </xdr:from>
    <xdr:to>
      <xdr:col>12</xdr:col>
      <xdr:colOff>9525</xdr:colOff>
      <xdr:row>321</xdr:row>
      <xdr:rowOff>123825</xdr:rowOff>
    </xdr:to>
    <xdr:graphicFrame macro="">
      <xdr:nvGraphicFramePr>
        <xdr:cNvPr id="15" name="Chart 253">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95251</xdr:colOff>
      <xdr:row>182</xdr:row>
      <xdr:rowOff>100853</xdr:rowOff>
    </xdr:from>
    <xdr:to>
      <xdr:col>17</xdr:col>
      <xdr:colOff>708023</xdr:colOff>
      <xdr:row>215</xdr:row>
      <xdr:rowOff>62753</xdr:rowOff>
    </xdr:to>
    <xdr:graphicFrame macro="">
      <xdr:nvGraphicFramePr>
        <xdr:cNvPr id="17" name="Chart 31">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8.xml><?xml version="1.0" encoding="utf-8"?>
<c:userShapes xmlns:c="http://schemas.openxmlformats.org/drawingml/2006/chart">
  <cdr:relSizeAnchor xmlns:cdr="http://schemas.openxmlformats.org/drawingml/2006/chartDrawing">
    <cdr:from>
      <cdr:x>0.16877</cdr:x>
      <cdr:y>0.12917</cdr:y>
    </cdr:from>
    <cdr:to>
      <cdr:x>0.23482</cdr:x>
      <cdr:y>0.16636</cdr:y>
    </cdr:to>
    <cdr:sp macro="" textlink="'Variable Mgmt'!$B$278">
      <cdr:nvSpPr>
        <cdr:cNvPr id="2" name="Text Box 24"/>
        <cdr:cNvSpPr txBox="1">
          <a:spLocks xmlns:a="http://schemas.openxmlformats.org/drawingml/2006/main" noChangeArrowheads="1" noTextEdit="1"/>
        </cdr:cNvSpPr>
      </cdr:nvSpPr>
      <cdr:spPr bwMode="auto">
        <a:xfrm xmlns:a="http://schemas.openxmlformats.org/drawingml/2006/main">
          <a:off x="1403360" y="665601"/>
          <a:ext cx="549265" cy="191650"/>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square" lIns="27432" tIns="22860" rIns="0" bIns="22860" anchor="b" upright="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rtl="0">
            <a:defRPr sz="1000"/>
          </a:pPr>
          <a:fld id="{FB7B9190-533F-41A0-B9F6-41424F4E3D27}" type="TxLink">
            <a:rPr lang="en-US" sz="1100" b="0" i="0" u="none" strike="noStrike" baseline="0">
              <a:solidFill>
                <a:srgbClr val="000000"/>
              </a:solidFill>
              <a:latin typeface="Arial"/>
              <a:cs typeface="Arial"/>
            </a:rPr>
            <a:pPr algn="l" rtl="0">
              <a:defRPr sz="1000"/>
            </a:pPr>
            <a:t>#NOME?</a:t>
          </a:fld>
          <a:endParaRPr lang="en-US" sz="1100" b="1" i="0" u="none" strike="noStrike" baseline="0">
            <a:solidFill>
              <a:srgbClr val="000000"/>
            </a:solidFill>
            <a:latin typeface="Arial" pitchFamily="34" charset="0"/>
            <a:cs typeface="Arial" pitchFamily="34" charset="0"/>
          </a:endParaRPr>
        </a:p>
      </cdr:txBody>
    </cdr:sp>
  </cdr:relSizeAnchor>
</c:userShapes>
</file>

<file path=xl/drawings/drawing9.xml><?xml version="1.0" encoding="utf-8"?>
<c:userShapes xmlns:c="http://schemas.openxmlformats.org/drawingml/2006/chart">
  <cdr:relSizeAnchor xmlns:cdr="http://schemas.openxmlformats.org/drawingml/2006/chartDrawing">
    <cdr:from>
      <cdr:x>0.16877</cdr:x>
      <cdr:y>0.12917</cdr:y>
    </cdr:from>
    <cdr:to>
      <cdr:x>0.23482</cdr:x>
      <cdr:y>0.16636</cdr:y>
    </cdr:to>
    <cdr:sp macro="" textlink="'Variable Mgmt'!$B$278">
      <cdr:nvSpPr>
        <cdr:cNvPr id="2" name="Text Box 24"/>
        <cdr:cNvSpPr txBox="1">
          <a:spLocks xmlns:a="http://schemas.openxmlformats.org/drawingml/2006/main" noChangeArrowheads="1" noTextEdit="1"/>
        </cdr:cNvSpPr>
      </cdr:nvSpPr>
      <cdr:spPr bwMode="auto">
        <a:xfrm xmlns:a="http://schemas.openxmlformats.org/drawingml/2006/main">
          <a:off x="1403360" y="665601"/>
          <a:ext cx="549265" cy="191650"/>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square" lIns="27432" tIns="22860" rIns="0" bIns="22860" anchor="b" upright="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rtl="0">
            <a:defRPr sz="1000"/>
          </a:pPr>
          <a:fld id="{FB7B9190-533F-41A0-B9F6-41424F4E3D27}" type="TxLink">
            <a:rPr lang="en-US" sz="1100" b="0" i="0" u="none" strike="noStrike" baseline="0">
              <a:solidFill>
                <a:srgbClr val="000000"/>
              </a:solidFill>
              <a:latin typeface="Arial"/>
              <a:cs typeface="Arial"/>
            </a:rPr>
            <a:pPr algn="l" rtl="0">
              <a:defRPr sz="1000"/>
            </a:pPr>
            <a:t>#NOME?</a:t>
          </a:fld>
          <a:endParaRPr lang="en-US" sz="1100" b="1" i="0" u="none" strike="noStrike" baseline="0">
            <a:solidFill>
              <a:srgbClr val="000000"/>
            </a:solidFill>
            <a:latin typeface="Arial" pitchFamily="34" charset="0"/>
            <a:cs typeface="Arial" pitchFamily="34" charset="0"/>
          </a:endParaRPr>
        </a:p>
      </cdr:txBody>
    </cdr: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xDef>
      <a:spPr bwMode="auto">
        <a:noFill/>
        <a:ln w="9525">
          <a:noFill/>
          <a:miter lim="800000"/>
          <a:headEnd/>
          <a:tailEnd/>
        </a:ln>
      </a:spPr>
      <a:bodyPr vertOverflow="clip" wrap="square" lIns="27432" tIns="27432" rIns="0" bIns="0" anchor="t" upright="1"/>
      <a:lstStyle>
        <a:defPPr algn="l" rtl="0">
          <a:defRPr sz="1100" b="0" i="0" strike="noStrike">
            <a:solidFill>
              <a:srgbClr val="000000"/>
            </a:solidFill>
            <a:latin typeface="Calibri"/>
          </a:defRPr>
        </a:defPPr>
      </a:lstStyle>
    </a:tx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omments" Target="../comments1.xml"/><Relationship Id="rId3" Type="http://schemas.openxmlformats.org/officeDocument/2006/relationships/printerSettings" Target="../printerSettings/printerSettings1.bin"/><Relationship Id="rId7" Type="http://schemas.openxmlformats.org/officeDocument/2006/relationships/ctrlProp" Target="../ctrlProps/ctrlProp1.xml"/><Relationship Id="rId12" Type="http://schemas.openxmlformats.org/officeDocument/2006/relationships/ctrlProp" Target="../ctrlProps/ctrlProp6.xml"/><Relationship Id="rId2" Type="http://schemas.openxmlformats.org/officeDocument/2006/relationships/hyperlink" Target="http://www.ti.com/widevin" TargetMode="External"/><Relationship Id="rId1" Type="http://schemas.openxmlformats.org/officeDocument/2006/relationships/hyperlink" Target="http://www.ti.com/product/lm5165" TargetMode="External"/><Relationship Id="rId6" Type="http://schemas.openxmlformats.org/officeDocument/2006/relationships/vmlDrawing" Target="../drawings/vmlDrawing2.vml"/><Relationship Id="rId11" Type="http://schemas.openxmlformats.org/officeDocument/2006/relationships/ctrlProp" Target="../ctrlProps/ctrlProp5.xml"/><Relationship Id="rId5" Type="http://schemas.openxmlformats.org/officeDocument/2006/relationships/vmlDrawing" Target="../drawings/vmlDrawing1.vml"/><Relationship Id="rId10" Type="http://schemas.openxmlformats.org/officeDocument/2006/relationships/ctrlProp" Target="../ctrlProps/ctrlProp4.xml"/><Relationship Id="rId4" Type="http://schemas.openxmlformats.org/officeDocument/2006/relationships/drawing" Target="../drawings/drawing1.xml"/><Relationship Id="rId9"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1.xml"/><Relationship Id="rId13" Type="http://schemas.openxmlformats.org/officeDocument/2006/relationships/ctrlProp" Target="../ctrlProps/ctrlProp16.xml"/><Relationship Id="rId3" Type="http://schemas.openxmlformats.org/officeDocument/2006/relationships/vmlDrawing" Target="../drawings/vmlDrawing3.vml"/><Relationship Id="rId7" Type="http://schemas.openxmlformats.org/officeDocument/2006/relationships/ctrlProp" Target="../ctrlProps/ctrlProp10.xml"/><Relationship Id="rId12" Type="http://schemas.openxmlformats.org/officeDocument/2006/relationships/ctrlProp" Target="../ctrlProps/ctrlProp15.xml"/><Relationship Id="rId2" Type="http://schemas.openxmlformats.org/officeDocument/2006/relationships/drawing" Target="../drawings/drawing2.xml"/><Relationship Id="rId16" Type="http://schemas.openxmlformats.org/officeDocument/2006/relationships/ctrlProp" Target="../ctrlProps/ctrlProp19.xml"/><Relationship Id="rId1" Type="http://schemas.openxmlformats.org/officeDocument/2006/relationships/printerSettings" Target="../printerSettings/printerSettings2.bin"/><Relationship Id="rId6" Type="http://schemas.openxmlformats.org/officeDocument/2006/relationships/ctrlProp" Target="../ctrlProps/ctrlProp9.xml"/><Relationship Id="rId11" Type="http://schemas.openxmlformats.org/officeDocument/2006/relationships/ctrlProp" Target="../ctrlProps/ctrlProp14.xml"/><Relationship Id="rId5" Type="http://schemas.openxmlformats.org/officeDocument/2006/relationships/ctrlProp" Target="../ctrlProps/ctrlProp8.xml"/><Relationship Id="rId15" Type="http://schemas.openxmlformats.org/officeDocument/2006/relationships/ctrlProp" Target="../ctrlProps/ctrlProp18.xml"/><Relationship Id="rId10" Type="http://schemas.openxmlformats.org/officeDocument/2006/relationships/ctrlProp" Target="../ctrlProps/ctrlProp13.xml"/><Relationship Id="rId4" Type="http://schemas.openxmlformats.org/officeDocument/2006/relationships/ctrlProp" Target="../ctrlProps/ctrlProp7.xml"/><Relationship Id="rId9" Type="http://schemas.openxmlformats.org/officeDocument/2006/relationships/ctrlProp" Target="../ctrlProps/ctrlProp12.xml"/><Relationship Id="rId14" Type="http://schemas.openxmlformats.org/officeDocument/2006/relationships/ctrlProp" Target="../ctrlProps/ctrlProp17.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omments" Target="../comments2.x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20.xml"/><Relationship Id="rId5" Type="http://schemas.openxmlformats.org/officeDocument/2006/relationships/image" Target="../media/image63.emf"/><Relationship Id="rId4" Type="http://schemas.openxmlformats.org/officeDocument/2006/relationships/oleObject" Target="../embeddings/oleObject1.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omments" Target="../comments3.x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trlProp" Target="../ctrlProps/ctrlProp21.xml"/><Relationship Id="rId5" Type="http://schemas.openxmlformats.org/officeDocument/2006/relationships/image" Target="../media/image63.emf"/><Relationship Id="rId4" Type="http://schemas.openxmlformats.org/officeDocument/2006/relationships/oleObject" Target="../embeddings/oleObject2.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A1:AI68"/>
  <sheetViews>
    <sheetView tabSelected="1" topLeftCell="D1" zoomScale="85" zoomScaleNormal="85" zoomScaleSheetLayoutView="70" workbookViewId="0">
      <selection activeCell="E9" sqref="E9"/>
    </sheetView>
  </sheetViews>
  <sheetFormatPr defaultColWidth="9.140625" defaultRowHeight="12.75" x14ac:dyDescent="0.2"/>
  <cols>
    <col min="1" max="1" width="8.28515625" style="95" customWidth="1"/>
    <col min="2" max="2" width="8.28515625" style="36" customWidth="1"/>
    <col min="3" max="3" width="13.5703125" style="36" customWidth="1"/>
    <col min="4" max="4" width="8.28515625" style="36" customWidth="1"/>
    <col min="5" max="5" width="9" style="36" customWidth="1"/>
    <col min="6" max="6" width="8.7109375" style="36" customWidth="1"/>
    <col min="7" max="8" width="11.85546875" style="36" customWidth="1"/>
    <col min="9" max="9" width="9.140625" style="36"/>
    <col min="10" max="10" width="12.42578125" style="36" bestFit="1" customWidth="1"/>
    <col min="11" max="11" width="9.140625" style="36"/>
    <col min="12" max="12" width="12.42578125" style="36" bestFit="1" customWidth="1"/>
    <col min="13" max="15" width="9.140625" style="36"/>
    <col min="16" max="16" width="10.140625" style="36" customWidth="1"/>
    <col min="17" max="17" width="37.28515625" style="36" customWidth="1"/>
    <col min="18" max="18" width="3.140625" style="36" customWidth="1"/>
    <col min="19" max="19" width="10" style="36" bestFit="1" customWidth="1"/>
    <col min="20" max="16384" width="9.140625" style="36"/>
  </cols>
  <sheetData>
    <row r="1" spans="1:18" ht="47.25" customHeight="1" x14ac:dyDescent="0.2">
      <c r="A1" s="573" t="s">
        <v>536</v>
      </c>
      <c r="B1" s="574"/>
      <c r="C1" s="574"/>
      <c r="D1" s="574"/>
      <c r="E1" s="574"/>
      <c r="F1" s="574"/>
      <c r="G1" s="574"/>
      <c r="H1" s="574"/>
      <c r="I1" s="574"/>
      <c r="J1" s="574"/>
      <c r="K1" s="574"/>
      <c r="L1" s="574"/>
      <c r="M1" s="574"/>
      <c r="N1" s="574"/>
      <c r="O1" s="574"/>
      <c r="P1" s="574"/>
      <c r="Q1" s="575"/>
      <c r="R1" s="444"/>
    </row>
    <row r="2" spans="1:18" ht="14.1" customHeight="1" x14ac:dyDescent="0.45">
      <c r="A2" s="435"/>
      <c r="B2" s="436"/>
      <c r="C2" s="436"/>
      <c r="D2" s="436"/>
      <c r="E2" s="436"/>
      <c r="F2" s="436"/>
      <c r="G2" s="436"/>
      <c r="H2" s="436"/>
      <c r="I2" s="436"/>
      <c r="J2" s="436"/>
      <c r="K2" s="436"/>
      <c r="L2" s="436"/>
      <c r="M2" s="436"/>
      <c r="N2" s="436"/>
      <c r="O2" s="449" t="s">
        <v>622</v>
      </c>
      <c r="P2" s="436"/>
      <c r="Q2" s="436"/>
      <c r="R2" s="444"/>
    </row>
    <row r="3" spans="1:18" ht="15.95" customHeight="1" x14ac:dyDescent="0.45">
      <c r="A3" s="437" t="s">
        <v>143</v>
      </c>
      <c r="B3" s="438"/>
      <c r="C3" s="450" t="s">
        <v>144</v>
      </c>
      <c r="D3" s="439"/>
      <c r="E3" s="68"/>
      <c r="F3" s="441" t="s">
        <v>79</v>
      </c>
      <c r="G3" s="440"/>
      <c r="H3" s="436"/>
      <c r="I3" s="436"/>
      <c r="J3" s="440"/>
      <c r="K3" s="442"/>
      <c r="L3" s="443"/>
      <c r="M3" s="444"/>
      <c r="N3" s="444"/>
      <c r="O3" s="1" t="s">
        <v>533</v>
      </c>
      <c r="P3" s="1"/>
      <c r="Q3" s="444" t="s">
        <v>98</v>
      </c>
      <c r="R3" s="444"/>
    </row>
    <row r="4" spans="1:18" ht="14.1" customHeight="1" thickBot="1" x14ac:dyDescent="0.35">
      <c r="A4" s="445"/>
      <c r="B4" s="446"/>
      <c r="C4" s="447"/>
      <c r="D4" s="447"/>
      <c r="E4" s="447"/>
      <c r="F4" s="447"/>
      <c r="G4" s="447"/>
      <c r="H4" s="447"/>
      <c r="I4" s="447"/>
      <c r="J4" s="447"/>
      <c r="K4" s="447"/>
      <c r="L4" s="447"/>
      <c r="M4" s="448"/>
      <c r="N4" s="448"/>
      <c r="O4" s="448"/>
      <c r="P4" s="448"/>
      <c r="Q4" s="448"/>
      <c r="R4" s="444"/>
    </row>
    <row r="5" spans="1:18" ht="20.100000000000001" customHeight="1" thickBot="1" x14ac:dyDescent="0.35">
      <c r="A5" s="94" t="s">
        <v>136</v>
      </c>
      <c r="B5" s="67"/>
      <c r="C5" s="37"/>
      <c r="D5" s="37"/>
      <c r="E5" s="39"/>
      <c r="F5" s="37"/>
      <c r="G5" s="59"/>
      <c r="H5" s="40"/>
      <c r="I5" s="40"/>
      <c r="J5" s="40"/>
      <c r="K5" s="40"/>
      <c r="L5" s="40"/>
      <c r="M5" s="40"/>
      <c r="N5" s="40"/>
      <c r="O5" s="40"/>
      <c r="P5" s="40"/>
      <c r="Q5" s="58"/>
      <c r="R5" s="444"/>
    </row>
    <row r="6" spans="1:18" ht="13.5" customHeight="1" x14ac:dyDescent="0.2">
      <c r="A6" s="133"/>
      <c r="B6" s="134"/>
      <c r="C6" s="135"/>
      <c r="D6" s="136" t="s">
        <v>260</v>
      </c>
      <c r="E6" s="137">
        <v>30</v>
      </c>
      <c r="F6" s="475" t="s">
        <v>0</v>
      </c>
      <c r="G6" s="77"/>
      <c r="H6"/>
      <c r="I6" s="40"/>
      <c r="J6" s="40"/>
      <c r="K6" s="40"/>
      <c r="L6" s="40"/>
      <c r="M6" s="40"/>
      <c r="N6" s="40"/>
      <c r="O6" s="40"/>
      <c r="P6" s="40"/>
      <c r="Q6" s="58"/>
      <c r="R6" s="444"/>
    </row>
    <row r="7" spans="1:18" ht="13.5" customHeight="1" x14ac:dyDescent="0.2">
      <c r="A7" s="126"/>
      <c r="B7" s="125"/>
      <c r="C7" s="127"/>
      <c r="D7" s="138" t="s">
        <v>261</v>
      </c>
      <c r="E7" s="139">
        <v>43</v>
      </c>
      <c r="F7" s="476" t="s">
        <v>0</v>
      </c>
      <c r="G7" s="77"/>
      <c r="H7" s="75"/>
      <c r="I7" s="40"/>
      <c r="J7" s="40"/>
      <c r="K7" s="40"/>
      <c r="L7" s="40"/>
      <c r="M7" s="40"/>
      <c r="N7" s="40"/>
      <c r="O7" s="40"/>
      <c r="P7" s="40"/>
      <c r="Q7" s="58"/>
      <c r="R7" s="444"/>
    </row>
    <row r="8" spans="1:18" ht="13.5" customHeight="1" x14ac:dyDescent="0.2">
      <c r="A8" s="126"/>
      <c r="B8" s="125"/>
      <c r="C8" s="127"/>
      <c r="D8" s="138" t="s">
        <v>262</v>
      </c>
      <c r="E8" s="139">
        <v>50</v>
      </c>
      <c r="F8" s="476" t="s">
        <v>0</v>
      </c>
      <c r="G8" s="77"/>
      <c r="H8" s="75"/>
      <c r="I8" s="40"/>
      <c r="J8" s="40"/>
      <c r="K8" s="40"/>
      <c r="L8" s="40"/>
      <c r="M8" s="40"/>
      <c r="N8" s="40"/>
      <c r="O8" s="40"/>
      <c r="P8" s="40"/>
      <c r="Q8" s="58"/>
      <c r="R8" s="444"/>
    </row>
    <row r="9" spans="1:18" ht="13.5" customHeight="1" x14ac:dyDescent="0.2">
      <c r="A9" s="126"/>
      <c r="B9" s="125"/>
      <c r="C9" s="127"/>
      <c r="D9" s="138" t="s">
        <v>182</v>
      </c>
      <c r="E9" s="139">
        <v>5</v>
      </c>
      <c r="F9" s="476" t="s">
        <v>0</v>
      </c>
      <c r="G9" s="77"/>
      <c r="H9" s="75"/>
      <c r="I9" s="40"/>
      <c r="J9" s="40"/>
      <c r="K9" s="40"/>
      <c r="L9" s="40"/>
      <c r="M9" s="40"/>
      <c r="N9" s="40"/>
      <c r="O9" s="40"/>
      <c r="P9" s="40"/>
      <c r="Q9" s="58"/>
      <c r="R9" s="444"/>
    </row>
    <row r="10" spans="1:18" ht="13.5" customHeight="1" x14ac:dyDescent="0.2">
      <c r="A10" s="126"/>
      <c r="B10" s="125"/>
      <c r="C10" s="127"/>
      <c r="D10" s="138" t="s">
        <v>462</v>
      </c>
      <c r="E10" s="139">
        <v>150</v>
      </c>
      <c r="F10" s="476" t="s">
        <v>42</v>
      </c>
      <c r="G10" s="77"/>
      <c r="H10" s="75"/>
      <c r="I10" s="40"/>
      <c r="J10" s="40"/>
      <c r="K10" s="40"/>
      <c r="L10" s="40"/>
      <c r="M10" s="40"/>
      <c r="N10" s="40"/>
      <c r="O10" s="40"/>
      <c r="P10" s="40"/>
      <c r="Q10" s="58"/>
      <c r="R10" s="444"/>
    </row>
    <row r="11" spans="1:18" ht="15" customHeight="1" x14ac:dyDescent="0.2">
      <c r="A11" s="126"/>
      <c r="B11" s="125"/>
      <c r="C11" s="127"/>
      <c r="D11" s="138" t="s">
        <v>276</v>
      </c>
      <c r="E11" s="486"/>
      <c r="F11" s="140"/>
      <c r="G11" s="77"/>
      <c r="H11" s="75"/>
      <c r="I11" s="40"/>
      <c r="J11" s="40"/>
      <c r="K11" s="40"/>
      <c r="L11" s="40"/>
      <c r="M11" s="40"/>
      <c r="N11" s="40"/>
      <c r="O11" s="40"/>
      <c r="P11" s="40"/>
      <c r="Q11" s="58"/>
      <c r="R11" s="444"/>
    </row>
    <row r="12" spans="1:18" ht="16.5" customHeight="1" x14ac:dyDescent="0.2">
      <c r="A12" s="126"/>
      <c r="B12" s="125"/>
      <c r="C12" s="127"/>
      <c r="D12" s="138" t="s">
        <v>496</v>
      </c>
      <c r="E12" s="434">
        <v>250</v>
      </c>
      <c r="F12" s="477" t="s">
        <v>3</v>
      </c>
      <c r="G12" s="77"/>
      <c r="H12" s="75"/>
      <c r="I12" s="40"/>
      <c r="J12" s="40"/>
      <c r="K12" s="40"/>
      <c r="L12" s="40"/>
      <c r="M12" s="40"/>
      <c r="N12" s="40"/>
      <c r="O12" s="40"/>
      <c r="P12" s="40"/>
      <c r="Q12" s="58"/>
      <c r="R12" s="444"/>
    </row>
    <row r="13" spans="1:18" ht="15.75" customHeight="1" thickBot="1" x14ac:dyDescent="0.25">
      <c r="A13" s="129"/>
      <c r="B13" s="130"/>
      <c r="C13" s="131"/>
      <c r="D13" s="131" t="str">
        <f>CHOOSE(MODE, "RT Resistance", "*Connect RT pin to GND")</f>
        <v>RT Resistance</v>
      </c>
      <c r="E13" s="430">
        <f>'Standard Value Calculator'!J4/1000</f>
        <v>124</v>
      </c>
      <c r="F13" s="431" t="s">
        <v>32</v>
      </c>
      <c r="G13" s="78"/>
      <c r="H13" s="75"/>
      <c r="I13" s="40"/>
      <c r="J13" s="40"/>
      <c r="K13" s="40"/>
      <c r="L13" s="40"/>
      <c r="M13" s="40"/>
      <c r="N13" s="40"/>
      <c r="O13" s="40"/>
      <c r="P13" s="40"/>
      <c r="Q13" s="58"/>
      <c r="R13" s="444"/>
    </row>
    <row r="14" spans="1:18" ht="14.1" customHeight="1" x14ac:dyDescent="0.2">
      <c r="A14" s="74"/>
      <c r="B14" s="75"/>
      <c r="C14" s="75"/>
      <c r="D14" s="79"/>
      <c r="E14" s="80"/>
      <c r="F14" s="75"/>
      <c r="G14" s="77"/>
      <c r="H14" s="75"/>
      <c r="I14" s="40"/>
      <c r="J14" s="40"/>
      <c r="K14" s="40"/>
      <c r="L14" s="40"/>
      <c r="M14" s="40"/>
      <c r="N14" s="40"/>
      <c r="O14" s="40"/>
      <c r="P14" s="40"/>
      <c r="Q14" s="58"/>
      <c r="R14" s="444"/>
    </row>
    <row r="15" spans="1:18" ht="19.5" customHeight="1" thickBot="1" x14ac:dyDescent="0.35">
      <c r="A15" s="94" t="s">
        <v>135</v>
      </c>
      <c r="B15" s="81"/>
      <c r="C15" s="82"/>
      <c r="D15" s="82"/>
      <c r="E15" s="83"/>
      <c r="F15" s="369"/>
      <c r="G15" s="77"/>
      <c r="H15" s="75"/>
      <c r="I15" s="40"/>
      <c r="J15" s="40"/>
      <c r="K15" s="40"/>
      <c r="L15" s="40"/>
      <c r="M15" s="40"/>
      <c r="N15" s="40"/>
      <c r="O15" s="40"/>
      <c r="P15" s="40"/>
      <c r="Q15" s="58"/>
      <c r="R15" s="444"/>
    </row>
    <row r="16" spans="1:18" ht="15.75" customHeight="1" x14ac:dyDescent="0.2">
      <c r="A16" s="420"/>
      <c r="B16" s="415"/>
      <c r="C16" s="421"/>
      <c r="D16" s="422" t="s">
        <v>404</v>
      </c>
      <c r="E16" s="421"/>
      <c r="F16" s="423"/>
      <c r="G16" s="77"/>
      <c r="H16" s="75"/>
      <c r="I16" s="40"/>
      <c r="J16" s="40"/>
      <c r="K16" s="40"/>
      <c r="L16" s="40"/>
      <c r="M16" s="40"/>
      <c r="N16" s="40"/>
      <c r="O16" s="40"/>
      <c r="P16" s="40"/>
      <c r="Q16" s="58"/>
      <c r="R16" s="444"/>
    </row>
    <row r="17" spans="1:18" ht="13.5" customHeight="1" x14ac:dyDescent="0.2">
      <c r="A17" s="74"/>
      <c r="B17" s="75"/>
      <c r="C17" s="73"/>
      <c r="D17" s="73" t="s">
        <v>139</v>
      </c>
      <c r="E17" s="424">
        <f>Lopt*1000000</f>
        <v>235.65891472868216</v>
      </c>
      <c r="F17" s="91" t="s">
        <v>129</v>
      </c>
      <c r="G17" s="77"/>
      <c r="H17" s="75"/>
      <c r="I17" s="40"/>
      <c r="J17" s="40"/>
      <c r="K17" s="40"/>
      <c r="L17" s="40"/>
      <c r="M17" s="40"/>
      <c r="N17" s="40"/>
      <c r="O17" s="40"/>
      <c r="P17" s="40"/>
      <c r="Q17" s="58"/>
      <c r="R17" s="444"/>
    </row>
    <row r="18" spans="1:18" ht="13.5" customHeight="1" x14ac:dyDescent="0.25">
      <c r="A18" s="74"/>
      <c r="B18" s="75"/>
      <c r="C18" s="73"/>
      <c r="D18" s="88" t="s">
        <v>183</v>
      </c>
      <c r="E18" s="76">
        <v>220</v>
      </c>
      <c r="F18" s="478" t="s">
        <v>129</v>
      </c>
      <c r="G18" s="77"/>
      <c r="H18" s="75"/>
      <c r="I18" s="40"/>
      <c r="J18" s="40"/>
      <c r="K18" s="40"/>
      <c r="L18" s="40"/>
      <c r="M18" s="40"/>
      <c r="N18" s="40"/>
      <c r="O18" s="40"/>
      <c r="P18" s="40"/>
      <c r="Q18" s="58"/>
      <c r="R18" s="444"/>
    </row>
    <row r="19" spans="1:18" ht="13.5" customHeight="1" x14ac:dyDescent="0.2">
      <c r="A19" s="74"/>
      <c r="B19" s="75"/>
      <c r="C19" s="73"/>
      <c r="D19" s="88" t="s">
        <v>140</v>
      </c>
      <c r="E19" s="76">
        <v>300</v>
      </c>
      <c r="F19" s="478" t="s">
        <v>31</v>
      </c>
      <c r="G19" s="77"/>
      <c r="H19" s="75"/>
      <c r="I19" s="40"/>
      <c r="J19" s="40"/>
      <c r="K19" s="40"/>
      <c r="L19" s="40"/>
      <c r="M19" s="40"/>
      <c r="N19" s="40"/>
      <c r="O19" s="40"/>
      <c r="P19" s="40"/>
      <c r="Q19" s="58"/>
      <c r="R19" s="444"/>
    </row>
    <row r="20" spans="1:18" ht="13.5" customHeight="1" x14ac:dyDescent="0.2">
      <c r="A20" s="126"/>
      <c r="B20" s="125"/>
      <c r="C20" s="127"/>
      <c r="D20" s="73" t="str">
        <f>CHOOSE(MODE, "Pk-to-Pk Ripple Current", "Resulting PFM Switching Frequency")</f>
        <v>Pk-to-Pk Ripple Current</v>
      </c>
      <c r="E20" s="485">
        <f>CHOOSE(MODE, 'Variable Mgmt'!B85*1000, 'Variable Mgmt'!B65)</f>
        <v>82.524597071526401</v>
      </c>
      <c r="F20" s="91" t="str">
        <f>CHOOSE(MODE, "mApk-pk", "kHz")</f>
        <v>mApk-pk</v>
      </c>
      <c r="G20" s="77"/>
      <c r="H20" s="75"/>
      <c r="I20" s="40"/>
      <c r="J20" s="40"/>
      <c r="K20" s="40"/>
      <c r="L20" s="40"/>
      <c r="M20" s="40"/>
      <c r="N20" s="40"/>
      <c r="O20" s="40"/>
      <c r="P20" s="40"/>
      <c r="Q20" s="58"/>
      <c r="R20" s="444"/>
    </row>
    <row r="21" spans="1:18" ht="15.75" customHeight="1" thickBot="1" x14ac:dyDescent="0.25">
      <c r="A21" s="146"/>
      <c r="B21" s="147"/>
      <c r="C21" s="368"/>
      <c r="D21" s="223" t="str">
        <f>CHOOSE(MODE, 'Variable Mgmt'!H85, 'Variable Mgmt'!H86)</f>
        <v>% Ripple Current at Nom VIN</v>
      </c>
      <c r="E21" s="224">
        <f>IF(MODE=1, 'Variable Mgmt'!B93*100, Ilim/2*1000)</f>
        <v>55.01639804768427</v>
      </c>
      <c r="F21" s="93" t="str">
        <f>IF(MODE=1, "%", "mA")</f>
        <v>%</v>
      </c>
      <c r="G21" s="77"/>
      <c r="H21" s="75"/>
      <c r="I21" s="40"/>
      <c r="J21" s="40"/>
      <c r="K21" s="40"/>
      <c r="L21" s="40"/>
      <c r="M21" s="40"/>
      <c r="N21" s="40"/>
      <c r="O21" s="40"/>
      <c r="P21" s="40"/>
      <c r="Q21" s="58"/>
      <c r="R21" s="444"/>
    </row>
    <row r="22" spans="1:18" ht="13.5" customHeight="1" x14ac:dyDescent="0.2">
      <c r="A22" s="222"/>
      <c r="B22" s="62"/>
      <c r="C22" s="62"/>
      <c r="D22" s="62"/>
      <c r="E22" s="62"/>
      <c r="F22" s="62"/>
      <c r="G22" s="77"/>
      <c r="H22" s="75"/>
      <c r="I22" s="40"/>
      <c r="J22" s="40"/>
      <c r="K22" s="40"/>
      <c r="L22" s="40"/>
      <c r="M22" s="40"/>
      <c r="N22" s="40"/>
      <c r="O22" s="40"/>
      <c r="P22" s="40"/>
      <c r="Q22" s="58"/>
      <c r="R22" s="444"/>
    </row>
    <row r="23" spans="1:18" ht="19.5" customHeight="1" thickBot="1" x14ac:dyDescent="0.35">
      <c r="A23" s="94" t="s">
        <v>480</v>
      </c>
      <c r="B23" s="81"/>
      <c r="C23" s="82"/>
      <c r="D23" s="82"/>
      <c r="E23" s="83"/>
      <c r="F23" s="82"/>
      <c r="G23" s="75"/>
      <c r="H23" s="75"/>
      <c r="I23" s="40"/>
      <c r="J23" s="40"/>
      <c r="K23" s="40"/>
      <c r="L23" s="40"/>
      <c r="M23" s="40"/>
      <c r="N23" s="40"/>
      <c r="O23" s="40"/>
      <c r="P23" s="40"/>
      <c r="Q23" s="58"/>
      <c r="R23" s="444"/>
    </row>
    <row r="24" spans="1:18" ht="15" customHeight="1" x14ac:dyDescent="0.2">
      <c r="A24" s="467"/>
      <c r="B24" s="468"/>
      <c r="C24" s="469"/>
      <c r="D24" s="469" t="s">
        <v>244</v>
      </c>
      <c r="E24" s="568">
        <f>'Variable Mgmt'!B116</f>
        <v>6.6019677657221107</v>
      </c>
      <c r="F24" s="479" t="s">
        <v>130</v>
      </c>
      <c r="G24" s="75"/>
      <c r="H24" s="75"/>
      <c r="I24" s="40"/>
      <c r="J24" s="40"/>
      <c r="K24" s="40"/>
      <c r="L24" s="40"/>
      <c r="M24" s="40"/>
      <c r="N24" s="40"/>
      <c r="O24" s="40"/>
      <c r="P24" s="40"/>
      <c r="Q24" s="58"/>
      <c r="R24" s="444"/>
    </row>
    <row r="25" spans="1:18" ht="13.5" customHeight="1" x14ac:dyDescent="0.2">
      <c r="A25" s="74"/>
      <c r="B25" s="75"/>
      <c r="C25" s="127"/>
      <c r="D25" s="144" t="s">
        <v>184</v>
      </c>
      <c r="E25" s="139">
        <v>100</v>
      </c>
      <c r="F25" s="476" t="s">
        <v>130</v>
      </c>
      <c r="G25" s="75"/>
      <c r="H25" s="75"/>
      <c r="I25" s="40"/>
      <c r="J25" s="40"/>
      <c r="K25" s="40"/>
      <c r="L25" s="40"/>
      <c r="M25" s="40"/>
      <c r="N25" s="40"/>
      <c r="O25" s="40"/>
      <c r="P25" s="40"/>
      <c r="Q25" s="58"/>
      <c r="R25" s="444"/>
    </row>
    <row r="26" spans="1:18" ht="14.1" customHeight="1" x14ac:dyDescent="0.2">
      <c r="A26" s="74"/>
      <c r="B26" s="75"/>
      <c r="C26" s="127"/>
      <c r="D26" s="127" t="str">
        <f>CHOOSE(MODE, "Recommended ESR", "*Higher Cout Improves Light-Load Eff")</f>
        <v>Recommended ESR</v>
      </c>
      <c r="E26" s="463" t="str">
        <f>'Variable Mgmt'!B259</f>
        <v>&gt;0.99</v>
      </c>
      <c r="F26" s="128" t="str">
        <f>IF(MODE=1, "Ω", "")</f>
        <v>Ω</v>
      </c>
      <c r="G26" s="77"/>
      <c r="H26" s="75"/>
      <c r="I26" s="40"/>
      <c r="J26" s="40"/>
      <c r="K26" s="40"/>
      <c r="L26" s="40"/>
      <c r="M26" s="40"/>
      <c r="N26" s="40"/>
      <c r="O26" s="40"/>
      <c r="P26" s="40"/>
      <c r="Q26" s="58"/>
      <c r="R26" s="444"/>
    </row>
    <row r="27" spans="1:18" ht="13.5" customHeight="1" x14ac:dyDescent="0.2">
      <c r="A27" s="74"/>
      <c r="B27" s="75"/>
      <c r="C27" s="127"/>
      <c r="D27" s="472" t="str">
        <f>CHOOSE(MODE, "Total ESR &amp; Series Resistance", "*PFM Hysteresis Sets Output Ripple")</f>
        <v>Total ESR &amp; Series Resistance</v>
      </c>
      <c r="E27" s="139">
        <v>1.5</v>
      </c>
      <c r="F27" s="476" t="s">
        <v>516</v>
      </c>
      <c r="G27" s="77"/>
      <c r="H27" s="75"/>
      <c r="I27" s="40"/>
      <c r="J27" s="40"/>
      <c r="K27" s="40"/>
      <c r="L27" s="40"/>
      <c r="M27" s="40"/>
      <c r="N27" s="40"/>
      <c r="O27" s="40"/>
      <c r="P27" s="40"/>
      <c r="Q27" s="58"/>
      <c r="R27" s="444"/>
    </row>
    <row r="28" spans="1:18" ht="15.75" customHeight="1" thickBot="1" x14ac:dyDescent="0.35">
      <c r="A28" s="74"/>
      <c r="B28" s="92"/>
      <c r="C28" s="92"/>
      <c r="D28" s="223" t="str">
        <f>CHOOSE(MODE, "Resulting Output Voltage Ripple", "Output Voltage Ripple")</f>
        <v>Resulting Output Voltage Ripple</v>
      </c>
      <c r="E28" s="224">
        <f>CHOOSE(MODE, Vripple2*1000, Vripple_PFM*1000)</f>
        <v>123.78758331035492</v>
      </c>
      <c r="F28" s="93" t="s">
        <v>138</v>
      </c>
      <c r="G28" s="77"/>
      <c r="H28" s="75"/>
      <c r="I28" s="40"/>
      <c r="J28" s="40"/>
      <c r="K28" s="40"/>
      <c r="L28" s="40"/>
      <c r="M28" s="40"/>
      <c r="N28" s="40"/>
      <c r="O28" s="40"/>
      <c r="P28" s="40"/>
      <c r="Q28" s="58"/>
      <c r="R28" s="444"/>
    </row>
    <row r="29" spans="1:18" ht="15" customHeight="1" x14ac:dyDescent="0.2">
      <c r="A29" s="414"/>
      <c r="B29" s="82"/>
      <c r="C29" s="75"/>
      <c r="D29" s="127" t="s">
        <v>519</v>
      </c>
      <c r="E29" s="463">
        <f>'Variable Mgmt'!B142</f>
        <v>0.47</v>
      </c>
      <c r="F29" s="479" t="s">
        <v>130</v>
      </c>
      <c r="G29" s="77"/>
      <c r="H29" s="75"/>
      <c r="I29" s="40"/>
      <c r="J29" s="40"/>
      <c r="K29" s="40"/>
      <c r="L29" s="40"/>
      <c r="M29" s="40"/>
      <c r="N29" s="40"/>
      <c r="O29" s="40"/>
      <c r="P29" s="40"/>
      <c r="Q29" s="58"/>
      <c r="R29" s="444"/>
    </row>
    <row r="30" spans="1:18" ht="14.1" customHeight="1" x14ac:dyDescent="0.25">
      <c r="A30" s="85"/>
      <c r="B30" s="75"/>
      <c r="C30" s="82"/>
      <c r="D30" s="88" t="s">
        <v>185</v>
      </c>
      <c r="E30" s="76">
        <v>4.7</v>
      </c>
      <c r="F30" s="478" t="s">
        <v>130</v>
      </c>
      <c r="G30" s="75"/>
      <c r="H30" s="75"/>
      <c r="I30" s="40"/>
      <c r="J30" s="40"/>
      <c r="K30" s="40"/>
      <c r="L30" s="40"/>
      <c r="M30" s="40"/>
      <c r="N30" s="40"/>
      <c r="O30" s="40"/>
      <c r="P30" s="40"/>
      <c r="Q30" s="58"/>
      <c r="R30" s="444"/>
    </row>
    <row r="31" spans="1:18" ht="14.1" customHeight="1" x14ac:dyDescent="0.2">
      <c r="A31" s="85"/>
      <c r="B31" s="75"/>
      <c r="C31" s="143"/>
      <c r="D31" s="138" t="s">
        <v>141</v>
      </c>
      <c r="E31" s="139">
        <v>3</v>
      </c>
      <c r="F31" s="476" t="s">
        <v>31</v>
      </c>
      <c r="G31" s="75"/>
      <c r="H31" s="75"/>
      <c r="I31" s="40"/>
      <c r="J31" s="40"/>
      <c r="K31" s="40"/>
      <c r="L31" s="40"/>
      <c r="M31" s="40"/>
      <c r="N31" s="40"/>
      <c r="O31" s="40"/>
      <c r="P31" s="40"/>
      <c r="Q31" s="58"/>
      <c r="R31" s="444"/>
    </row>
    <row r="32" spans="1:18" ht="15.75" customHeight="1" thickBot="1" x14ac:dyDescent="0.35">
      <c r="A32" s="89"/>
      <c r="B32" s="90"/>
      <c r="C32" s="96"/>
      <c r="D32" s="223" t="s">
        <v>142</v>
      </c>
      <c r="E32" s="224">
        <f>CHOOSE(MODE, Vinripple2*1000, 'Variable Mgmt'!B150*1000)</f>
        <v>13.588135643581857</v>
      </c>
      <c r="F32" s="93" t="s">
        <v>138</v>
      </c>
      <c r="G32" s="75"/>
      <c r="H32" s="75"/>
      <c r="I32" s="40"/>
      <c r="J32" s="40"/>
      <c r="K32" s="60"/>
      <c r="L32" s="40"/>
      <c r="M32" s="40"/>
      <c r="N32" s="40"/>
      <c r="O32" s="40"/>
      <c r="P32" s="40"/>
      <c r="Q32" s="58"/>
      <c r="R32" s="444"/>
    </row>
    <row r="33" spans="1:18" ht="14.1" customHeight="1" x14ac:dyDescent="0.2">
      <c r="A33" s="470"/>
      <c r="B33" s="62"/>
      <c r="C33" s="62"/>
      <c r="D33" s="62"/>
      <c r="E33" s="62"/>
      <c r="F33" s="62"/>
      <c r="G33" s="75"/>
      <c r="H33" s="75"/>
      <c r="I33" s="40"/>
      <c r="J33" s="40"/>
      <c r="K33" s="40"/>
      <c r="L33" s="40"/>
      <c r="M33" s="40"/>
      <c r="N33" s="40"/>
      <c r="O33" s="40"/>
      <c r="P33" s="40"/>
      <c r="Q33" s="58"/>
      <c r="R33" s="444"/>
    </row>
    <row r="34" spans="1:18" ht="19.5" thickBot="1" x14ac:dyDescent="0.35">
      <c r="A34" s="94" t="s">
        <v>535</v>
      </c>
      <c r="B34" s="81"/>
      <c r="C34" s="75"/>
      <c r="D34" s="73"/>
      <c r="E34" s="75"/>
      <c r="F34" s="75"/>
      <c r="G34" s="75"/>
      <c r="H34" s="75"/>
      <c r="I34" s="62"/>
      <c r="J34" s="62"/>
      <c r="K34" s="62"/>
      <c r="L34" s="225"/>
      <c r="M34" s="40"/>
      <c r="N34" s="40"/>
      <c r="O34" s="40"/>
      <c r="P34" s="40"/>
      <c r="Q34" s="58"/>
      <c r="R34" s="444"/>
    </row>
    <row r="35" spans="1:18" ht="16.5" customHeight="1" x14ac:dyDescent="0.2">
      <c r="A35" s="133"/>
      <c r="B35" s="134"/>
      <c r="C35" s="218"/>
      <c r="D35" s="460" t="str">
        <f>CHOOSE(MODE_VOUT, "*Connect VOUT pin to Point of Regulation", "Upper Feedback Resistor, R1")</f>
        <v>*Connect VOUT pin to Point of Regulation</v>
      </c>
      <c r="E35" s="219">
        <v>210</v>
      </c>
      <c r="F35" s="220" t="s">
        <v>32</v>
      </c>
      <c r="G35" s="75"/>
      <c r="H35" s="127"/>
      <c r="I35" s="226"/>
      <c r="J35" s="229"/>
      <c r="K35" s="62"/>
      <c r="L35" s="62"/>
      <c r="M35" s="40"/>
      <c r="N35" s="40"/>
      <c r="O35" s="40"/>
      <c r="P35" s="40"/>
      <c r="Q35" s="58"/>
      <c r="R35" s="444"/>
    </row>
    <row r="36" spans="1:18" ht="14.1" customHeight="1" thickBot="1" x14ac:dyDescent="0.25">
      <c r="A36" s="126"/>
      <c r="B36" s="125"/>
      <c r="C36" s="127"/>
      <c r="D36" s="127" t="str">
        <f>CHOOSE(MODE_VOUT, "", "Lower Feedback Resistor, R2")</f>
        <v/>
      </c>
      <c r="E36" s="127">
        <f>IF(Vout=Vref,"OPEN",Rfb2_u/1000)</f>
        <v>68.099999999999994</v>
      </c>
      <c r="F36" s="128" t="str">
        <f>IF(Vout=Vref,"","kΩ")</f>
        <v>kΩ</v>
      </c>
      <c r="G36" s="75"/>
      <c r="H36" s="231"/>
      <c r="I36" s="142"/>
      <c r="J36" s="227"/>
      <c r="K36" s="230"/>
      <c r="L36" s="62"/>
      <c r="M36" s="40"/>
      <c r="N36" s="40"/>
      <c r="O36" s="40"/>
      <c r="P36" s="40"/>
      <c r="Q36" s="58"/>
      <c r="R36" s="444"/>
    </row>
    <row r="37" spans="1:18" ht="15.75" customHeight="1" x14ac:dyDescent="0.2">
      <c r="A37" s="425"/>
      <c r="B37" s="426"/>
      <c r="C37" s="427"/>
      <c r="D37" s="428" t="s">
        <v>463</v>
      </c>
      <c r="E37" s="427"/>
      <c r="F37" s="429"/>
      <c r="G37" s="75"/>
      <c r="H37" s="75"/>
      <c r="I37" s="62"/>
      <c r="J37" s="228"/>
      <c r="K37" s="62"/>
      <c r="L37" s="62"/>
      <c r="M37" s="40"/>
      <c r="N37" s="40"/>
      <c r="O37" s="40"/>
      <c r="P37" s="40"/>
      <c r="Q37" s="58" t="s">
        <v>106</v>
      </c>
      <c r="R37" s="444"/>
    </row>
    <row r="38" spans="1:18" ht="16.5" customHeight="1" x14ac:dyDescent="0.2">
      <c r="A38" s="126"/>
      <c r="B38" s="125"/>
      <c r="C38" s="125"/>
      <c r="D38" s="142" t="str">
        <f>CHOOSE(MODE_SS,"Soft-Start Time","*Leave SS pin Open Circuit","*Connect 100kΩ Resistor from SS to GND")</f>
        <v>Soft-Start Time</v>
      </c>
      <c r="E38" s="139">
        <v>6</v>
      </c>
      <c r="F38" s="140" t="s">
        <v>83</v>
      </c>
      <c r="G38" s="75"/>
      <c r="H38" s="75"/>
      <c r="I38" s="40"/>
      <c r="J38" s="61"/>
      <c r="K38" s="40"/>
      <c r="L38" s="40"/>
      <c r="M38" s="40"/>
      <c r="N38" s="40"/>
      <c r="O38" s="40"/>
      <c r="P38" s="40"/>
      <c r="Q38" s="58"/>
      <c r="R38" s="444"/>
    </row>
    <row r="39" spans="1:18" ht="14.1" customHeight="1" thickBot="1" x14ac:dyDescent="0.35">
      <c r="A39" s="129"/>
      <c r="B39" s="130"/>
      <c r="C39" s="130"/>
      <c r="D39" s="401" t="s">
        <v>186</v>
      </c>
      <c r="E39" s="419">
        <f>IF(Tss&gt;0.0001,Css_u*1000000000,"N/A")</f>
        <v>47</v>
      </c>
      <c r="F39" s="132" t="s">
        <v>76</v>
      </c>
      <c r="G39" s="75"/>
      <c r="H39" s="75"/>
      <c r="I39" s="40"/>
      <c r="J39" s="61"/>
      <c r="K39" s="40"/>
      <c r="L39" s="40"/>
      <c r="M39" s="40"/>
      <c r="N39" s="40"/>
      <c r="O39" s="40"/>
      <c r="P39" s="40"/>
      <c r="Q39" s="58"/>
      <c r="R39" s="444"/>
    </row>
    <row r="40" spans="1:18" ht="15.75" customHeight="1" x14ac:dyDescent="0.2">
      <c r="A40" s="126"/>
      <c r="B40" s="125"/>
      <c r="C40" s="125"/>
      <c r="D40" s="428" t="s">
        <v>493</v>
      </c>
      <c r="E40" s="141"/>
      <c r="F40" s="128"/>
      <c r="G40" s="75"/>
      <c r="H40" s="75"/>
      <c r="I40" s="40"/>
      <c r="J40" s="40"/>
      <c r="K40" s="40"/>
      <c r="L40" s="40"/>
      <c r="M40" s="40"/>
      <c r="N40" s="40"/>
      <c r="O40" s="40"/>
      <c r="P40" s="40"/>
      <c r="Q40" s="58"/>
      <c r="R40" s="444"/>
    </row>
    <row r="41" spans="1:18" ht="15.75" customHeight="1" x14ac:dyDescent="0.2">
      <c r="A41" s="126"/>
      <c r="B41" s="125"/>
      <c r="C41" s="143"/>
      <c r="D41" s="144" t="str">
        <f>CHOOSE(MODE_UVLO, "Input Voltage UVLO On", "*Connect EN pin to VIN or Logic HIGH")</f>
        <v>*Connect EN pin to VIN or Logic HIGH</v>
      </c>
      <c r="E41" s="145">
        <v>20</v>
      </c>
      <c r="F41" s="140" t="s">
        <v>0</v>
      </c>
      <c r="G41" s="75"/>
      <c r="H41" s="75"/>
      <c r="I41" s="40"/>
      <c r="J41" s="40"/>
      <c r="K41" s="40"/>
      <c r="L41" s="40"/>
      <c r="M41" s="40"/>
      <c r="N41" s="40"/>
      <c r="O41" s="40"/>
      <c r="P41" s="40"/>
      <c r="Q41" s="58"/>
      <c r="R41" s="444"/>
    </row>
    <row r="42" spans="1:18" ht="17.25" customHeight="1" thickBot="1" x14ac:dyDescent="0.25">
      <c r="A42" s="129"/>
      <c r="B42" s="147"/>
      <c r="C42" s="147"/>
      <c r="D42" s="482" t="str">
        <f>CHOOSE(MODE_UVLO, "Input Voltage UVLO Off", "*Connect HYS pin to GND")</f>
        <v>*Connect HYS pin to GND</v>
      </c>
      <c r="E42" s="483">
        <v>18</v>
      </c>
      <c r="F42" s="484" t="s">
        <v>0</v>
      </c>
      <c r="G42" s="75"/>
      <c r="H42" s="75"/>
      <c r="I42" s="40"/>
      <c r="J42" s="40"/>
      <c r="K42" s="40"/>
      <c r="L42" s="40"/>
      <c r="M42" s="40"/>
      <c r="N42" s="40"/>
      <c r="O42" s="40"/>
      <c r="P42" s="40"/>
      <c r="Q42" s="58"/>
      <c r="R42" s="444"/>
    </row>
    <row r="43" spans="1:18" ht="13.5" customHeight="1" x14ac:dyDescent="0.2">
      <c r="A43" s="514"/>
      <c r="B43" s="125"/>
      <c r="C43" s="143"/>
      <c r="D43" s="144" t="s">
        <v>474</v>
      </c>
      <c r="E43" s="145">
        <v>1</v>
      </c>
      <c r="F43" s="140" t="s">
        <v>571</v>
      </c>
      <c r="G43" s="75"/>
      <c r="H43" s="75"/>
      <c r="I43" s="40"/>
      <c r="J43" s="40"/>
      <c r="K43" s="40"/>
      <c r="L43" s="40"/>
      <c r="M43" s="40"/>
      <c r="N43" s="40"/>
      <c r="O43" s="40"/>
      <c r="P43" s="40"/>
      <c r="Q43" s="58"/>
      <c r="R43" s="444"/>
    </row>
    <row r="44" spans="1:18" ht="15.75" customHeight="1" x14ac:dyDescent="0.3">
      <c r="A44" s="126"/>
      <c r="B44" s="125"/>
      <c r="C44" s="125"/>
      <c r="D44" s="127" t="s">
        <v>466</v>
      </c>
      <c r="E44" s="127" t="str">
        <f>'Variable Mgmt'!F263</f>
        <v/>
      </c>
      <c r="F44" s="128" t="str">
        <f>'Variable Mgmt'!G263</f>
        <v/>
      </c>
      <c r="G44" s="75"/>
      <c r="H44" s="86"/>
      <c r="I44" s="62"/>
      <c r="J44" s="62"/>
      <c r="K44" s="62"/>
      <c r="L44" s="62"/>
      <c r="M44" s="62"/>
      <c r="N44" s="40"/>
      <c r="O44" s="40"/>
      <c r="P44" s="40"/>
      <c r="Q44" s="58"/>
      <c r="R44" s="444"/>
    </row>
    <row r="45" spans="1:18" ht="15.75" customHeight="1" thickBot="1" x14ac:dyDescent="0.35">
      <c r="A45" s="129"/>
      <c r="B45" s="147"/>
      <c r="C45" s="147"/>
      <c r="D45" s="223" t="s">
        <v>490</v>
      </c>
      <c r="E45" s="223" t="str">
        <f>'Variable Mgmt'!F264</f>
        <v/>
      </c>
      <c r="F45" s="93" t="str">
        <f>'Variable Mgmt'!G264</f>
        <v/>
      </c>
      <c r="G45" s="75"/>
      <c r="H45" s="84"/>
      <c r="I45" s="62"/>
      <c r="J45" s="62"/>
      <c r="K45" s="62"/>
      <c r="L45" s="62"/>
      <c r="M45" s="62"/>
      <c r="N45" s="40"/>
      <c r="O45" s="40"/>
      <c r="P45" s="40"/>
      <c r="Q45" s="58"/>
      <c r="R45" s="444"/>
    </row>
    <row r="46" spans="1:18" ht="15.75" customHeight="1" x14ac:dyDescent="0.2">
      <c r="A46" s="74"/>
      <c r="B46" s="75"/>
      <c r="C46" s="75"/>
      <c r="D46" s="73"/>
      <c r="E46" s="87"/>
      <c r="F46" s="75"/>
      <c r="G46" s="75"/>
      <c r="H46" s="84"/>
      <c r="I46" s="62"/>
      <c r="J46" s="62"/>
      <c r="K46" s="62"/>
      <c r="L46" s="62"/>
      <c r="M46" s="62"/>
      <c r="N46" s="40"/>
      <c r="O46" s="40"/>
      <c r="P46" s="40"/>
      <c r="Q46" s="58"/>
      <c r="R46" s="444"/>
    </row>
    <row r="47" spans="1:18" ht="19.5" customHeight="1" thickBot="1" x14ac:dyDescent="0.25">
      <c r="A47" s="515" t="s">
        <v>487</v>
      </c>
      <c r="B47" s="75"/>
      <c r="C47" s="75"/>
      <c r="D47" s="73"/>
      <c r="E47" s="87"/>
      <c r="F47" s="75"/>
      <c r="G47" s="75"/>
      <c r="H47" s="84"/>
      <c r="I47" s="62"/>
      <c r="J47" s="62"/>
      <c r="K47" s="62"/>
      <c r="L47" s="62"/>
      <c r="M47" s="62"/>
      <c r="N47" s="40"/>
      <c r="O47" s="40"/>
      <c r="P47" s="40"/>
      <c r="Q47" s="58"/>
      <c r="R47" s="444"/>
    </row>
    <row r="48" spans="1:18" ht="13.5" customHeight="1" x14ac:dyDescent="0.2">
      <c r="A48" s="400"/>
      <c r="B48" s="415"/>
      <c r="C48" s="415"/>
      <c r="D48" s="416" t="s">
        <v>491</v>
      </c>
      <c r="E48" s="417">
        <v>157</v>
      </c>
      <c r="F48" s="480" t="s">
        <v>112</v>
      </c>
      <c r="G48" s="75"/>
      <c r="H48" s="75"/>
      <c r="I48" s="40"/>
      <c r="J48" s="38"/>
      <c r="K48" s="71"/>
      <c r="L48" s="40"/>
      <c r="M48" s="62"/>
      <c r="N48" s="40"/>
      <c r="O48" s="40"/>
      <c r="P48" s="40"/>
      <c r="Q48" s="58"/>
      <c r="R48" s="444"/>
    </row>
    <row r="49" spans="1:35" ht="13.5" customHeight="1" x14ac:dyDescent="0.25">
      <c r="A49" s="74"/>
      <c r="B49" s="75"/>
      <c r="C49" s="75"/>
      <c r="D49" s="72" t="s">
        <v>470</v>
      </c>
      <c r="E49" s="402">
        <v>85</v>
      </c>
      <c r="F49" s="478" t="s">
        <v>137</v>
      </c>
      <c r="G49" s="75"/>
      <c r="H49" s="75"/>
      <c r="I49" s="40"/>
      <c r="J49" s="38"/>
      <c r="K49" s="71"/>
      <c r="L49" s="40"/>
      <c r="M49" s="62"/>
      <c r="N49" s="40"/>
      <c r="O49" s="40"/>
      <c r="P49" s="40"/>
      <c r="Q49" s="58"/>
      <c r="R49" s="444"/>
    </row>
    <row r="50" spans="1:35" ht="13.5" customHeight="1" x14ac:dyDescent="0.3">
      <c r="A50" s="74"/>
      <c r="B50" s="75"/>
      <c r="C50" s="75"/>
      <c r="D50" s="73" t="s">
        <v>468</v>
      </c>
      <c r="E50" s="397" t="e">
        <f>1000*'Variable Mgmt'!B26</f>
        <v>#NAME?</v>
      </c>
      <c r="F50" s="91" t="s">
        <v>465</v>
      </c>
      <c r="G50" s="75"/>
      <c r="H50" s="75"/>
      <c r="I50" s="40"/>
      <c r="J50" s="38"/>
      <c r="K50" s="71"/>
      <c r="L50" s="40"/>
      <c r="M50" s="62"/>
      <c r="N50" s="40"/>
      <c r="O50" s="40"/>
      <c r="P50" s="40"/>
      <c r="Q50" s="58"/>
      <c r="R50" s="444"/>
    </row>
    <row r="51" spans="1:35" ht="13.5" customHeight="1" thickBot="1" x14ac:dyDescent="0.35">
      <c r="A51" s="89"/>
      <c r="B51" s="90"/>
      <c r="C51" s="90"/>
      <c r="D51" s="401" t="s">
        <v>469</v>
      </c>
      <c r="E51" s="572" t="e">
        <f>E49+E48*'Variable Mgmt'!B26</f>
        <v>#NAME?</v>
      </c>
      <c r="F51" s="481" t="s">
        <v>137</v>
      </c>
      <c r="G51" s="75"/>
      <c r="H51" s="75"/>
      <c r="I51" s="40"/>
      <c r="J51" s="38"/>
      <c r="K51" s="71"/>
      <c r="L51" s="40"/>
      <c r="M51" s="62"/>
      <c r="N51" s="40"/>
      <c r="O51" s="40"/>
      <c r="P51" s="40"/>
      <c r="Q51" s="58"/>
      <c r="R51" s="444"/>
    </row>
    <row r="52" spans="1:35" ht="13.5" customHeight="1" x14ac:dyDescent="0.2">
      <c r="A52" s="470"/>
      <c r="B52" s="62"/>
      <c r="C52" s="62"/>
      <c r="D52" s="62"/>
      <c r="E52" s="62"/>
      <c r="F52" s="62"/>
      <c r="G52" s="75"/>
      <c r="H52" s="75"/>
      <c r="I52" s="40"/>
      <c r="J52" s="38"/>
      <c r="K52" s="71"/>
      <c r="L52" s="40"/>
      <c r="M52" s="62"/>
      <c r="N52" s="40"/>
      <c r="O52" s="40"/>
      <c r="P52" s="40"/>
      <c r="Q52" s="58"/>
      <c r="R52" s="444"/>
    </row>
    <row r="53" spans="1:35" ht="13.7" customHeight="1" x14ac:dyDescent="0.2">
      <c r="A53" s="470"/>
      <c r="B53" s="62"/>
      <c r="C53" s="62"/>
      <c r="D53" s="62"/>
      <c r="E53" s="62"/>
      <c r="F53" s="62"/>
      <c r="G53" s="75"/>
      <c r="H53" s="75"/>
      <c r="I53" s="40"/>
      <c r="J53" s="38"/>
      <c r="K53" s="71"/>
      <c r="L53" s="40"/>
      <c r="M53" s="62"/>
      <c r="N53" s="40"/>
      <c r="O53" s="40"/>
      <c r="P53" s="40"/>
      <c r="Q53" s="58"/>
      <c r="R53" s="444"/>
    </row>
    <row r="54" spans="1:35" ht="13.7" customHeight="1" x14ac:dyDescent="0.2">
      <c r="A54" s="470"/>
      <c r="B54" s="62"/>
      <c r="C54" s="62"/>
      <c r="D54" s="62"/>
      <c r="E54" s="62"/>
      <c r="F54" s="62"/>
      <c r="G54" s="75"/>
      <c r="H54" s="75"/>
      <c r="I54" s="40"/>
      <c r="J54" s="38"/>
      <c r="K54" s="71"/>
      <c r="L54" s="40"/>
      <c r="M54" s="62"/>
      <c r="N54" s="40"/>
      <c r="O54" s="40"/>
      <c r="P54" s="40"/>
      <c r="Q54" s="58"/>
      <c r="R54" s="444"/>
    </row>
    <row r="55" spans="1:35" ht="13.7" customHeight="1" x14ac:dyDescent="0.2">
      <c r="A55" s="470"/>
      <c r="B55" s="62"/>
      <c r="C55" s="62"/>
      <c r="D55" s="62"/>
      <c r="E55" s="62"/>
      <c r="F55" s="62"/>
      <c r="G55" s="75"/>
      <c r="H55" s="75"/>
      <c r="I55" s="40"/>
      <c r="J55" s="38"/>
      <c r="K55" s="71"/>
      <c r="L55" s="40"/>
      <c r="M55" s="62"/>
      <c r="N55" s="40"/>
      <c r="O55" s="40"/>
      <c r="P55" s="40"/>
      <c r="Q55" s="58"/>
      <c r="R55" s="444"/>
    </row>
    <row r="56" spans="1:35" ht="13.7" customHeight="1" x14ac:dyDescent="0.2">
      <c r="A56" s="74"/>
      <c r="B56" s="75"/>
      <c r="C56" s="75"/>
      <c r="D56" s="73"/>
      <c r="E56" s="87"/>
      <c r="F56" s="75"/>
      <c r="G56" s="75"/>
      <c r="H56" s="75"/>
      <c r="I56" s="40"/>
      <c r="J56" s="38"/>
      <c r="K56" s="71"/>
      <c r="L56" s="40"/>
      <c r="M56" s="62"/>
      <c r="N56" s="40"/>
      <c r="O56" s="40"/>
      <c r="P56" s="40"/>
      <c r="Q56" s="58"/>
      <c r="R56" s="444"/>
    </row>
    <row r="57" spans="1:35" ht="13.7" customHeight="1" x14ac:dyDescent="0.2">
      <c r="A57" s="74"/>
      <c r="B57" s="75"/>
      <c r="C57" s="75"/>
      <c r="D57" s="73"/>
      <c r="E57" s="87"/>
      <c r="F57" s="75"/>
      <c r="G57" s="75"/>
      <c r="H57" s="75"/>
      <c r="I57" s="40"/>
      <c r="J57" s="38"/>
      <c r="K57" s="71"/>
      <c r="L57" s="40"/>
      <c r="M57" s="62"/>
      <c r="N57" s="40"/>
      <c r="O57" s="40"/>
      <c r="P57" s="40"/>
      <c r="Q57" s="58"/>
      <c r="R57" s="444"/>
    </row>
    <row r="58" spans="1:35" ht="13.7" customHeight="1" x14ac:dyDescent="0.2">
      <c r="A58" s="74"/>
      <c r="B58" s="75"/>
      <c r="C58" s="75"/>
      <c r="D58" s="73"/>
      <c r="E58" s="87"/>
      <c r="F58" s="75"/>
      <c r="G58" s="75"/>
      <c r="H58" s="75"/>
      <c r="I58" s="40"/>
      <c r="J58" s="38"/>
      <c r="K58" s="71"/>
      <c r="L58" s="40"/>
      <c r="M58" s="62"/>
      <c r="N58" s="40"/>
      <c r="O58" s="40"/>
      <c r="P58" s="40"/>
      <c r="Q58" s="58"/>
      <c r="R58" s="444"/>
    </row>
    <row r="59" spans="1:35" ht="13.7" customHeight="1" x14ac:dyDescent="0.2">
      <c r="A59" s="74"/>
      <c r="B59" s="75"/>
      <c r="C59" s="75"/>
      <c r="D59" s="73"/>
      <c r="E59" s="87"/>
      <c r="F59" s="75"/>
      <c r="G59" s="75"/>
      <c r="H59" s="75"/>
      <c r="I59" s="40"/>
      <c r="J59" s="38"/>
      <c r="K59" s="71"/>
      <c r="L59" s="40"/>
      <c r="M59" s="62"/>
      <c r="N59" s="40"/>
      <c r="O59" s="40"/>
      <c r="P59" s="40"/>
      <c r="Q59" s="58"/>
      <c r="R59" s="444"/>
    </row>
    <row r="60" spans="1:35" ht="13.7" customHeight="1" x14ac:dyDescent="0.2">
      <c r="A60" s="74"/>
      <c r="B60" s="75"/>
      <c r="C60" s="75"/>
      <c r="D60" s="73"/>
      <c r="E60" s="87"/>
      <c r="F60" s="75"/>
      <c r="G60" s="75"/>
      <c r="H60" s="75"/>
      <c r="I60" s="40"/>
      <c r="J60" s="38"/>
      <c r="K60" s="71"/>
      <c r="L60" s="40"/>
      <c r="M60" s="62"/>
      <c r="N60" s="40"/>
      <c r="O60" s="40"/>
      <c r="P60" s="40"/>
      <c r="Q60" s="58"/>
      <c r="R60" s="444"/>
    </row>
    <row r="61" spans="1:35" ht="13.7" customHeight="1" x14ac:dyDescent="0.2">
      <c r="A61" s="74"/>
      <c r="B61" s="75"/>
      <c r="C61" s="75"/>
      <c r="D61" s="73"/>
      <c r="E61" s="87"/>
      <c r="F61" s="75"/>
      <c r="G61" s="75"/>
      <c r="H61" s="62"/>
      <c r="I61" s="40"/>
      <c r="J61" s="38"/>
      <c r="K61" s="71"/>
      <c r="L61" s="40"/>
      <c r="M61" s="62"/>
      <c r="N61" s="40"/>
      <c r="O61" s="40"/>
      <c r="P61" s="40"/>
      <c r="Q61" s="58"/>
      <c r="R61" s="444"/>
    </row>
    <row r="62" spans="1:35" ht="13.5" thickBot="1" x14ac:dyDescent="0.25">
      <c r="A62" s="89"/>
      <c r="B62" s="90"/>
      <c r="C62" s="90"/>
      <c r="D62" s="90"/>
      <c r="E62" s="97"/>
      <c r="F62" s="90"/>
      <c r="G62" s="90"/>
      <c r="H62" s="90"/>
      <c r="I62" s="98"/>
      <c r="J62" s="98"/>
      <c r="K62" s="98"/>
      <c r="L62" s="98"/>
      <c r="M62" s="98"/>
      <c r="N62" s="98"/>
      <c r="O62" s="98"/>
      <c r="P62" s="98"/>
      <c r="Q62" s="99"/>
      <c r="R62" s="451"/>
      <c r="S62" s="18"/>
      <c r="T62" s="18"/>
      <c r="W62" s="18"/>
      <c r="X62" s="18"/>
      <c r="Y62" s="18"/>
      <c r="AB62" s="18"/>
      <c r="AC62" s="18"/>
      <c r="AD62" s="18"/>
      <c r="AG62" s="18"/>
      <c r="AH62" s="18"/>
      <c r="AI62" s="18"/>
    </row>
    <row r="63" spans="1:35" x14ac:dyDescent="0.2">
      <c r="A63" s="452"/>
      <c r="B63" s="453"/>
      <c r="C63" s="454"/>
      <c r="D63" s="454"/>
      <c r="E63" s="454"/>
      <c r="F63" s="454"/>
      <c r="G63" s="454"/>
      <c r="H63" s="454"/>
      <c r="I63" s="454"/>
      <c r="J63" s="454"/>
      <c r="K63" s="454"/>
      <c r="L63" s="454"/>
      <c r="M63" s="454"/>
      <c r="N63" s="454"/>
      <c r="O63" s="454"/>
      <c r="P63" s="454"/>
      <c r="Q63" s="454"/>
      <c r="R63" s="451"/>
      <c r="S63" s="18"/>
      <c r="T63" s="18"/>
      <c r="W63" s="18"/>
      <c r="X63" s="18"/>
      <c r="Y63" s="18"/>
      <c r="AB63" s="18"/>
      <c r="AC63" s="18"/>
      <c r="AD63" s="18"/>
      <c r="AG63" s="18"/>
      <c r="AH63" s="18"/>
      <c r="AI63" s="18"/>
    </row>
    <row r="64" spans="1:35" x14ac:dyDescent="0.2">
      <c r="A64" s="36"/>
      <c r="R64" s="18"/>
      <c r="S64" s="18"/>
      <c r="T64" s="18"/>
      <c r="W64" s="18"/>
      <c r="X64" s="18"/>
      <c r="Y64" s="18"/>
      <c r="AB64" s="18"/>
      <c r="AC64" s="18"/>
      <c r="AD64" s="18"/>
      <c r="AG64" s="18"/>
      <c r="AH64" s="18"/>
      <c r="AI64" s="18"/>
    </row>
    <row r="65" spans="18:35" x14ac:dyDescent="0.2">
      <c r="R65" s="18"/>
      <c r="S65" s="18"/>
      <c r="T65" s="18"/>
      <c r="W65" s="18"/>
      <c r="X65" s="18"/>
      <c r="Y65" s="18"/>
      <c r="AB65" s="18"/>
      <c r="AC65" s="18"/>
      <c r="AD65" s="18"/>
      <c r="AG65" s="18"/>
      <c r="AH65" s="18"/>
      <c r="AI65" s="18"/>
    </row>
    <row r="66" spans="18:35" x14ac:dyDescent="0.2">
      <c r="R66" s="18"/>
      <c r="S66" s="18"/>
      <c r="T66" s="18"/>
      <c r="W66" s="18"/>
      <c r="X66" s="18"/>
      <c r="Y66" s="18"/>
      <c r="AB66" s="18"/>
      <c r="AC66" s="18"/>
      <c r="AD66" s="18"/>
      <c r="AG66" s="18"/>
      <c r="AH66" s="18"/>
      <c r="AI66" s="18"/>
    </row>
    <row r="67" spans="18:35" x14ac:dyDescent="0.2">
      <c r="R67" s="18"/>
      <c r="S67" s="18"/>
      <c r="T67" s="18"/>
      <c r="W67" s="18"/>
      <c r="X67" s="18"/>
      <c r="Y67" s="18"/>
      <c r="AB67" s="18"/>
      <c r="AC67" s="18"/>
      <c r="AD67" s="18"/>
      <c r="AG67" s="18"/>
      <c r="AH67" s="18"/>
      <c r="AI67" s="18"/>
    </row>
    <row r="68" spans="18:35" x14ac:dyDescent="0.2">
      <c r="R68" s="18"/>
      <c r="S68" s="18"/>
      <c r="T68" s="18"/>
      <c r="W68" s="18"/>
      <c r="X68" s="18"/>
      <c r="Y68" s="18"/>
      <c r="AB68" s="18"/>
      <c r="AC68" s="18"/>
      <c r="AD68" s="18"/>
      <c r="AG68" s="18"/>
      <c r="AH68" s="18"/>
      <c r="AI68" s="18"/>
    </row>
  </sheetData>
  <sheetProtection password="CCC8" sheet="1" objects="1" scenarios="1" selectLockedCells="1"/>
  <mergeCells count="2">
    <mergeCell ref="O3:P3"/>
    <mergeCell ref="A1:Q1"/>
  </mergeCells>
  <phoneticPr fontId="6" type="noConversion"/>
  <conditionalFormatting sqref="E6:E8">
    <cfRule type="cellIs" dxfId="62" priority="76" stopIfTrue="1" operator="notBetween">
      <formula>65</formula>
      <formula>3</formula>
    </cfRule>
  </conditionalFormatting>
  <conditionalFormatting sqref="E9">
    <cfRule type="cellIs" dxfId="61" priority="6" operator="greaterThanOrEqual">
      <formula>$E$7</formula>
    </cfRule>
    <cfRule type="cellIs" dxfId="60" priority="73" stopIfTrue="1" operator="notBetween">
      <formula>1.23</formula>
      <formula>60</formula>
    </cfRule>
  </conditionalFormatting>
  <conditionalFormatting sqref="E25">
    <cfRule type="cellIs" dxfId="59" priority="70" stopIfTrue="1" operator="lessThan">
      <formula>$E$24</formula>
    </cfRule>
  </conditionalFormatting>
  <conditionalFormatting sqref="E30">
    <cfRule type="cellIs" dxfId="58" priority="66" stopIfTrue="1" operator="lessThan">
      <formula>$E$29</formula>
    </cfRule>
  </conditionalFormatting>
  <conditionalFormatting sqref="E31">
    <cfRule type="cellIs" dxfId="57" priority="65" stopIfTrue="1" operator="equal">
      <formula>0</formula>
    </cfRule>
  </conditionalFormatting>
  <conditionalFormatting sqref="E41">
    <cfRule type="cellIs" dxfId="56" priority="62" operator="notBetween">
      <formula>65</formula>
      <formula>3</formula>
    </cfRule>
  </conditionalFormatting>
  <conditionalFormatting sqref="E38">
    <cfRule type="cellIs" dxfId="55" priority="60" operator="lessThanOrEqual">
      <formula>0.1</formula>
    </cfRule>
  </conditionalFormatting>
  <conditionalFormatting sqref="J36">
    <cfRule type="cellIs" dxfId="54" priority="77" stopIfTrue="1" operator="notBetween">
      <formula>600</formula>
      <formula>50</formula>
    </cfRule>
    <cfRule type="cellIs" dxfId="53" priority="78" stopIfTrue="1" operator="greaterThan">
      <formula>$E$11</formula>
    </cfRule>
  </conditionalFormatting>
  <conditionalFormatting sqref="E12">
    <cfRule type="cellIs" dxfId="52" priority="56" stopIfTrue="1" operator="notBetween">
      <formula>600</formula>
      <formula>50</formula>
    </cfRule>
  </conditionalFormatting>
  <conditionalFormatting sqref="E13:F13">
    <cfRule type="expression" dxfId="51" priority="49">
      <formula>(MODE=2)</formula>
    </cfRule>
  </conditionalFormatting>
  <conditionalFormatting sqref="E38:F38">
    <cfRule type="expression" dxfId="50" priority="44">
      <formula>OR(MODE_SS=2,MODE_SS=3)</formula>
    </cfRule>
  </conditionalFormatting>
  <conditionalFormatting sqref="D38">
    <cfRule type="expression" dxfId="49" priority="43">
      <formula>OR(MODE_SS=2,MODE_SS=3)</formula>
    </cfRule>
  </conditionalFormatting>
  <conditionalFormatting sqref="D39:F39">
    <cfRule type="expression" dxfId="48" priority="42">
      <formula>OR(MODE_SS=2,MODE_SS=3)</formula>
    </cfRule>
  </conditionalFormatting>
  <conditionalFormatting sqref="D13">
    <cfRule type="expression" dxfId="47" priority="41">
      <formula>MODE=2</formula>
    </cfRule>
  </conditionalFormatting>
  <conditionalFormatting sqref="D41">
    <cfRule type="expression" dxfId="46" priority="40">
      <formula>MODE_UVLO=2</formula>
    </cfRule>
  </conditionalFormatting>
  <conditionalFormatting sqref="C43:F45 E41:F42">
    <cfRule type="expression" dxfId="45" priority="14">
      <formula>MODE_UVLO=2</formula>
    </cfRule>
  </conditionalFormatting>
  <conditionalFormatting sqref="D42">
    <cfRule type="expression" dxfId="44" priority="37">
      <formula>MODE_UVLO=2</formula>
    </cfRule>
  </conditionalFormatting>
  <conditionalFormatting sqref="E35:F36">
    <cfRule type="expression" dxfId="43" priority="36">
      <formula>(MODE_VOUT=1)</formula>
    </cfRule>
  </conditionalFormatting>
  <conditionalFormatting sqref="D35">
    <cfRule type="expression" dxfId="42" priority="34">
      <formula>(MODE_VOUT=1)</formula>
    </cfRule>
  </conditionalFormatting>
  <conditionalFormatting sqref="E51">
    <cfRule type="cellIs" dxfId="41" priority="22" operator="notBetween">
      <formula>-40</formula>
      <formula>150</formula>
    </cfRule>
  </conditionalFormatting>
  <conditionalFormatting sqref="E49">
    <cfRule type="cellIs" dxfId="40" priority="21" operator="notBetween">
      <formula>-40</formula>
      <formula>150</formula>
    </cfRule>
  </conditionalFormatting>
  <conditionalFormatting sqref="F24">
    <cfRule type="cellIs" dxfId="39" priority="20" stopIfTrue="1" operator="lessThanOrEqual">
      <formula>0</formula>
    </cfRule>
  </conditionalFormatting>
  <conditionalFormatting sqref="D27">
    <cfRule type="expression" dxfId="38" priority="17">
      <formula>MODE=2</formula>
    </cfRule>
  </conditionalFormatting>
  <conditionalFormatting sqref="E27:F27">
    <cfRule type="expression" dxfId="37" priority="16">
      <formula>MODE=2</formula>
    </cfRule>
  </conditionalFormatting>
  <conditionalFormatting sqref="A42:F42">
    <cfRule type="expression" dxfId="36" priority="4">
      <formula>MODE_UVLO=1</formula>
    </cfRule>
  </conditionalFormatting>
  <conditionalFormatting sqref="A45:F45">
    <cfRule type="expression" dxfId="35" priority="13">
      <formula>MODE_UVLO=2</formula>
    </cfRule>
  </conditionalFormatting>
  <conditionalFormatting sqref="F43:F44">
    <cfRule type="expression" dxfId="34" priority="12">
      <formula>MODE_UVLO=2</formula>
    </cfRule>
  </conditionalFormatting>
  <conditionalFormatting sqref="D26">
    <cfRule type="expression" dxfId="33" priority="11">
      <formula>MODE=2</formula>
    </cfRule>
  </conditionalFormatting>
  <conditionalFormatting sqref="E21">
    <cfRule type="expression" dxfId="32" priority="8">
      <formula>AND(MODE=2, $E$21&lt;$E$10)</formula>
    </cfRule>
  </conditionalFormatting>
  <conditionalFormatting sqref="E7">
    <cfRule type="cellIs" dxfId="31" priority="5" operator="lessThan">
      <formula>$E$9+0.1</formula>
    </cfRule>
  </conditionalFormatting>
  <conditionalFormatting sqref="E42">
    <cfRule type="cellIs" dxfId="30" priority="38" operator="notBetween">
      <formula>3</formula>
      <formula>$E$41</formula>
    </cfRule>
  </conditionalFormatting>
  <conditionalFormatting sqref="F29">
    <cfRule type="cellIs" dxfId="29" priority="2" stopIfTrue="1" operator="lessThanOrEqual">
      <formula>0</formula>
    </cfRule>
  </conditionalFormatting>
  <conditionalFormatting sqref="E10">
    <cfRule type="cellIs" dxfId="28" priority="1" operator="lessThan">
      <formula>10</formula>
    </cfRule>
  </conditionalFormatting>
  <hyperlinks>
    <hyperlink ref="O2" r:id="rId1" xr:uid="{00000000-0004-0000-0000-000000000000}"/>
    <hyperlink ref="C3" r:id="rId2" xr:uid="{00000000-0004-0000-0000-000001000000}"/>
  </hyperlinks>
  <printOptions horizontalCentered="1" verticalCentered="1"/>
  <pageMargins left="0.1" right="0.1" top="0.1" bottom="0.1" header="0.25" footer="0.25"/>
  <pageSetup scale="61" orientation="landscape" r:id="rId3"/>
  <headerFooter alignWithMargins="0"/>
  <rowBreaks count="1" manualBreakCount="1">
    <brk id="63" max="1638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72895" r:id="rId7" name="Spinner 127">
              <controlPr defaultSize="0" autoPict="0">
                <anchor moveWithCells="1" sizeWithCells="1">
                  <from>
                    <xdr:col>5</xdr:col>
                    <xdr:colOff>123825</xdr:colOff>
                    <xdr:row>6</xdr:row>
                    <xdr:rowOff>9525</xdr:rowOff>
                  </from>
                  <to>
                    <xdr:col>5</xdr:col>
                    <xdr:colOff>304800</xdr:colOff>
                    <xdr:row>7</xdr:row>
                    <xdr:rowOff>19050</xdr:rowOff>
                  </to>
                </anchor>
              </controlPr>
            </control>
          </mc:Choice>
        </mc:AlternateContent>
        <mc:AlternateContent xmlns:mc="http://schemas.openxmlformats.org/markup-compatibility/2006">
          <mc:Choice Requires="x14">
            <control shapeId="672928" r:id="rId8" name="Drop Down 160">
              <controlPr locked="0" defaultSize="0" autoLine="0" autoPict="0">
                <anchor moveWithCells="1">
                  <from>
                    <xdr:col>4</xdr:col>
                    <xdr:colOff>0</xdr:colOff>
                    <xdr:row>9</xdr:row>
                    <xdr:rowOff>161925</xdr:rowOff>
                  </from>
                  <to>
                    <xdr:col>5</xdr:col>
                    <xdr:colOff>85725</xdr:colOff>
                    <xdr:row>11</xdr:row>
                    <xdr:rowOff>0</xdr:rowOff>
                  </to>
                </anchor>
              </controlPr>
            </control>
          </mc:Choice>
        </mc:AlternateContent>
        <mc:AlternateContent xmlns:mc="http://schemas.openxmlformats.org/markup-compatibility/2006">
          <mc:Choice Requires="x14">
            <control shapeId="672935" r:id="rId9" name="Drop Down 167">
              <controlPr defaultSize="0" autoLine="0" autoPict="0">
                <anchor moveWithCells="1">
                  <from>
                    <xdr:col>4</xdr:col>
                    <xdr:colOff>9525</xdr:colOff>
                    <xdr:row>36</xdr:row>
                    <xdr:rowOff>0</xdr:rowOff>
                  </from>
                  <to>
                    <xdr:col>5</xdr:col>
                    <xdr:colOff>285750</xdr:colOff>
                    <xdr:row>37</xdr:row>
                    <xdr:rowOff>0</xdr:rowOff>
                  </to>
                </anchor>
              </controlPr>
            </control>
          </mc:Choice>
        </mc:AlternateContent>
        <mc:AlternateContent xmlns:mc="http://schemas.openxmlformats.org/markup-compatibility/2006">
          <mc:Choice Requires="x14">
            <control shapeId="672936" r:id="rId10" name="Drop Down 168">
              <controlPr defaultSize="0" autoLine="0" autoPict="0">
                <anchor moveWithCells="1">
                  <from>
                    <xdr:col>4</xdr:col>
                    <xdr:colOff>9525</xdr:colOff>
                    <xdr:row>15</xdr:row>
                    <xdr:rowOff>9525</xdr:rowOff>
                  </from>
                  <to>
                    <xdr:col>5</xdr:col>
                    <xdr:colOff>95250</xdr:colOff>
                    <xdr:row>16</xdr:row>
                    <xdr:rowOff>9525</xdr:rowOff>
                  </to>
                </anchor>
              </controlPr>
            </control>
          </mc:Choice>
        </mc:AlternateContent>
        <mc:AlternateContent xmlns:mc="http://schemas.openxmlformats.org/markup-compatibility/2006">
          <mc:Choice Requires="x14">
            <control shapeId="673001" r:id="rId11" name="Drop Down 233">
              <controlPr locked="0" defaultSize="0" autoLine="0" autoPict="0">
                <anchor moveWithCells="1">
                  <from>
                    <xdr:col>6</xdr:col>
                    <xdr:colOff>438150</xdr:colOff>
                    <xdr:row>58</xdr:row>
                    <xdr:rowOff>66675</xdr:rowOff>
                  </from>
                  <to>
                    <xdr:col>7</xdr:col>
                    <xdr:colOff>714375</xdr:colOff>
                    <xdr:row>59</xdr:row>
                    <xdr:rowOff>133350</xdr:rowOff>
                  </to>
                </anchor>
              </controlPr>
            </control>
          </mc:Choice>
        </mc:AlternateContent>
        <mc:AlternateContent xmlns:mc="http://schemas.openxmlformats.org/markup-compatibility/2006">
          <mc:Choice Requires="x14">
            <control shapeId="673043" r:id="rId12" name="Drop Down 275">
              <controlPr defaultSize="0" autoLine="0" autoPict="0">
                <anchor moveWithCells="1">
                  <from>
                    <xdr:col>4</xdr:col>
                    <xdr:colOff>9525</xdr:colOff>
                    <xdr:row>39</xdr:row>
                    <xdr:rowOff>0</xdr:rowOff>
                  </from>
                  <to>
                    <xdr:col>5</xdr:col>
                    <xdr:colOff>266700</xdr:colOff>
                    <xdr:row>40</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8" id="{B9362A5E-9D2E-4CBE-B350-121A6D2D00F1}">
            <xm:f>OR(AND(MODE=1, Iout&gt;0.15), AND(MODE=2, Iout&gt;'Variable Mgmt'!$B$39/2000))</xm:f>
            <x14:dxf>
              <font>
                <color rgb="FFFF0000"/>
              </font>
            </x14:dxf>
          </x14:cfRule>
          <xm:sqref>E10</xm:sqref>
        </x14:conditionalFormatting>
        <x14:conditionalFormatting xmlns:xm="http://schemas.microsoft.com/office/excel/2006/main">
          <x14:cfRule type="cellIs" priority="79" stopIfTrue="1" operator="lessThan" id="{13B62A26-B42B-4693-AD91-285663CD50E5}">
            <xm:f>'Variable Mgmt'!$B$126</xm:f>
            <x14:dxf>
              <font>
                <color rgb="FFFF0000"/>
              </font>
            </x14:dxf>
          </x14:cfRule>
          <xm:sqref>E27</xm:sqref>
        </x14:conditionalFormatting>
        <x14:conditionalFormatting xmlns:xm="http://schemas.microsoft.com/office/excel/2006/main">
          <x14:cfRule type="expression" priority="82" id="{2E385B5D-C8C9-48C7-B4AE-E1A8F27EB6E6}">
            <xm:f>AND('Variable Mgmt'!$B$83&gt;'Variable Mgmt'!$B$39*1/1000, MODE=1)</xm:f>
            <x14:dxf>
              <font>
                <color rgb="FFFF0000"/>
              </font>
            </x14:dxf>
          </x14:cfRule>
          <xm:sqref>E18</xm:sqref>
        </x14:conditionalFormatting>
        <x14:conditionalFormatting xmlns:xm="http://schemas.microsoft.com/office/excel/2006/main">
          <x14:cfRule type="expression" priority="83" id="{EE277573-B7FD-4D2F-97C3-CC46EAD89E7B}">
            <xm:f>AND('Variable Mgmt'!$B$83&gt;'Variable Mgmt'!$B$39*1/1000, MODE=1)</xm:f>
            <x14:dxf>
              <font>
                <b/>
                <i val="0"/>
                <color rgb="FFFF0000"/>
              </font>
            </x14:dxf>
          </x14:cfRule>
          <xm:sqref>E20</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FF0000"/>
  </sheetPr>
  <dimension ref="A1:Q50"/>
  <sheetViews>
    <sheetView topLeftCell="A10" zoomScaleNormal="100" workbookViewId="0">
      <selection activeCell="D35" sqref="D35:F35"/>
    </sheetView>
  </sheetViews>
  <sheetFormatPr defaultRowHeight="12.75" x14ac:dyDescent="0.2"/>
  <cols>
    <col min="1" max="1" width="9.5703125" style="104" customWidth="1"/>
    <col min="2" max="2" width="11.42578125" style="104" customWidth="1"/>
    <col min="3" max="3" width="13.42578125" style="104" customWidth="1"/>
    <col min="4" max="4" width="20.140625" style="104" customWidth="1"/>
    <col min="5" max="5" width="17.28515625" style="104" customWidth="1"/>
    <col min="6" max="6" width="13.5703125" style="104" customWidth="1"/>
    <col min="7" max="7" width="16.140625" style="104" customWidth="1"/>
    <col min="8" max="8" width="18.140625" style="104" customWidth="1"/>
    <col min="9" max="9" width="10.85546875" style="104" customWidth="1"/>
    <col min="10" max="10" width="15.85546875" style="104" customWidth="1"/>
    <col min="11" max="11" width="11.85546875" style="526" customWidth="1"/>
    <col min="12" max="12" width="7.85546875" style="525" customWidth="1"/>
    <col min="13" max="13" width="8.140625" style="104" customWidth="1"/>
    <col min="14" max="254" width="9.140625" style="104"/>
    <col min="255" max="255" width="8.7109375" style="104" bestFit="1" customWidth="1"/>
    <col min="256" max="256" width="13.28515625" style="104" customWidth="1"/>
    <col min="257" max="257" width="16.140625" style="104" bestFit="1" customWidth="1"/>
    <col min="258" max="258" width="23.5703125" style="104" customWidth="1"/>
    <col min="259" max="259" width="17.28515625" style="104" customWidth="1"/>
    <col min="260" max="260" width="20.5703125" style="104" bestFit="1" customWidth="1"/>
    <col min="261" max="261" width="17.140625" style="104" customWidth="1"/>
    <col min="262" max="262" width="21.85546875" style="104" bestFit="1" customWidth="1"/>
    <col min="263" max="263" width="17.140625" style="104" bestFit="1" customWidth="1"/>
    <col min="264" max="264" width="18.140625" style="104" bestFit="1" customWidth="1"/>
    <col min="265" max="265" width="26.42578125" style="104" customWidth="1"/>
    <col min="266" max="510" width="9.140625" style="104"/>
    <col min="511" max="511" width="8.7109375" style="104" bestFit="1" customWidth="1"/>
    <col min="512" max="512" width="13.28515625" style="104" customWidth="1"/>
    <col min="513" max="513" width="16.140625" style="104" bestFit="1" customWidth="1"/>
    <col min="514" max="514" width="23.5703125" style="104" customWidth="1"/>
    <col min="515" max="515" width="17.28515625" style="104" customWidth="1"/>
    <col min="516" max="516" width="20.5703125" style="104" bestFit="1" customWidth="1"/>
    <col min="517" max="517" width="17.140625" style="104" customWidth="1"/>
    <col min="518" max="518" width="21.85546875" style="104" bestFit="1" customWidth="1"/>
    <col min="519" max="519" width="17.140625" style="104" bestFit="1" customWidth="1"/>
    <col min="520" max="520" width="18.140625" style="104" bestFit="1" customWidth="1"/>
    <col min="521" max="521" width="26.42578125" style="104" customWidth="1"/>
    <col min="522" max="766" width="9.140625" style="104"/>
    <col min="767" max="767" width="8.7109375" style="104" bestFit="1" customWidth="1"/>
    <col min="768" max="768" width="13.28515625" style="104" customWidth="1"/>
    <col min="769" max="769" width="16.140625" style="104" bestFit="1" customWidth="1"/>
    <col min="770" max="770" width="23.5703125" style="104" customWidth="1"/>
    <col min="771" max="771" width="17.28515625" style="104" customWidth="1"/>
    <col min="772" max="772" width="20.5703125" style="104" bestFit="1" customWidth="1"/>
    <col min="773" max="773" width="17.140625" style="104" customWidth="1"/>
    <col min="774" max="774" width="21.85546875" style="104" bestFit="1" customWidth="1"/>
    <col min="775" max="775" width="17.140625" style="104" bestFit="1" customWidth="1"/>
    <col min="776" max="776" width="18.140625" style="104" bestFit="1" customWidth="1"/>
    <col min="777" max="777" width="26.42578125" style="104" customWidth="1"/>
    <col min="778" max="1022" width="9.140625" style="104"/>
    <col min="1023" max="1023" width="8.7109375" style="104" bestFit="1" customWidth="1"/>
    <col min="1024" max="1024" width="13.28515625" style="104" customWidth="1"/>
    <col min="1025" max="1025" width="16.140625" style="104" bestFit="1" customWidth="1"/>
    <col min="1026" max="1026" width="23.5703125" style="104" customWidth="1"/>
    <col min="1027" max="1027" width="17.28515625" style="104" customWidth="1"/>
    <col min="1028" max="1028" width="20.5703125" style="104" bestFit="1" customWidth="1"/>
    <col min="1029" max="1029" width="17.140625" style="104" customWidth="1"/>
    <col min="1030" max="1030" width="21.85546875" style="104" bestFit="1" customWidth="1"/>
    <col min="1031" max="1031" width="17.140625" style="104" bestFit="1" customWidth="1"/>
    <col min="1032" max="1032" width="18.140625" style="104" bestFit="1" customWidth="1"/>
    <col min="1033" max="1033" width="26.42578125" style="104" customWidth="1"/>
    <col min="1034" max="1278" width="9.140625" style="104"/>
    <col min="1279" max="1279" width="8.7109375" style="104" bestFit="1" customWidth="1"/>
    <col min="1280" max="1280" width="13.28515625" style="104" customWidth="1"/>
    <col min="1281" max="1281" width="16.140625" style="104" bestFit="1" customWidth="1"/>
    <col min="1282" max="1282" width="23.5703125" style="104" customWidth="1"/>
    <col min="1283" max="1283" width="17.28515625" style="104" customWidth="1"/>
    <col min="1284" max="1284" width="20.5703125" style="104" bestFit="1" customWidth="1"/>
    <col min="1285" max="1285" width="17.140625" style="104" customWidth="1"/>
    <col min="1286" max="1286" width="21.85546875" style="104" bestFit="1" customWidth="1"/>
    <col min="1287" max="1287" width="17.140625" style="104" bestFit="1" customWidth="1"/>
    <col min="1288" max="1288" width="18.140625" style="104" bestFit="1" customWidth="1"/>
    <col min="1289" max="1289" width="26.42578125" style="104" customWidth="1"/>
    <col min="1290" max="1534" width="9.140625" style="104"/>
    <col min="1535" max="1535" width="8.7109375" style="104" bestFit="1" customWidth="1"/>
    <col min="1536" max="1536" width="13.28515625" style="104" customWidth="1"/>
    <col min="1537" max="1537" width="16.140625" style="104" bestFit="1" customWidth="1"/>
    <col min="1538" max="1538" width="23.5703125" style="104" customWidth="1"/>
    <col min="1539" max="1539" width="17.28515625" style="104" customWidth="1"/>
    <col min="1540" max="1540" width="20.5703125" style="104" bestFit="1" customWidth="1"/>
    <col min="1541" max="1541" width="17.140625" style="104" customWidth="1"/>
    <col min="1542" max="1542" width="21.85546875" style="104" bestFit="1" customWidth="1"/>
    <col min="1543" max="1543" width="17.140625" style="104" bestFit="1" customWidth="1"/>
    <col min="1544" max="1544" width="18.140625" style="104" bestFit="1" customWidth="1"/>
    <col min="1545" max="1545" width="26.42578125" style="104" customWidth="1"/>
    <col min="1546" max="1790" width="9.140625" style="104"/>
    <col min="1791" max="1791" width="8.7109375" style="104" bestFit="1" customWidth="1"/>
    <col min="1792" max="1792" width="13.28515625" style="104" customWidth="1"/>
    <col min="1793" max="1793" width="16.140625" style="104" bestFit="1" customWidth="1"/>
    <col min="1794" max="1794" width="23.5703125" style="104" customWidth="1"/>
    <col min="1795" max="1795" width="17.28515625" style="104" customWidth="1"/>
    <col min="1796" max="1796" width="20.5703125" style="104" bestFit="1" customWidth="1"/>
    <col min="1797" max="1797" width="17.140625" style="104" customWidth="1"/>
    <col min="1798" max="1798" width="21.85546875" style="104" bestFit="1" customWidth="1"/>
    <col min="1799" max="1799" width="17.140625" style="104" bestFit="1" customWidth="1"/>
    <col min="1800" max="1800" width="18.140625" style="104" bestFit="1" customWidth="1"/>
    <col min="1801" max="1801" width="26.42578125" style="104" customWidth="1"/>
    <col min="1802" max="2046" width="9.140625" style="104"/>
    <col min="2047" max="2047" width="8.7109375" style="104" bestFit="1" customWidth="1"/>
    <col min="2048" max="2048" width="13.28515625" style="104" customWidth="1"/>
    <col min="2049" max="2049" width="16.140625" style="104" bestFit="1" customWidth="1"/>
    <col min="2050" max="2050" width="23.5703125" style="104" customWidth="1"/>
    <col min="2051" max="2051" width="17.28515625" style="104" customWidth="1"/>
    <col min="2052" max="2052" width="20.5703125" style="104" bestFit="1" customWidth="1"/>
    <col min="2053" max="2053" width="17.140625" style="104" customWidth="1"/>
    <col min="2054" max="2054" width="21.85546875" style="104" bestFit="1" customWidth="1"/>
    <col min="2055" max="2055" width="17.140625" style="104" bestFit="1" customWidth="1"/>
    <col min="2056" max="2056" width="18.140625" style="104" bestFit="1" customWidth="1"/>
    <col min="2057" max="2057" width="26.42578125" style="104" customWidth="1"/>
    <col min="2058" max="2302" width="9.140625" style="104"/>
    <col min="2303" max="2303" width="8.7109375" style="104" bestFit="1" customWidth="1"/>
    <col min="2304" max="2304" width="13.28515625" style="104" customWidth="1"/>
    <col min="2305" max="2305" width="16.140625" style="104" bestFit="1" customWidth="1"/>
    <col min="2306" max="2306" width="23.5703125" style="104" customWidth="1"/>
    <col min="2307" max="2307" width="17.28515625" style="104" customWidth="1"/>
    <col min="2308" max="2308" width="20.5703125" style="104" bestFit="1" customWidth="1"/>
    <col min="2309" max="2309" width="17.140625" style="104" customWidth="1"/>
    <col min="2310" max="2310" width="21.85546875" style="104" bestFit="1" customWidth="1"/>
    <col min="2311" max="2311" width="17.140625" style="104" bestFit="1" customWidth="1"/>
    <col min="2312" max="2312" width="18.140625" style="104" bestFit="1" customWidth="1"/>
    <col min="2313" max="2313" width="26.42578125" style="104" customWidth="1"/>
    <col min="2314" max="2558" width="9.140625" style="104"/>
    <col min="2559" max="2559" width="8.7109375" style="104" bestFit="1" customWidth="1"/>
    <col min="2560" max="2560" width="13.28515625" style="104" customWidth="1"/>
    <col min="2561" max="2561" width="16.140625" style="104" bestFit="1" customWidth="1"/>
    <col min="2562" max="2562" width="23.5703125" style="104" customWidth="1"/>
    <col min="2563" max="2563" width="17.28515625" style="104" customWidth="1"/>
    <col min="2564" max="2564" width="20.5703125" style="104" bestFit="1" customWidth="1"/>
    <col min="2565" max="2565" width="17.140625" style="104" customWidth="1"/>
    <col min="2566" max="2566" width="21.85546875" style="104" bestFit="1" customWidth="1"/>
    <col min="2567" max="2567" width="17.140625" style="104" bestFit="1" customWidth="1"/>
    <col min="2568" max="2568" width="18.140625" style="104" bestFit="1" customWidth="1"/>
    <col min="2569" max="2569" width="26.42578125" style="104" customWidth="1"/>
    <col min="2570" max="2814" width="9.140625" style="104"/>
    <col min="2815" max="2815" width="8.7109375" style="104" bestFit="1" customWidth="1"/>
    <col min="2816" max="2816" width="13.28515625" style="104" customWidth="1"/>
    <col min="2817" max="2817" width="16.140625" style="104" bestFit="1" customWidth="1"/>
    <col min="2818" max="2818" width="23.5703125" style="104" customWidth="1"/>
    <col min="2819" max="2819" width="17.28515625" style="104" customWidth="1"/>
    <col min="2820" max="2820" width="20.5703125" style="104" bestFit="1" customWidth="1"/>
    <col min="2821" max="2821" width="17.140625" style="104" customWidth="1"/>
    <col min="2822" max="2822" width="21.85546875" style="104" bestFit="1" customWidth="1"/>
    <col min="2823" max="2823" width="17.140625" style="104" bestFit="1" customWidth="1"/>
    <col min="2824" max="2824" width="18.140625" style="104" bestFit="1" customWidth="1"/>
    <col min="2825" max="2825" width="26.42578125" style="104" customWidth="1"/>
    <col min="2826" max="3070" width="9.140625" style="104"/>
    <col min="3071" max="3071" width="8.7109375" style="104" bestFit="1" customWidth="1"/>
    <col min="3072" max="3072" width="13.28515625" style="104" customWidth="1"/>
    <col min="3073" max="3073" width="16.140625" style="104" bestFit="1" customWidth="1"/>
    <col min="3074" max="3074" width="23.5703125" style="104" customWidth="1"/>
    <col min="3075" max="3075" width="17.28515625" style="104" customWidth="1"/>
    <col min="3076" max="3076" width="20.5703125" style="104" bestFit="1" customWidth="1"/>
    <col min="3077" max="3077" width="17.140625" style="104" customWidth="1"/>
    <col min="3078" max="3078" width="21.85546875" style="104" bestFit="1" customWidth="1"/>
    <col min="3079" max="3079" width="17.140625" style="104" bestFit="1" customWidth="1"/>
    <col min="3080" max="3080" width="18.140625" style="104" bestFit="1" customWidth="1"/>
    <col min="3081" max="3081" width="26.42578125" style="104" customWidth="1"/>
    <col min="3082" max="3326" width="9.140625" style="104"/>
    <col min="3327" max="3327" width="8.7109375" style="104" bestFit="1" customWidth="1"/>
    <col min="3328" max="3328" width="13.28515625" style="104" customWidth="1"/>
    <col min="3329" max="3329" width="16.140625" style="104" bestFit="1" customWidth="1"/>
    <col min="3330" max="3330" width="23.5703125" style="104" customWidth="1"/>
    <col min="3331" max="3331" width="17.28515625" style="104" customWidth="1"/>
    <col min="3332" max="3332" width="20.5703125" style="104" bestFit="1" customWidth="1"/>
    <col min="3333" max="3333" width="17.140625" style="104" customWidth="1"/>
    <col min="3334" max="3334" width="21.85546875" style="104" bestFit="1" customWidth="1"/>
    <col min="3335" max="3335" width="17.140625" style="104" bestFit="1" customWidth="1"/>
    <col min="3336" max="3336" width="18.140625" style="104" bestFit="1" customWidth="1"/>
    <col min="3337" max="3337" width="26.42578125" style="104" customWidth="1"/>
    <col min="3338" max="3582" width="9.140625" style="104"/>
    <col min="3583" max="3583" width="8.7109375" style="104" bestFit="1" customWidth="1"/>
    <col min="3584" max="3584" width="13.28515625" style="104" customWidth="1"/>
    <col min="3585" max="3585" width="16.140625" style="104" bestFit="1" customWidth="1"/>
    <col min="3586" max="3586" width="23.5703125" style="104" customWidth="1"/>
    <col min="3587" max="3587" width="17.28515625" style="104" customWidth="1"/>
    <col min="3588" max="3588" width="20.5703125" style="104" bestFit="1" customWidth="1"/>
    <col min="3589" max="3589" width="17.140625" style="104" customWidth="1"/>
    <col min="3590" max="3590" width="21.85546875" style="104" bestFit="1" customWidth="1"/>
    <col min="3591" max="3591" width="17.140625" style="104" bestFit="1" customWidth="1"/>
    <col min="3592" max="3592" width="18.140625" style="104" bestFit="1" customWidth="1"/>
    <col min="3593" max="3593" width="26.42578125" style="104" customWidth="1"/>
    <col min="3594" max="3838" width="9.140625" style="104"/>
    <col min="3839" max="3839" width="8.7109375" style="104" bestFit="1" customWidth="1"/>
    <col min="3840" max="3840" width="13.28515625" style="104" customWidth="1"/>
    <col min="3841" max="3841" width="16.140625" style="104" bestFit="1" customWidth="1"/>
    <col min="3842" max="3842" width="23.5703125" style="104" customWidth="1"/>
    <col min="3843" max="3843" width="17.28515625" style="104" customWidth="1"/>
    <col min="3844" max="3844" width="20.5703125" style="104" bestFit="1" customWidth="1"/>
    <col min="3845" max="3845" width="17.140625" style="104" customWidth="1"/>
    <col min="3846" max="3846" width="21.85546875" style="104" bestFit="1" customWidth="1"/>
    <col min="3847" max="3847" width="17.140625" style="104" bestFit="1" customWidth="1"/>
    <col min="3848" max="3848" width="18.140625" style="104" bestFit="1" customWidth="1"/>
    <col min="3849" max="3849" width="26.42578125" style="104" customWidth="1"/>
    <col min="3850" max="4094" width="9.140625" style="104"/>
    <col min="4095" max="4095" width="8.7109375" style="104" bestFit="1" customWidth="1"/>
    <col min="4096" max="4096" width="13.28515625" style="104" customWidth="1"/>
    <col min="4097" max="4097" width="16.140625" style="104" bestFit="1" customWidth="1"/>
    <col min="4098" max="4098" width="23.5703125" style="104" customWidth="1"/>
    <col min="4099" max="4099" width="17.28515625" style="104" customWidth="1"/>
    <col min="4100" max="4100" width="20.5703125" style="104" bestFit="1" customWidth="1"/>
    <col min="4101" max="4101" width="17.140625" style="104" customWidth="1"/>
    <col min="4102" max="4102" width="21.85546875" style="104" bestFit="1" customWidth="1"/>
    <col min="4103" max="4103" width="17.140625" style="104" bestFit="1" customWidth="1"/>
    <col min="4104" max="4104" width="18.140625" style="104" bestFit="1" customWidth="1"/>
    <col min="4105" max="4105" width="26.42578125" style="104" customWidth="1"/>
    <col min="4106" max="4350" width="9.140625" style="104"/>
    <col min="4351" max="4351" width="8.7109375" style="104" bestFit="1" customWidth="1"/>
    <col min="4352" max="4352" width="13.28515625" style="104" customWidth="1"/>
    <col min="4353" max="4353" width="16.140625" style="104" bestFit="1" customWidth="1"/>
    <col min="4354" max="4354" width="23.5703125" style="104" customWidth="1"/>
    <col min="4355" max="4355" width="17.28515625" style="104" customWidth="1"/>
    <col min="4356" max="4356" width="20.5703125" style="104" bestFit="1" customWidth="1"/>
    <col min="4357" max="4357" width="17.140625" style="104" customWidth="1"/>
    <col min="4358" max="4358" width="21.85546875" style="104" bestFit="1" customWidth="1"/>
    <col min="4359" max="4359" width="17.140625" style="104" bestFit="1" customWidth="1"/>
    <col min="4360" max="4360" width="18.140625" style="104" bestFit="1" customWidth="1"/>
    <col min="4361" max="4361" width="26.42578125" style="104" customWidth="1"/>
    <col min="4362" max="4606" width="9.140625" style="104"/>
    <col min="4607" max="4607" width="8.7109375" style="104" bestFit="1" customWidth="1"/>
    <col min="4608" max="4608" width="13.28515625" style="104" customWidth="1"/>
    <col min="4609" max="4609" width="16.140625" style="104" bestFit="1" customWidth="1"/>
    <col min="4610" max="4610" width="23.5703125" style="104" customWidth="1"/>
    <col min="4611" max="4611" width="17.28515625" style="104" customWidth="1"/>
    <col min="4612" max="4612" width="20.5703125" style="104" bestFit="1" customWidth="1"/>
    <col min="4613" max="4613" width="17.140625" style="104" customWidth="1"/>
    <col min="4614" max="4614" width="21.85546875" style="104" bestFit="1" customWidth="1"/>
    <col min="4615" max="4615" width="17.140625" style="104" bestFit="1" customWidth="1"/>
    <col min="4616" max="4616" width="18.140625" style="104" bestFit="1" customWidth="1"/>
    <col min="4617" max="4617" width="26.42578125" style="104" customWidth="1"/>
    <col min="4618" max="4862" width="9.140625" style="104"/>
    <col min="4863" max="4863" width="8.7109375" style="104" bestFit="1" customWidth="1"/>
    <col min="4864" max="4864" width="13.28515625" style="104" customWidth="1"/>
    <col min="4865" max="4865" width="16.140625" style="104" bestFit="1" customWidth="1"/>
    <col min="4866" max="4866" width="23.5703125" style="104" customWidth="1"/>
    <col min="4867" max="4867" width="17.28515625" style="104" customWidth="1"/>
    <col min="4868" max="4868" width="20.5703125" style="104" bestFit="1" customWidth="1"/>
    <col min="4869" max="4869" width="17.140625" style="104" customWidth="1"/>
    <col min="4870" max="4870" width="21.85546875" style="104" bestFit="1" customWidth="1"/>
    <col min="4871" max="4871" width="17.140625" style="104" bestFit="1" customWidth="1"/>
    <col min="4872" max="4872" width="18.140625" style="104" bestFit="1" customWidth="1"/>
    <col min="4873" max="4873" width="26.42578125" style="104" customWidth="1"/>
    <col min="4874" max="5118" width="9.140625" style="104"/>
    <col min="5119" max="5119" width="8.7109375" style="104" bestFit="1" customWidth="1"/>
    <col min="5120" max="5120" width="13.28515625" style="104" customWidth="1"/>
    <col min="5121" max="5121" width="16.140625" style="104" bestFit="1" customWidth="1"/>
    <col min="5122" max="5122" width="23.5703125" style="104" customWidth="1"/>
    <col min="5123" max="5123" width="17.28515625" style="104" customWidth="1"/>
    <col min="5124" max="5124" width="20.5703125" style="104" bestFit="1" customWidth="1"/>
    <col min="5125" max="5125" width="17.140625" style="104" customWidth="1"/>
    <col min="5126" max="5126" width="21.85546875" style="104" bestFit="1" customWidth="1"/>
    <col min="5127" max="5127" width="17.140625" style="104" bestFit="1" customWidth="1"/>
    <col min="5128" max="5128" width="18.140625" style="104" bestFit="1" customWidth="1"/>
    <col min="5129" max="5129" width="26.42578125" style="104" customWidth="1"/>
    <col min="5130" max="5374" width="9.140625" style="104"/>
    <col min="5375" max="5375" width="8.7109375" style="104" bestFit="1" customWidth="1"/>
    <col min="5376" max="5376" width="13.28515625" style="104" customWidth="1"/>
    <col min="5377" max="5377" width="16.140625" style="104" bestFit="1" customWidth="1"/>
    <col min="5378" max="5378" width="23.5703125" style="104" customWidth="1"/>
    <col min="5379" max="5379" width="17.28515625" style="104" customWidth="1"/>
    <col min="5380" max="5380" width="20.5703125" style="104" bestFit="1" customWidth="1"/>
    <col min="5381" max="5381" width="17.140625" style="104" customWidth="1"/>
    <col min="5382" max="5382" width="21.85546875" style="104" bestFit="1" customWidth="1"/>
    <col min="5383" max="5383" width="17.140625" style="104" bestFit="1" customWidth="1"/>
    <col min="5384" max="5384" width="18.140625" style="104" bestFit="1" customWidth="1"/>
    <col min="5385" max="5385" width="26.42578125" style="104" customWidth="1"/>
    <col min="5386" max="5630" width="9.140625" style="104"/>
    <col min="5631" max="5631" width="8.7109375" style="104" bestFit="1" customWidth="1"/>
    <col min="5632" max="5632" width="13.28515625" style="104" customWidth="1"/>
    <col min="5633" max="5633" width="16.140625" style="104" bestFit="1" customWidth="1"/>
    <col min="5634" max="5634" width="23.5703125" style="104" customWidth="1"/>
    <col min="5635" max="5635" width="17.28515625" style="104" customWidth="1"/>
    <col min="5636" max="5636" width="20.5703125" style="104" bestFit="1" customWidth="1"/>
    <col min="5637" max="5637" width="17.140625" style="104" customWidth="1"/>
    <col min="5638" max="5638" width="21.85546875" style="104" bestFit="1" customWidth="1"/>
    <col min="5639" max="5639" width="17.140625" style="104" bestFit="1" customWidth="1"/>
    <col min="5640" max="5640" width="18.140625" style="104" bestFit="1" customWidth="1"/>
    <col min="5641" max="5641" width="26.42578125" style="104" customWidth="1"/>
    <col min="5642" max="5886" width="9.140625" style="104"/>
    <col min="5887" max="5887" width="8.7109375" style="104" bestFit="1" customWidth="1"/>
    <col min="5888" max="5888" width="13.28515625" style="104" customWidth="1"/>
    <col min="5889" max="5889" width="16.140625" style="104" bestFit="1" customWidth="1"/>
    <col min="5890" max="5890" width="23.5703125" style="104" customWidth="1"/>
    <col min="5891" max="5891" width="17.28515625" style="104" customWidth="1"/>
    <col min="5892" max="5892" width="20.5703125" style="104" bestFit="1" customWidth="1"/>
    <col min="5893" max="5893" width="17.140625" style="104" customWidth="1"/>
    <col min="5894" max="5894" width="21.85546875" style="104" bestFit="1" customWidth="1"/>
    <col min="5895" max="5895" width="17.140625" style="104" bestFit="1" customWidth="1"/>
    <col min="5896" max="5896" width="18.140625" style="104" bestFit="1" customWidth="1"/>
    <col min="5897" max="5897" width="26.42578125" style="104" customWidth="1"/>
    <col min="5898" max="6142" width="9.140625" style="104"/>
    <col min="6143" max="6143" width="8.7109375" style="104" bestFit="1" customWidth="1"/>
    <col min="6144" max="6144" width="13.28515625" style="104" customWidth="1"/>
    <col min="6145" max="6145" width="16.140625" style="104" bestFit="1" customWidth="1"/>
    <col min="6146" max="6146" width="23.5703125" style="104" customWidth="1"/>
    <col min="6147" max="6147" width="17.28515625" style="104" customWidth="1"/>
    <col min="6148" max="6148" width="20.5703125" style="104" bestFit="1" customWidth="1"/>
    <col min="6149" max="6149" width="17.140625" style="104" customWidth="1"/>
    <col min="6150" max="6150" width="21.85546875" style="104" bestFit="1" customWidth="1"/>
    <col min="6151" max="6151" width="17.140625" style="104" bestFit="1" customWidth="1"/>
    <col min="6152" max="6152" width="18.140625" style="104" bestFit="1" customWidth="1"/>
    <col min="6153" max="6153" width="26.42578125" style="104" customWidth="1"/>
    <col min="6154" max="6398" width="9.140625" style="104"/>
    <col min="6399" max="6399" width="8.7109375" style="104" bestFit="1" customWidth="1"/>
    <col min="6400" max="6400" width="13.28515625" style="104" customWidth="1"/>
    <col min="6401" max="6401" width="16.140625" style="104" bestFit="1" customWidth="1"/>
    <col min="6402" max="6402" width="23.5703125" style="104" customWidth="1"/>
    <col min="6403" max="6403" width="17.28515625" style="104" customWidth="1"/>
    <col min="6404" max="6404" width="20.5703125" style="104" bestFit="1" customWidth="1"/>
    <col min="6405" max="6405" width="17.140625" style="104" customWidth="1"/>
    <col min="6406" max="6406" width="21.85546875" style="104" bestFit="1" customWidth="1"/>
    <col min="6407" max="6407" width="17.140625" style="104" bestFit="1" customWidth="1"/>
    <col min="6408" max="6408" width="18.140625" style="104" bestFit="1" customWidth="1"/>
    <col min="6409" max="6409" width="26.42578125" style="104" customWidth="1"/>
    <col min="6410" max="6654" width="9.140625" style="104"/>
    <col min="6655" max="6655" width="8.7109375" style="104" bestFit="1" customWidth="1"/>
    <col min="6656" max="6656" width="13.28515625" style="104" customWidth="1"/>
    <col min="6657" max="6657" width="16.140625" style="104" bestFit="1" customWidth="1"/>
    <col min="6658" max="6658" width="23.5703125" style="104" customWidth="1"/>
    <col min="6659" max="6659" width="17.28515625" style="104" customWidth="1"/>
    <col min="6660" max="6660" width="20.5703125" style="104" bestFit="1" customWidth="1"/>
    <col min="6661" max="6661" width="17.140625" style="104" customWidth="1"/>
    <col min="6662" max="6662" width="21.85546875" style="104" bestFit="1" customWidth="1"/>
    <col min="6663" max="6663" width="17.140625" style="104" bestFit="1" customWidth="1"/>
    <col min="6664" max="6664" width="18.140625" style="104" bestFit="1" customWidth="1"/>
    <col min="6665" max="6665" width="26.42578125" style="104" customWidth="1"/>
    <col min="6666" max="6910" width="9.140625" style="104"/>
    <col min="6911" max="6911" width="8.7109375" style="104" bestFit="1" customWidth="1"/>
    <col min="6912" max="6912" width="13.28515625" style="104" customWidth="1"/>
    <col min="6913" max="6913" width="16.140625" style="104" bestFit="1" customWidth="1"/>
    <col min="6914" max="6914" width="23.5703125" style="104" customWidth="1"/>
    <col min="6915" max="6915" width="17.28515625" style="104" customWidth="1"/>
    <col min="6916" max="6916" width="20.5703125" style="104" bestFit="1" customWidth="1"/>
    <col min="6917" max="6917" width="17.140625" style="104" customWidth="1"/>
    <col min="6918" max="6918" width="21.85546875" style="104" bestFit="1" customWidth="1"/>
    <col min="6919" max="6919" width="17.140625" style="104" bestFit="1" customWidth="1"/>
    <col min="6920" max="6920" width="18.140625" style="104" bestFit="1" customWidth="1"/>
    <col min="6921" max="6921" width="26.42578125" style="104" customWidth="1"/>
    <col min="6922" max="7166" width="9.140625" style="104"/>
    <col min="7167" max="7167" width="8.7109375" style="104" bestFit="1" customWidth="1"/>
    <col min="7168" max="7168" width="13.28515625" style="104" customWidth="1"/>
    <col min="7169" max="7169" width="16.140625" style="104" bestFit="1" customWidth="1"/>
    <col min="7170" max="7170" width="23.5703125" style="104" customWidth="1"/>
    <col min="7171" max="7171" width="17.28515625" style="104" customWidth="1"/>
    <col min="7172" max="7172" width="20.5703125" style="104" bestFit="1" customWidth="1"/>
    <col min="7173" max="7173" width="17.140625" style="104" customWidth="1"/>
    <col min="7174" max="7174" width="21.85546875" style="104" bestFit="1" customWidth="1"/>
    <col min="7175" max="7175" width="17.140625" style="104" bestFit="1" customWidth="1"/>
    <col min="7176" max="7176" width="18.140625" style="104" bestFit="1" customWidth="1"/>
    <col min="7177" max="7177" width="26.42578125" style="104" customWidth="1"/>
    <col min="7178" max="7422" width="9.140625" style="104"/>
    <col min="7423" max="7423" width="8.7109375" style="104" bestFit="1" customWidth="1"/>
    <col min="7424" max="7424" width="13.28515625" style="104" customWidth="1"/>
    <col min="7425" max="7425" width="16.140625" style="104" bestFit="1" customWidth="1"/>
    <col min="7426" max="7426" width="23.5703125" style="104" customWidth="1"/>
    <col min="7427" max="7427" width="17.28515625" style="104" customWidth="1"/>
    <col min="7428" max="7428" width="20.5703125" style="104" bestFit="1" customWidth="1"/>
    <col min="7429" max="7429" width="17.140625" style="104" customWidth="1"/>
    <col min="7430" max="7430" width="21.85546875" style="104" bestFit="1" customWidth="1"/>
    <col min="7431" max="7431" width="17.140625" style="104" bestFit="1" customWidth="1"/>
    <col min="7432" max="7432" width="18.140625" style="104" bestFit="1" customWidth="1"/>
    <col min="7433" max="7433" width="26.42578125" style="104" customWidth="1"/>
    <col min="7434" max="7678" width="9.140625" style="104"/>
    <col min="7679" max="7679" width="8.7109375" style="104" bestFit="1" customWidth="1"/>
    <col min="7680" max="7680" width="13.28515625" style="104" customWidth="1"/>
    <col min="7681" max="7681" width="16.140625" style="104" bestFit="1" customWidth="1"/>
    <col min="7682" max="7682" width="23.5703125" style="104" customWidth="1"/>
    <col min="7683" max="7683" width="17.28515625" style="104" customWidth="1"/>
    <col min="7684" max="7684" width="20.5703125" style="104" bestFit="1" customWidth="1"/>
    <col min="7685" max="7685" width="17.140625" style="104" customWidth="1"/>
    <col min="7686" max="7686" width="21.85546875" style="104" bestFit="1" customWidth="1"/>
    <col min="7687" max="7687" width="17.140625" style="104" bestFit="1" customWidth="1"/>
    <col min="7688" max="7688" width="18.140625" style="104" bestFit="1" customWidth="1"/>
    <col min="7689" max="7689" width="26.42578125" style="104" customWidth="1"/>
    <col min="7690" max="7934" width="9.140625" style="104"/>
    <col min="7935" max="7935" width="8.7109375" style="104" bestFit="1" customWidth="1"/>
    <col min="7936" max="7936" width="13.28515625" style="104" customWidth="1"/>
    <col min="7937" max="7937" width="16.140625" style="104" bestFit="1" customWidth="1"/>
    <col min="7938" max="7938" width="23.5703125" style="104" customWidth="1"/>
    <col min="7939" max="7939" width="17.28515625" style="104" customWidth="1"/>
    <col min="7940" max="7940" width="20.5703125" style="104" bestFit="1" customWidth="1"/>
    <col min="7941" max="7941" width="17.140625" style="104" customWidth="1"/>
    <col min="7942" max="7942" width="21.85546875" style="104" bestFit="1" customWidth="1"/>
    <col min="7943" max="7943" width="17.140625" style="104" bestFit="1" customWidth="1"/>
    <col min="7944" max="7944" width="18.140625" style="104" bestFit="1" customWidth="1"/>
    <col min="7945" max="7945" width="26.42578125" style="104" customWidth="1"/>
    <col min="7946" max="8190" width="9.140625" style="104"/>
    <col min="8191" max="8191" width="8.7109375" style="104" bestFit="1" customWidth="1"/>
    <col min="8192" max="8192" width="13.28515625" style="104" customWidth="1"/>
    <col min="8193" max="8193" width="16.140625" style="104" bestFit="1" customWidth="1"/>
    <col min="8194" max="8194" width="23.5703125" style="104" customWidth="1"/>
    <col min="8195" max="8195" width="17.28515625" style="104" customWidth="1"/>
    <col min="8196" max="8196" width="20.5703125" style="104" bestFit="1" customWidth="1"/>
    <col min="8197" max="8197" width="17.140625" style="104" customWidth="1"/>
    <col min="8198" max="8198" width="21.85546875" style="104" bestFit="1" customWidth="1"/>
    <col min="8199" max="8199" width="17.140625" style="104" bestFit="1" customWidth="1"/>
    <col min="8200" max="8200" width="18.140625" style="104" bestFit="1" customWidth="1"/>
    <col min="8201" max="8201" width="26.42578125" style="104" customWidth="1"/>
    <col min="8202" max="8446" width="9.140625" style="104"/>
    <col min="8447" max="8447" width="8.7109375" style="104" bestFit="1" customWidth="1"/>
    <col min="8448" max="8448" width="13.28515625" style="104" customWidth="1"/>
    <col min="8449" max="8449" width="16.140625" style="104" bestFit="1" customWidth="1"/>
    <col min="8450" max="8450" width="23.5703125" style="104" customWidth="1"/>
    <col min="8451" max="8451" width="17.28515625" style="104" customWidth="1"/>
    <col min="8452" max="8452" width="20.5703125" style="104" bestFit="1" customWidth="1"/>
    <col min="8453" max="8453" width="17.140625" style="104" customWidth="1"/>
    <col min="8454" max="8454" width="21.85546875" style="104" bestFit="1" customWidth="1"/>
    <col min="8455" max="8455" width="17.140625" style="104" bestFit="1" customWidth="1"/>
    <col min="8456" max="8456" width="18.140625" style="104" bestFit="1" customWidth="1"/>
    <col min="8457" max="8457" width="26.42578125" style="104" customWidth="1"/>
    <col min="8458" max="8702" width="9.140625" style="104"/>
    <col min="8703" max="8703" width="8.7109375" style="104" bestFit="1" customWidth="1"/>
    <col min="8704" max="8704" width="13.28515625" style="104" customWidth="1"/>
    <col min="8705" max="8705" width="16.140625" style="104" bestFit="1" customWidth="1"/>
    <col min="8706" max="8706" width="23.5703125" style="104" customWidth="1"/>
    <col min="8707" max="8707" width="17.28515625" style="104" customWidth="1"/>
    <col min="8708" max="8708" width="20.5703125" style="104" bestFit="1" customWidth="1"/>
    <col min="8709" max="8709" width="17.140625" style="104" customWidth="1"/>
    <col min="8710" max="8710" width="21.85546875" style="104" bestFit="1" customWidth="1"/>
    <col min="8711" max="8711" width="17.140625" style="104" bestFit="1" customWidth="1"/>
    <col min="8712" max="8712" width="18.140625" style="104" bestFit="1" customWidth="1"/>
    <col min="8713" max="8713" width="26.42578125" style="104" customWidth="1"/>
    <col min="8714" max="8958" width="9.140625" style="104"/>
    <col min="8959" max="8959" width="8.7109375" style="104" bestFit="1" customWidth="1"/>
    <col min="8960" max="8960" width="13.28515625" style="104" customWidth="1"/>
    <col min="8961" max="8961" width="16.140625" style="104" bestFit="1" customWidth="1"/>
    <col min="8962" max="8962" width="23.5703125" style="104" customWidth="1"/>
    <col min="8963" max="8963" width="17.28515625" style="104" customWidth="1"/>
    <col min="8964" max="8964" width="20.5703125" style="104" bestFit="1" customWidth="1"/>
    <col min="8965" max="8965" width="17.140625" style="104" customWidth="1"/>
    <col min="8966" max="8966" width="21.85546875" style="104" bestFit="1" customWidth="1"/>
    <col min="8967" max="8967" width="17.140625" style="104" bestFit="1" customWidth="1"/>
    <col min="8968" max="8968" width="18.140625" style="104" bestFit="1" customWidth="1"/>
    <col min="8969" max="8969" width="26.42578125" style="104" customWidth="1"/>
    <col min="8970" max="9214" width="9.140625" style="104"/>
    <col min="9215" max="9215" width="8.7109375" style="104" bestFit="1" customWidth="1"/>
    <col min="9216" max="9216" width="13.28515625" style="104" customWidth="1"/>
    <col min="9217" max="9217" width="16.140625" style="104" bestFit="1" customWidth="1"/>
    <col min="9218" max="9218" width="23.5703125" style="104" customWidth="1"/>
    <col min="9219" max="9219" width="17.28515625" style="104" customWidth="1"/>
    <col min="9220" max="9220" width="20.5703125" style="104" bestFit="1" customWidth="1"/>
    <col min="9221" max="9221" width="17.140625" style="104" customWidth="1"/>
    <col min="9222" max="9222" width="21.85546875" style="104" bestFit="1" customWidth="1"/>
    <col min="9223" max="9223" width="17.140625" style="104" bestFit="1" customWidth="1"/>
    <col min="9224" max="9224" width="18.140625" style="104" bestFit="1" customWidth="1"/>
    <col min="9225" max="9225" width="26.42578125" style="104" customWidth="1"/>
    <col min="9226" max="9470" width="9.140625" style="104"/>
    <col min="9471" max="9471" width="8.7109375" style="104" bestFit="1" customWidth="1"/>
    <col min="9472" max="9472" width="13.28515625" style="104" customWidth="1"/>
    <col min="9473" max="9473" width="16.140625" style="104" bestFit="1" customWidth="1"/>
    <col min="9474" max="9474" width="23.5703125" style="104" customWidth="1"/>
    <col min="9475" max="9475" width="17.28515625" style="104" customWidth="1"/>
    <col min="9476" max="9476" width="20.5703125" style="104" bestFit="1" customWidth="1"/>
    <col min="9477" max="9477" width="17.140625" style="104" customWidth="1"/>
    <col min="9478" max="9478" width="21.85546875" style="104" bestFit="1" customWidth="1"/>
    <col min="9479" max="9479" width="17.140625" style="104" bestFit="1" customWidth="1"/>
    <col min="9480" max="9480" width="18.140625" style="104" bestFit="1" customWidth="1"/>
    <col min="9481" max="9481" width="26.42578125" style="104" customWidth="1"/>
    <col min="9482" max="9726" width="9.140625" style="104"/>
    <col min="9727" max="9727" width="8.7109375" style="104" bestFit="1" customWidth="1"/>
    <col min="9728" max="9728" width="13.28515625" style="104" customWidth="1"/>
    <col min="9729" max="9729" width="16.140625" style="104" bestFit="1" customWidth="1"/>
    <col min="9730" max="9730" width="23.5703125" style="104" customWidth="1"/>
    <col min="9731" max="9731" width="17.28515625" style="104" customWidth="1"/>
    <col min="9732" max="9732" width="20.5703125" style="104" bestFit="1" customWidth="1"/>
    <col min="9733" max="9733" width="17.140625" style="104" customWidth="1"/>
    <col min="9734" max="9734" width="21.85546875" style="104" bestFit="1" customWidth="1"/>
    <col min="9735" max="9735" width="17.140625" style="104" bestFit="1" customWidth="1"/>
    <col min="9736" max="9736" width="18.140625" style="104" bestFit="1" customWidth="1"/>
    <col min="9737" max="9737" width="26.42578125" style="104" customWidth="1"/>
    <col min="9738" max="9982" width="9.140625" style="104"/>
    <col min="9983" max="9983" width="8.7109375" style="104" bestFit="1" customWidth="1"/>
    <col min="9984" max="9984" width="13.28515625" style="104" customWidth="1"/>
    <col min="9985" max="9985" width="16.140625" style="104" bestFit="1" customWidth="1"/>
    <col min="9986" max="9986" width="23.5703125" style="104" customWidth="1"/>
    <col min="9987" max="9987" width="17.28515625" style="104" customWidth="1"/>
    <col min="9988" max="9988" width="20.5703125" style="104" bestFit="1" customWidth="1"/>
    <col min="9989" max="9989" width="17.140625" style="104" customWidth="1"/>
    <col min="9990" max="9990" width="21.85546875" style="104" bestFit="1" customWidth="1"/>
    <col min="9991" max="9991" width="17.140625" style="104" bestFit="1" customWidth="1"/>
    <col min="9992" max="9992" width="18.140625" style="104" bestFit="1" customWidth="1"/>
    <col min="9993" max="9993" width="26.42578125" style="104" customWidth="1"/>
    <col min="9994" max="10238" width="9.140625" style="104"/>
    <col min="10239" max="10239" width="8.7109375" style="104" bestFit="1" customWidth="1"/>
    <col min="10240" max="10240" width="13.28515625" style="104" customWidth="1"/>
    <col min="10241" max="10241" width="16.140625" style="104" bestFit="1" customWidth="1"/>
    <col min="10242" max="10242" width="23.5703125" style="104" customWidth="1"/>
    <col min="10243" max="10243" width="17.28515625" style="104" customWidth="1"/>
    <col min="10244" max="10244" width="20.5703125" style="104" bestFit="1" customWidth="1"/>
    <col min="10245" max="10245" width="17.140625" style="104" customWidth="1"/>
    <col min="10246" max="10246" width="21.85546875" style="104" bestFit="1" customWidth="1"/>
    <col min="10247" max="10247" width="17.140625" style="104" bestFit="1" customWidth="1"/>
    <col min="10248" max="10248" width="18.140625" style="104" bestFit="1" customWidth="1"/>
    <col min="10249" max="10249" width="26.42578125" style="104" customWidth="1"/>
    <col min="10250" max="10494" width="9.140625" style="104"/>
    <col min="10495" max="10495" width="8.7109375" style="104" bestFit="1" customWidth="1"/>
    <col min="10496" max="10496" width="13.28515625" style="104" customWidth="1"/>
    <col min="10497" max="10497" width="16.140625" style="104" bestFit="1" customWidth="1"/>
    <col min="10498" max="10498" width="23.5703125" style="104" customWidth="1"/>
    <col min="10499" max="10499" width="17.28515625" style="104" customWidth="1"/>
    <col min="10500" max="10500" width="20.5703125" style="104" bestFit="1" customWidth="1"/>
    <col min="10501" max="10501" width="17.140625" style="104" customWidth="1"/>
    <col min="10502" max="10502" width="21.85546875" style="104" bestFit="1" customWidth="1"/>
    <col min="10503" max="10503" width="17.140625" style="104" bestFit="1" customWidth="1"/>
    <col min="10504" max="10504" width="18.140625" style="104" bestFit="1" customWidth="1"/>
    <col min="10505" max="10505" width="26.42578125" style="104" customWidth="1"/>
    <col min="10506" max="10750" width="9.140625" style="104"/>
    <col min="10751" max="10751" width="8.7109375" style="104" bestFit="1" customWidth="1"/>
    <col min="10752" max="10752" width="13.28515625" style="104" customWidth="1"/>
    <col min="10753" max="10753" width="16.140625" style="104" bestFit="1" customWidth="1"/>
    <col min="10754" max="10754" width="23.5703125" style="104" customWidth="1"/>
    <col min="10755" max="10755" width="17.28515625" style="104" customWidth="1"/>
    <col min="10756" max="10756" width="20.5703125" style="104" bestFit="1" customWidth="1"/>
    <col min="10757" max="10757" width="17.140625" style="104" customWidth="1"/>
    <col min="10758" max="10758" width="21.85546875" style="104" bestFit="1" customWidth="1"/>
    <col min="10759" max="10759" width="17.140625" style="104" bestFit="1" customWidth="1"/>
    <col min="10760" max="10760" width="18.140625" style="104" bestFit="1" customWidth="1"/>
    <col min="10761" max="10761" width="26.42578125" style="104" customWidth="1"/>
    <col min="10762" max="11006" width="9.140625" style="104"/>
    <col min="11007" max="11007" width="8.7109375" style="104" bestFit="1" customWidth="1"/>
    <col min="11008" max="11008" width="13.28515625" style="104" customWidth="1"/>
    <col min="11009" max="11009" width="16.140625" style="104" bestFit="1" customWidth="1"/>
    <col min="11010" max="11010" width="23.5703125" style="104" customWidth="1"/>
    <col min="11011" max="11011" width="17.28515625" style="104" customWidth="1"/>
    <col min="11012" max="11012" width="20.5703125" style="104" bestFit="1" customWidth="1"/>
    <col min="11013" max="11013" width="17.140625" style="104" customWidth="1"/>
    <col min="11014" max="11014" width="21.85546875" style="104" bestFit="1" customWidth="1"/>
    <col min="11015" max="11015" width="17.140625" style="104" bestFit="1" customWidth="1"/>
    <col min="11016" max="11016" width="18.140625" style="104" bestFit="1" customWidth="1"/>
    <col min="11017" max="11017" width="26.42578125" style="104" customWidth="1"/>
    <col min="11018" max="11262" width="9.140625" style="104"/>
    <col min="11263" max="11263" width="8.7109375" style="104" bestFit="1" customWidth="1"/>
    <col min="11264" max="11264" width="13.28515625" style="104" customWidth="1"/>
    <col min="11265" max="11265" width="16.140625" style="104" bestFit="1" customWidth="1"/>
    <col min="11266" max="11266" width="23.5703125" style="104" customWidth="1"/>
    <col min="11267" max="11267" width="17.28515625" style="104" customWidth="1"/>
    <col min="11268" max="11268" width="20.5703125" style="104" bestFit="1" customWidth="1"/>
    <col min="11269" max="11269" width="17.140625" style="104" customWidth="1"/>
    <col min="11270" max="11270" width="21.85546875" style="104" bestFit="1" customWidth="1"/>
    <col min="11271" max="11271" width="17.140625" style="104" bestFit="1" customWidth="1"/>
    <col min="11272" max="11272" width="18.140625" style="104" bestFit="1" customWidth="1"/>
    <col min="11273" max="11273" width="26.42578125" style="104" customWidth="1"/>
    <col min="11274" max="11518" width="9.140625" style="104"/>
    <col min="11519" max="11519" width="8.7109375" style="104" bestFit="1" customWidth="1"/>
    <col min="11520" max="11520" width="13.28515625" style="104" customWidth="1"/>
    <col min="11521" max="11521" width="16.140625" style="104" bestFit="1" customWidth="1"/>
    <col min="11522" max="11522" width="23.5703125" style="104" customWidth="1"/>
    <col min="11523" max="11523" width="17.28515625" style="104" customWidth="1"/>
    <col min="11524" max="11524" width="20.5703125" style="104" bestFit="1" customWidth="1"/>
    <col min="11525" max="11525" width="17.140625" style="104" customWidth="1"/>
    <col min="11526" max="11526" width="21.85546875" style="104" bestFit="1" customWidth="1"/>
    <col min="11527" max="11527" width="17.140625" style="104" bestFit="1" customWidth="1"/>
    <col min="11528" max="11528" width="18.140625" style="104" bestFit="1" customWidth="1"/>
    <col min="11529" max="11529" width="26.42578125" style="104" customWidth="1"/>
    <col min="11530" max="11774" width="9.140625" style="104"/>
    <col min="11775" max="11775" width="8.7109375" style="104" bestFit="1" customWidth="1"/>
    <col min="11776" max="11776" width="13.28515625" style="104" customWidth="1"/>
    <col min="11777" max="11777" width="16.140625" style="104" bestFit="1" customWidth="1"/>
    <col min="11778" max="11778" width="23.5703125" style="104" customWidth="1"/>
    <col min="11779" max="11779" width="17.28515625" style="104" customWidth="1"/>
    <col min="11780" max="11780" width="20.5703125" style="104" bestFit="1" customWidth="1"/>
    <col min="11781" max="11781" width="17.140625" style="104" customWidth="1"/>
    <col min="11782" max="11782" width="21.85546875" style="104" bestFit="1" customWidth="1"/>
    <col min="11783" max="11783" width="17.140625" style="104" bestFit="1" customWidth="1"/>
    <col min="11784" max="11784" width="18.140625" style="104" bestFit="1" customWidth="1"/>
    <col min="11785" max="11785" width="26.42578125" style="104" customWidth="1"/>
    <col min="11786" max="12030" width="9.140625" style="104"/>
    <col min="12031" max="12031" width="8.7109375" style="104" bestFit="1" customWidth="1"/>
    <col min="12032" max="12032" width="13.28515625" style="104" customWidth="1"/>
    <col min="12033" max="12033" width="16.140625" style="104" bestFit="1" customWidth="1"/>
    <col min="12034" max="12034" width="23.5703125" style="104" customWidth="1"/>
    <col min="12035" max="12035" width="17.28515625" style="104" customWidth="1"/>
    <col min="12036" max="12036" width="20.5703125" style="104" bestFit="1" customWidth="1"/>
    <col min="12037" max="12037" width="17.140625" style="104" customWidth="1"/>
    <col min="12038" max="12038" width="21.85546875" style="104" bestFit="1" customWidth="1"/>
    <col min="12039" max="12039" width="17.140625" style="104" bestFit="1" customWidth="1"/>
    <col min="12040" max="12040" width="18.140625" style="104" bestFit="1" customWidth="1"/>
    <col min="12041" max="12041" width="26.42578125" style="104" customWidth="1"/>
    <col min="12042" max="12286" width="9.140625" style="104"/>
    <col min="12287" max="12287" width="8.7109375" style="104" bestFit="1" customWidth="1"/>
    <col min="12288" max="12288" width="13.28515625" style="104" customWidth="1"/>
    <col min="12289" max="12289" width="16.140625" style="104" bestFit="1" customWidth="1"/>
    <col min="12290" max="12290" width="23.5703125" style="104" customWidth="1"/>
    <col min="12291" max="12291" width="17.28515625" style="104" customWidth="1"/>
    <col min="12292" max="12292" width="20.5703125" style="104" bestFit="1" customWidth="1"/>
    <col min="12293" max="12293" width="17.140625" style="104" customWidth="1"/>
    <col min="12294" max="12294" width="21.85546875" style="104" bestFit="1" customWidth="1"/>
    <col min="12295" max="12295" width="17.140625" style="104" bestFit="1" customWidth="1"/>
    <col min="12296" max="12296" width="18.140625" style="104" bestFit="1" customWidth="1"/>
    <col min="12297" max="12297" width="26.42578125" style="104" customWidth="1"/>
    <col min="12298" max="12542" width="9.140625" style="104"/>
    <col min="12543" max="12543" width="8.7109375" style="104" bestFit="1" customWidth="1"/>
    <col min="12544" max="12544" width="13.28515625" style="104" customWidth="1"/>
    <col min="12545" max="12545" width="16.140625" style="104" bestFit="1" customWidth="1"/>
    <col min="12546" max="12546" width="23.5703125" style="104" customWidth="1"/>
    <col min="12547" max="12547" width="17.28515625" style="104" customWidth="1"/>
    <col min="12548" max="12548" width="20.5703125" style="104" bestFit="1" customWidth="1"/>
    <col min="12549" max="12549" width="17.140625" style="104" customWidth="1"/>
    <col min="12550" max="12550" width="21.85546875" style="104" bestFit="1" customWidth="1"/>
    <col min="12551" max="12551" width="17.140625" style="104" bestFit="1" customWidth="1"/>
    <col min="12552" max="12552" width="18.140625" style="104" bestFit="1" customWidth="1"/>
    <col min="12553" max="12553" width="26.42578125" style="104" customWidth="1"/>
    <col min="12554" max="12798" width="9.140625" style="104"/>
    <col min="12799" max="12799" width="8.7109375" style="104" bestFit="1" customWidth="1"/>
    <col min="12800" max="12800" width="13.28515625" style="104" customWidth="1"/>
    <col min="12801" max="12801" width="16.140625" style="104" bestFit="1" customWidth="1"/>
    <col min="12802" max="12802" width="23.5703125" style="104" customWidth="1"/>
    <col min="12803" max="12803" width="17.28515625" style="104" customWidth="1"/>
    <col min="12804" max="12804" width="20.5703125" style="104" bestFit="1" customWidth="1"/>
    <col min="12805" max="12805" width="17.140625" style="104" customWidth="1"/>
    <col min="12806" max="12806" width="21.85546875" style="104" bestFit="1" customWidth="1"/>
    <col min="12807" max="12807" width="17.140625" style="104" bestFit="1" customWidth="1"/>
    <col min="12808" max="12808" width="18.140625" style="104" bestFit="1" customWidth="1"/>
    <col min="12809" max="12809" width="26.42578125" style="104" customWidth="1"/>
    <col min="12810" max="13054" width="9.140625" style="104"/>
    <col min="13055" max="13055" width="8.7109375" style="104" bestFit="1" customWidth="1"/>
    <col min="13056" max="13056" width="13.28515625" style="104" customWidth="1"/>
    <col min="13057" max="13057" width="16.140625" style="104" bestFit="1" customWidth="1"/>
    <col min="13058" max="13058" width="23.5703125" style="104" customWidth="1"/>
    <col min="13059" max="13059" width="17.28515625" style="104" customWidth="1"/>
    <col min="13060" max="13060" width="20.5703125" style="104" bestFit="1" customWidth="1"/>
    <col min="13061" max="13061" width="17.140625" style="104" customWidth="1"/>
    <col min="13062" max="13062" width="21.85546875" style="104" bestFit="1" customWidth="1"/>
    <col min="13063" max="13063" width="17.140625" style="104" bestFit="1" customWidth="1"/>
    <col min="13064" max="13064" width="18.140625" style="104" bestFit="1" customWidth="1"/>
    <col min="13065" max="13065" width="26.42578125" style="104" customWidth="1"/>
    <col min="13066" max="13310" width="9.140625" style="104"/>
    <col min="13311" max="13311" width="8.7109375" style="104" bestFit="1" customWidth="1"/>
    <col min="13312" max="13312" width="13.28515625" style="104" customWidth="1"/>
    <col min="13313" max="13313" width="16.140625" style="104" bestFit="1" customWidth="1"/>
    <col min="13314" max="13314" width="23.5703125" style="104" customWidth="1"/>
    <col min="13315" max="13315" width="17.28515625" style="104" customWidth="1"/>
    <col min="13316" max="13316" width="20.5703125" style="104" bestFit="1" customWidth="1"/>
    <col min="13317" max="13317" width="17.140625" style="104" customWidth="1"/>
    <col min="13318" max="13318" width="21.85546875" style="104" bestFit="1" customWidth="1"/>
    <col min="13319" max="13319" width="17.140625" style="104" bestFit="1" customWidth="1"/>
    <col min="13320" max="13320" width="18.140625" style="104" bestFit="1" customWidth="1"/>
    <col min="13321" max="13321" width="26.42578125" style="104" customWidth="1"/>
    <col min="13322" max="13566" width="9.140625" style="104"/>
    <col min="13567" max="13567" width="8.7109375" style="104" bestFit="1" customWidth="1"/>
    <col min="13568" max="13568" width="13.28515625" style="104" customWidth="1"/>
    <col min="13569" max="13569" width="16.140625" style="104" bestFit="1" customWidth="1"/>
    <col min="13570" max="13570" width="23.5703125" style="104" customWidth="1"/>
    <col min="13571" max="13571" width="17.28515625" style="104" customWidth="1"/>
    <col min="13572" max="13572" width="20.5703125" style="104" bestFit="1" customWidth="1"/>
    <col min="13573" max="13573" width="17.140625" style="104" customWidth="1"/>
    <col min="13574" max="13574" width="21.85546875" style="104" bestFit="1" customWidth="1"/>
    <col min="13575" max="13575" width="17.140625" style="104" bestFit="1" customWidth="1"/>
    <col min="13576" max="13576" width="18.140625" style="104" bestFit="1" customWidth="1"/>
    <col min="13577" max="13577" width="26.42578125" style="104" customWidth="1"/>
    <col min="13578" max="13822" width="9.140625" style="104"/>
    <col min="13823" max="13823" width="8.7109375" style="104" bestFit="1" customWidth="1"/>
    <col min="13824" max="13824" width="13.28515625" style="104" customWidth="1"/>
    <col min="13825" max="13825" width="16.140625" style="104" bestFit="1" customWidth="1"/>
    <col min="13826" max="13826" width="23.5703125" style="104" customWidth="1"/>
    <col min="13827" max="13827" width="17.28515625" style="104" customWidth="1"/>
    <col min="13828" max="13828" width="20.5703125" style="104" bestFit="1" customWidth="1"/>
    <col min="13829" max="13829" width="17.140625" style="104" customWidth="1"/>
    <col min="13830" max="13830" width="21.85546875" style="104" bestFit="1" customWidth="1"/>
    <col min="13831" max="13831" width="17.140625" style="104" bestFit="1" customWidth="1"/>
    <col min="13832" max="13832" width="18.140625" style="104" bestFit="1" customWidth="1"/>
    <col min="13833" max="13833" width="26.42578125" style="104" customWidth="1"/>
    <col min="13834" max="14078" width="9.140625" style="104"/>
    <col min="14079" max="14079" width="8.7109375" style="104" bestFit="1" customWidth="1"/>
    <col min="14080" max="14080" width="13.28515625" style="104" customWidth="1"/>
    <col min="14081" max="14081" width="16.140625" style="104" bestFit="1" customWidth="1"/>
    <col min="14082" max="14082" width="23.5703125" style="104" customWidth="1"/>
    <col min="14083" max="14083" width="17.28515625" style="104" customWidth="1"/>
    <col min="14084" max="14084" width="20.5703125" style="104" bestFit="1" customWidth="1"/>
    <col min="14085" max="14085" width="17.140625" style="104" customWidth="1"/>
    <col min="14086" max="14086" width="21.85546875" style="104" bestFit="1" customWidth="1"/>
    <col min="14087" max="14087" width="17.140625" style="104" bestFit="1" customWidth="1"/>
    <col min="14088" max="14088" width="18.140625" style="104" bestFit="1" customWidth="1"/>
    <col min="14089" max="14089" width="26.42578125" style="104" customWidth="1"/>
    <col min="14090" max="14334" width="9.140625" style="104"/>
    <col min="14335" max="14335" width="8.7109375" style="104" bestFit="1" customWidth="1"/>
    <col min="14336" max="14336" width="13.28515625" style="104" customWidth="1"/>
    <col min="14337" max="14337" width="16.140625" style="104" bestFit="1" customWidth="1"/>
    <col min="14338" max="14338" width="23.5703125" style="104" customWidth="1"/>
    <col min="14339" max="14339" width="17.28515625" style="104" customWidth="1"/>
    <col min="14340" max="14340" width="20.5703125" style="104" bestFit="1" customWidth="1"/>
    <col min="14341" max="14341" width="17.140625" style="104" customWidth="1"/>
    <col min="14342" max="14342" width="21.85546875" style="104" bestFit="1" customWidth="1"/>
    <col min="14343" max="14343" width="17.140625" style="104" bestFit="1" customWidth="1"/>
    <col min="14344" max="14344" width="18.140625" style="104" bestFit="1" customWidth="1"/>
    <col min="14345" max="14345" width="26.42578125" style="104" customWidth="1"/>
    <col min="14346" max="14590" width="9.140625" style="104"/>
    <col min="14591" max="14591" width="8.7109375" style="104" bestFit="1" customWidth="1"/>
    <col min="14592" max="14592" width="13.28515625" style="104" customWidth="1"/>
    <col min="14593" max="14593" width="16.140625" style="104" bestFit="1" customWidth="1"/>
    <col min="14594" max="14594" width="23.5703125" style="104" customWidth="1"/>
    <col min="14595" max="14595" width="17.28515625" style="104" customWidth="1"/>
    <col min="14596" max="14596" width="20.5703125" style="104" bestFit="1" customWidth="1"/>
    <col min="14597" max="14597" width="17.140625" style="104" customWidth="1"/>
    <col min="14598" max="14598" width="21.85546875" style="104" bestFit="1" customWidth="1"/>
    <col min="14599" max="14599" width="17.140625" style="104" bestFit="1" customWidth="1"/>
    <col min="14600" max="14600" width="18.140625" style="104" bestFit="1" customWidth="1"/>
    <col min="14601" max="14601" width="26.42578125" style="104" customWidth="1"/>
    <col min="14602" max="14846" width="9.140625" style="104"/>
    <col min="14847" max="14847" width="8.7109375" style="104" bestFit="1" customWidth="1"/>
    <col min="14848" max="14848" width="13.28515625" style="104" customWidth="1"/>
    <col min="14849" max="14849" width="16.140625" style="104" bestFit="1" customWidth="1"/>
    <col min="14850" max="14850" width="23.5703125" style="104" customWidth="1"/>
    <col min="14851" max="14851" width="17.28515625" style="104" customWidth="1"/>
    <col min="14852" max="14852" width="20.5703125" style="104" bestFit="1" customWidth="1"/>
    <col min="14853" max="14853" width="17.140625" style="104" customWidth="1"/>
    <col min="14854" max="14854" width="21.85546875" style="104" bestFit="1" customWidth="1"/>
    <col min="14855" max="14855" width="17.140625" style="104" bestFit="1" customWidth="1"/>
    <col min="14856" max="14856" width="18.140625" style="104" bestFit="1" customWidth="1"/>
    <col min="14857" max="14857" width="26.42578125" style="104" customWidth="1"/>
    <col min="14858" max="15102" width="9.140625" style="104"/>
    <col min="15103" max="15103" width="8.7109375" style="104" bestFit="1" customWidth="1"/>
    <col min="15104" max="15104" width="13.28515625" style="104" customWidth="1"/>
    <col min="15105" max="15105" width="16.140625" style="104" bestFit="1" customWidth="1"/>
    <col min="15106" max="15106" width="23.5703125" style="104" customWidth="1"/>
    <col min="15107" max="15107" width="17.28515625" style="104" customWidth="1"/>
    <col min="15108" max="15108" width="20.5703125" style="104" bestFit="1" customWidth="1"/>
    <col min="15109" max="15109" width="17.140625" style="104" customWidth="1"/>
    <col min="15110" max="15110" width="21.85546875" style="104" bestFit="1" customWidth="1"/>
    <col min="15111" max="15111" width="17.140625" style="104" bestFit="1" customWidth="1"/>
    <col min="15112" max="15112" width="18.140625" style="104" bestFit="1" customWidth="1"/>
    <col min="15113" max="15113" width="26.42578125" style="104" customWidth="1"/>
    <col min="15114" max="15358" width="9.140625" style="104"/>
    <col min="15359" max="15359" width="8.7109375" style="104" bestFit="1" customWidth="1"/>
    <col min="15360" max="15360" width="13.28515625" style="104" customWidth="1"/>
    <col min="15361" max="15361" width="16.140625" style="104" bestFit="1" customWidth="1"/>
    <col min="15362" max="15362" width="23.5703125" style="104" customWidth="1"/>
    <col min="15363" max="15363" width="17.28515625" style="104" customWidth="1"/>
    <col min="15364" max="15364" width="20.5703125" style="104" bestFit="1" customWidth="1"/>
    <col min="15365" max="15365" width="17.140625" style="104" customWidth="1"/>
    <col min="15366" max="15366" width="21.85546875" style="104" bestFit="1" customWidth="1"/>
    <col min="15367" max="15367" width="17.140625" style="104" bestFit="1" customWidth="1"/>
    <col min="15368" max="15368" width="18.140625" style="104" bestFit="1" customWidth="1"/>
    <col min="15369" max="15369" width="26.42578125" style="104" customWidth="1"/>
    <col min="15370" max="15614" width="9.140625" style="104"/>
    <col min="15615" max="15615" width="8.7109375" style="104" bestFit="1" customWidth="1"/>
    <col min="15616" max="15616" width="13.28515625" style="104" customWidth="1"/>
    <col min="15617" max="15617" width="16.140625" style="104" bestFit="1" customWidth="1"/>
    <col min="15618" max="15618" width="23.5703125" style="104" customWidth="1"/>
    <col min="15619" max="15619" width="17.28515625" style="104" customWidth="1"/>
    <col min="15620" max="15620" width="20.5703125" style="104" bestFit="1" customWidth="1"/>
    <col min="15621" max="15621" width="17.140625" style="104" customWidth="1"/>
    <col min="15622" max="15622" width="21.85546875" style="104" bestFit="1" customWidth="1"/>
    <col min="15623" max="15623" width="17.140625" style="104" bestFit="1" customWidth="1"/>
    <col min="15624" max="15624" width="18.140625" style="104" bestFit="1" customWidth="1"/>
    <col min="15625" max="15625" width="26.42578125" style="104" customWidth="1"/>
    <col min="15626" max="15870" width="9.140625" style="104"/>
    <col min="15871" max="15871" width="8.7109375" style="104" bestFit="1" customWidth="1"/>
    <col min="15872" max="15872" width="13.28515625" style="104" customWidth="1"/>
    <col min="15873" max="15873" width="16.140625" style="104" bestFit="1" customWidth="1"/>
    <col min="15874" max="15874" width="23.5703125" style="104" customWidth="1"/>
    <col min="15875" max="15875" width="17.28515625" style="104" customWidth="1"/>
    <col min="15876" max="15876" width="20.5703125" style="104" bestFit="1" customWidth="1"/>
    <col min="15877" max="15877" width="17.140625" style="104" customWidth="1"/>
    <col min="15878" max="15878" width="21.85546875" style="104" bestFit="1" customWidth="1"/>
    <col min="15879" max="15879" width="17.140625" style="104" bestFit="1" customWidth="1"/>
    <col min="15880" max="15880" width="18.140625" style="104" bestFit="1" customWidth="1"/>
    <col min="15881" max="15881" width="26.42578125" style="104" customWidth="1"/>
    <col min="15882" max="16126" width="9.140625" style="104"/>
    <col min="16127" max="16127" width="8.7109375" style="104" bestFit="1" customWidth="1"/>
    <col min="16128" max="16128" width="13.28515625" style="104" customWidth="1"/>
    <col min="16129" max="16129" width="16.140625" style="104" bestFit="1" customWidth="1"/>
    <col min="16130" max="16130" width="23.5703125" style="104" customWidth="1"/>
    <col min="16131" max="16131" width="17.28515625" style="104" customWidth="1"/>
    <col min="16132" max="16132" width="20.5703125" style="104" bestFit="1" customWidth="1"/>
    <col min="16133" max="16133" width="17.140625" style="104" customWidth="1"/>
    <col min="16134" max="16134" width="21.85546875" style="104" bestFit="1" customWidth="1"/>
    <col min="16135" max="16135" width="17.140625" style="104" bestFit="1" customWidth="1"/>
    <col min="16136" max="16136" width="18.140625" style="104" bestFit="1" customWidth="1"/>
    <col min="16137" max="16137" width="26.42578125" style="104" customWidth="1"/>
    <col min="16138" max="16384" width="9.140625" style="104"/>
  </cols>
  <sheetData>
    <row r="1" spans="11:12" s="123" customFormat="1" x14ac:dyDescent="0.2">
      <c r="K1" s="534"/>
      <c r="L1" s="533"/>
    </row>
    <row r="2" spans="11:12" s="123" customFormat="1" x14ac:dyDescent="0.2">
      <c r="K2" s="534"/>
      <c r="L2" s="533"/>
    </row>
    <row r="3" spans="11:12" s="123" customFormat="1" x14ac:dyDescent="0.2">
      <c r="K3" s="534"/>
      <c r="L3" s="533"/>
    </row>
    <row r="4" spans="11:12" s="123" customFormat="1" x14ac:dyDescent="0.2">
      <c r="K4" s="534"/>
      <c r="L4" s="533"/>
    </row>
    <row r="5" spans="11:12" s="123" customFormat="1" x14ac:dyDescent="0.2">
      <c r="K5" s="534"/>
      <c r="L5" s="533"/>
    </row>
    <row r="6" spans="11:12" s="123" customFormat="1" x14ac:dyDescent="0.2">
      <c r="K6" s="534"/>
      <c r="L6" s="533"/>
    </row>
    <row r="7" spans="11:12" s="123" customFormat="1" x14ac:dyDescent="0.2">
      <c r="K7" s="534"/>
      <c r="L7" s="533"/>
    </row>
    <row r="8" spans="11:12" s="123" customFormat="1" x14ac:dyDescent="0.2">
      <c r="K8" s="534"/>
      <c r="L8" s="533"/>
    </row>
    <row r="9" spans="11:12" s="123" customFormat="1" x14ac:dyDescent="0.2">
      <c r="K9" s="534"/>
      <c r="L9" s="533"/>
    </row>
    <row r="10" spans="11:12" s="123" customFormat="1" x14ac:dyDescent="0.2">
      <c r="K10" s="534"/>
      <c r="L10" s="533"/>
    </row>
    <row r="11" spans="11:12" s="123" customFormat="1" x14ac:dyDescent="0.2">
      <c r="K11" s="534"/>
      <c r="L11" s="533"/>
    </row>
    <row r="12" spans="11:12" s="123" customFormat="1" x14ac:dyDescent="0.2">
      <c r="K12" s="534"/>
      <c r="L12" s="533"/>
    </row>
    <row r="13" spans="11:12" s="123" customFormat="1" x14ac:dyDescent="0.2">
      <c r="K13" s="534"/>
      <c r="L13" s="533"/>
    </row>
    <row r="14" spans="11:12" s="123" customFormat="1" x14ac:dyDescent="0.2">
      <c r="K14" s="534"/>
      <c r="L14" s="533"/>
    </row>
    <row r="15" spans="11:12" s="123" customFormat="1" x14ac:dyDescent="0.2">
      <c r="K15" s="534"/>
      <c r="L15" s="533"/>
    </row>
    <row r="16" spans="11:12" s="123" customFormat="1" x14ac:dyDescent="0.2">
      <c r="K16" s="534"/>
      <c r="L16" s="533"/>
    </row>
    <row r="17" spans="1:17" s="123" customFormat="1" x14ac:dyDescent="0.2">
      <c r="K17" s="534"/>
      <c r="L17" s="533"/>
    </row>
    <row r="18" spans="1:17" s="123" customFormat="1" x14ac:dyDescent="0.2">
      <c r="K18" s="534"/>
      <c r="L18" s="533"/>
    </row>
    <row r="19" spans="1:17" s="123" customFormat="1" x14ac:dyDescent="0.2">
      <c r="K19" s="534"/>
      <c r="L19" s="533"/>
    </row>
    <row r="20" spans="1:17" s="123" customFormat="1" x14ac:dyDescent="0.2">
      <c r="K20" s="534"/>
      <c r="L20" s="533"/>
    </row>
    <row r="21" spans="1:17" s="123" customFormat="1" x14ac:dyDescent="0.2">
      <c r="K21" s="534"/>
      <c r="L21" s="533"/>
    </row>
    <row r="22" spans="1:17" s="123" customFormat="1" x14ac:dyDescent="0.2">
      <c r="K22" s="534"/>
      <c r="L22" s="533"/>
    </row>
    <row r="23" spans="1:17" s="123" customFormat="1" x14ac:dyDescent="0.2">
      <c r="K23" s="534"/>
      <c r="L23" s="533"/>
    </row>
    <row r="24" spans="1:17" s="123" customFormat="1" x14ac:dyDescent="0.2">
      <c r="K24" s="534"/>
      <c r="L24" s="533"/>
    </row>
    <row r="25" spans="1:17" s="123" customFormat="1" x14ac:dyDescent="0.2">
      <c r="K25" s="534"/>
      <c r="L25" s="533"/>
    </row>
    <row r="26" spans="1:17" s="123" customFormat="1" x14ac:dyDescent="0.2">
      <c r="K26" s="534"/>
      <c r="L26" s="533"/>
    </row>
    <row r="27" spans="1:17" s="123" customFormat="1" x14ac:dyDescent="0.2">
      <c r="K27" s="534"/>
      <c r="L27" s="533"/>
    </row>
    <row r="28" spans="1:17" s="123" customFormat="1" ht="24.75" customHeight="1" x14ac:dyDescent="0.25">
      <c r="A28" s="560" t="str">
        <f>"VIN = "&amp;Vin&amp;" V, VOUT = "&amp;Vout&amp;" V, IOUT = "&amp;Iout*1000&amp;" mA "&amp;'Variable Mgmt'!B33&amp;" Converter"</f>
        <v>VIN = 43 V, VOUT = 5 V, IOUT = 150 mA COT Converter</v>
      </c>
      <c r="K28" s="533"/>
      <c r="L28" s="533"/>
    </row>
    <row r="29" spans="1:17" ht="24.75" customHeight="1" thickBot="1" x14ac:dyDescent="0.25">
      <c r="A29" s="105" t="s">
        <v>534</v>
      </c>
    </row>
    <row r="30" spans="1:17" ht="18" customHeight="1" x14ac:dyDescent="0.2">
      <c r="A30" s="214" t="s">
        <v>161</v>
      </c>
      <c r="B30" s="215" t="s">
        <v>160</v>
      </c>
      <c r="C30" s="215" t="s">
        <v>8</v>
      </c>
      <c r="D30" s="579" t="s">
        <v>60</v>
      </c>
      <c r="E30" s="580"/>
      <c r="F30" s="581"/>
      <c r="G30" s="215" t="s">
        <v>154</v>
      </c>
      <c r="H30" s="215" t="s">
        <v>88</v>
      </c>
      <c r="I30" s="552" t="s">
        <v>155</v>
      </c>
      <c r="J30" s="553" t="s">
        <v>592</v>
      </c>
      <c r="K30" s="554" t="s">
        <v>608</v>
      </c>
      <c r="L30" s="527"/>
      <c r="N30" s="107"/>
      <c r="Q30" s="559"/>
    </row>
    <row r="31" spans="1:17" s="107" customFormat="1" ht="17.100000000000001" customHeight="1" x14ac:dyDescent="0.2">
      <c r="A31" s="106">
        <f>ROUNDUP('Design Regulator'!E30/10,0)</f>
        <v>1</v>
      </c>
      <c r="B31" s="118" t="s">
        <v>158</v>
      </c>
      <c r="C31" s="121">
        <f>Cin*1000000</f>
        <v>4.7</v>
      </c>
      <c r="D31" s="577" t="str">
        <f>IF(VIN_max&gt;35, "Capacitor, Ceramic, "&amp;'Variable Mgmt'!B244&amp;", 100V, X7R, 10%", "Capacitor, Ceramic, "&amp;'Variable Mgmt'!B244&amp;", 50V, X7R, 10%")</f>
        <v>Capacitor, Ceramic, 4.7µF, 100V, X7R, 10%</v>
      </c>
      <c r="E31" s="578"/>
      <c r="F31" s="578"/>
      <c r="G31" s="119"/>
      <c r="H31" s="120" t="s">
        <v>156</v>
      </c>
      <c r="I31" s="538" t="s">
        <v>156</v>
      </c>
      <c r="J31" s="548" t="str">
        <f>CHOOSE(Q31,'Variable Mgmt'!T39,'Variable Mgmt'!T40,'Variable Mgmt'!T41,'Variable Mgmt'!T42,'Variable Mgmt'!T43)</f>
        <v>3.2 x 1.6</v>
      </c>
      <c r="K31" s="546">
        <f>CHOOSE(Q31,'Variable Mgmt'!U39,'Variable Mgmt'!U40,'Variable Mgmt'!U41,'Variable Mgmt'!U42,'Variable Mgmt'!U43)</f>
        <v>5.0999999999999996</v>
      </c>
      <c r="L31" s="551"/>
      <c r="Q31" s="557">
        <v>4</v>
      </c>
    </row>
    <row r="32" spans="1:17" s="107" customFormat="1" ht="17.100000000000001" customHeight="1" x14ac:dyDescent="0.2">
      <c r="A32" s="106">
        <f>ROUNDUP('Design Regulator'!E25/22,0)</f>
        <v>5</v>
      </c>
      <c r="B32" s="118" t="s">
        <v>159</v>
      </c>
      <c r="C32" s="121">
        <f>Cout*1000000</f>
        <v>100</v>
      </c>
      <c r="D32" s="590" t="str">
        <f>CHOOSE(Cout_Voltage_Rating, "Capacitor, Ceramic, "&amp;'Variable Mgmt'!B240&amp;", 6.3V, X7R, 10%", "Capacitor, Ceramic, "&amp;'Variable Mgmt'!B240&amp;", 10V, X7R, 10%", "Capacitor, Ceramic, "&amp;'Variable Mgmt'!B240&amp;", 16V, X7R, 10%", "Capacitor, Ceramic, "&amp;'Variable Mgmt'!B240&amp;", 25V, X7R, 10%",  "Capacitor, Ceramic, "&amp;'Variable Mgmt'!B240&amp;", 50V, X7R, 10%")</f>
        <v>Capacitor, Ceramic, 100µF, 6.3V, X7R, 10%</v>
      </c>
      <c r="E32" s="591"/>
      <c r="F32" s="591"/>
      <c r="G32" s="119"/>
      <c r="H32" s="120" t="s">
        <v>156</v>
      </c>
      <c r="I32" s="538" t="s">
        <v>156</v>
      </c>
      <c r="J32" s="548" t="str">
        <f>CHOOSE(Q32,'Variable Mgmt'!T39,'Variable Mgmt'!T40,'Variable Mgmt'!T41,'Variable Mgmt'!T42,'Variable Mgmt'!T43)</f>
        <v>3.2 x 1.6</v>
      </c>
      <c r="K32" s="546">
        <f>CHOOSE(Q32,'Variable Mgmt'!U39,'Variable Mgmt'!U40,'Variable Mgmt'!U41,'Variable Mgmt'!U42,'Variable Mgmt'!U43)</f>
        <v>5.0999999999999996</v>
      </c>
      <c r="L32" s="551"/>
      <c r="Q32" s="558">
        <v>4</v>
      </c>
    </row>
    <row r="33" spans="1:17" s="107" customFormat="1" ht="17.100000000000001" customHeight="1" x14ac:dyDescent="0.2">
      <c r="A33" s="498" t="str">
        <f>CHOOSE(MODE_SS, "1", "-", "1")</f>
        <v>1</v>
      </c>
      <c r="B33" s="499" t="str">
        <f>CHOOSE(MODE_SS, "Css", "-", "Rss")</f>
        <v>Css</v>
      </c>
      <c r="C33" s="503" t="str">
        <f>CHOOSE(MODE_SS, 'Standard Value Calculator'!B4*1000000000&amp;"nF", "-", "100k")</f>
        <v>47nF</v>
      </c>
      <c r="D33" s="586" t="str">
        <f>CHOOSE(MODE_SS, "Capacitor, Ceramic, "&amp;'Standard Value Calculator'!B4*1000000000&amp;"nF"&amp;", 16V, X7R, 10%", "-", "Resistor, Chip, 100 kΩ, 1/16W, 1%")</f>
        <v>Capacitor, Ceramic, 47nF, 16V, X7R, 10%</v>
      </c>
      <c r="E33" s="587"/>
      <c r="F33" s="587"/>
      <c r="G33" s="500" t="s">
        <v>157</v>
      </c>
      <c r="H33" s="501" t="str">
        <f>CHOOSE(MODE_SS, "Std", "-", "Std")</f>
        <v>Std</v>
      </c>
      <c r="I33" s="539" t="str">
        <f>CHOOSE(MODE_SS, "Std", "-", "Std")</f>
        <v>Std</v>
      </c>
      <c r="J33" s="549" t="str">
        <f>CHOOSE(MODE_SS,CHOOSE(Q33,'Variable Mgmt'!T39,'Variable Mgmt'!T40,'Variable Mgmt'!T41),"-",CHOOSE(Q33,'Variable Mgmt'!T39,'Variable Mgmt'!T40,'Variable Mgmt'!T41))</f>
        <v>1.0 x 0.5</v>
      </c>
      <c r="K33" s="547">
        <f>CHOOSE(MODE_SS, CHOOSE(Q33,'Variable Mgmt'!U39,'Variable Mgmt'!U40,'Variable Mgmt'!U41), "-", CHOOSE(Q33,'Variable Mgmt'!U39,'Variable Mgmt'!U40,'Variable Mgmt'!U41))</f>
        <v>0.5</v>
      </c>
      <c r="L33" s="551"/>
      <c r="Q33" s="558">
        <v>1</v>
      </c>
    </row>
    <row r="34" spans="1:17" s="107" customFormat="1" ht="17.100000000000001" customHeight="1" x14ac:dyDescent="0.2">
      <c r="A34" s="106">
        <v>1</v>
      </c>
      <c r="B34" s="118" t="s">
        <v>246</v>
      </c>
      <c r="C34" s="122">
        <f>'Design Regulator'!E18</f>
        <v>220</v>
      </c>
      <c r="D34" s="588" t="str">
        <f>"Inductor, "&amp;Lf*1000000&amp;" µH, "&amp;Rdcr*1000&amp;" mΩ, &gt;"&amp;ROUNDUP(Ilim*1.2,2)&amp;"A"</f>
        <v>Inductor, 220 µH, 300 mΩ, &gt;0.29A</v>
      </c>
      <c r="E34" s="589"/>
      <c r="F34" s="589"/>
      <c r="G34" s="120" t="s">
        <v>163</v>
      </c>
      <c r="H34" s="120" t="s">
        <v>162</v>
      </c>
      <c r="I34" s="538" t="s">
        <v>162</v>
      </c>
      <c r="J34" s="548" t="str">
        <f>CHOOSE(Q34,'Variable Mgmt'!T48,'Variable Mgmt'!T49,'Variable Mgmt'!T50,'Variable Mgmt'!T51,'Variable Mgmt'!T52)</f>
        <v>4.0 x 4.0</v>
      </c>
      <c r="K34" s="546">
        <f>CHOOSE(Q34,'Variable Mgmt'!U48,'Variable Mgmt'!U49,'Variable Mgmt'!U50,'Variable Mgmt'!U51,'Variable Mgmt'!U52)</f>
        <v>16</v>
      </c>
      <c r="L34" s="551"/>
      <c r="Q34" s="558">
        <v>2</v>
      </c>
    </row>
    <row r="35" spans="1:17" s="107" customFormat="1" ht="17.100000000000001" customHeight="1" x14ac:dyDescent="0.2">
      <c r="A35" s="498" t="str">
        <f>CHOOSE(SHORT_ILIM, "-", "1")</f>
        <v>-</v>
      </c>
      <c r="B35" s="499" t="s">
        <v>547</v>
      </c>
      <c r="C35" s="502" t="str">
        <f>CHOOSE(SHORT_ILIM, "-", 'Variable Mgmt'!C271)</f>
        <v>-</v>
      </c>
      <c r="D35" s="586" t="str">
        <f>CHOOSE(SHORT_ILIM, "Tie ILIM to GND", "Resistor, Chip, "&amp;'Variable Mgmt'!C271&amp;" kΩ, 1/16W, 1%")</f>
        <v>Tie ILIM to GND</v>
      </c>
      <c r="E35" s="587"/>
      <c r="F35" s="587"/>
      <c r="G35" s="500" t="str">
        <f>CHOOSE(SHORT_ILIM, "-", "0603")</f>
        <v>-</v>
      </c>
      <c r="H35" s="501" t="str">
        <f>CHOOSE(SHORT_ILIM, "-", "Std")</f>
        <v>-</v>
      </c>
      <c r="I35" s="539" t="str">
        <f>CHOOSE(SHORT_ILIM, "-", "Std")</f>
        <v>-</v>
      </c>
      <c r="J35" s="549" t="str">
        <f>CHOOSE(SHORT_ILIM, "-", CHOOSE(Q35,'Variable Mgmt'!T39,'Variable Mgmt'!T40,'Variable Mgmt'!T41))</f>
        <v>-</v>
      </c>
      <c r="K35" s="547" t="str">
        <f>CHOOSE(SHORT_ILIM, "-", CHOOSE(Q35,'Variable Mgmt'!U39,'Variable Mgmt'!U40,'Variable Mgmt'!U41,'Variable Mgmt'!U42,'Variable Mgmt'!U43))</f>
        <v>-</v>
      </c>
      <c r="L35" s="551"/>
      <c r="Q35" s="558">
        <v>1</v>
      </c>
    </row>
    <row r="36" spans="1:17" s="107" customFormat="1" ht="17.100000000000001" customHeight="1" x14ac:dyDescent="0.2">
      <c r="A36" s="108" t="str">
        <f>CHOOSE(MODE, "1", "-")</f>
        <v>1</v>
      </c>
      <c r="B36" s="109" t="s">
        <v>247</v>
      </c>
      <c r="C36" s="110">
        <f>CHOOSE(MODE, 'Design Regulator'!E13, "N/A")</f>
        <v>124</v>
      </c>
      <c r="D36" s="584" t="str">
        <f>CHOOSE(MODE, "Resistor, Chip, "&amp;'Variable Mgmt'!B255&amp;", 1/16W, 1%", "-")</f>
        <v>Resistor, Chip, 124kΩ, 1/16W, 1%</v>
      </c>
      <c r="E36" s="585"/>
      <c r="F36" s="585"/>
      <c r="G36" s="111" t="s">
        <v>157</v>
      </c>
      <c r="H36" s="112" t="str">
        <f>CHOOSE(MODE, "Std", "-")</f>
        <v>Std</v>
      </c>
      <c r="I36" s="540" t="str">
        <f>CHOOSE(MODE, "Std", "-")</f>
        <v>Std</v>
      </c>
      <c r="J36" s="548" t="str">
        <f>CHOOSE(MODE, CHOOSE(Q36,'Variable Mgmt'!T39,'Variable Mgmt'!T40,'Variable Mgmt'!T41), "-")</f>
        <v>1.0 x 0.5</v>
      </c>
      <c r="K36" s="546">
        <f>CHOOSE(MODE, CHOOSE(Q36,'Variable Mgmt'!U39,'Variable Mgmt'!U40,'Variable Mgmt'!U41,'Variable Mgmt'!U42,'Variable Mgmt'!U43),"-")</f>
        <v>0.5</v>
      </c>
      <c r="L36" s="551"/>
      <c r="Q36" s="558">
        <v>1</v>
      </c>
    </row>
    <row r="37" spans="1:17" s="107" customFormat="1" ht="17.100000000000001" customHeight="1" x14ac:dyDescent="0.2">
      <c r="A37" s="108" t="str">
        <f>CHOOSE(MODE_VOUT, "-", "1")</f>
        <v>-</v>
      </c>
      <c r="B37" s="109" t="s">
        <v>167</v>
      </c>
      <c r="C37" s="110" t="str">
        <f>IF(MODE_VOUT=2, Rfb1_/1000, "N/A")</f>
        <v>N/A</v>
      </c>
      <c r="D37" s="584" t="str">
        <f>CHOOSE(MODE_VOUT, "-", "Resistor, Chip, "&amp;'Variable Mgmt'!B250&amp;", 1/16W, 1%")</f>
        <v>-</v>
      </c>
      <c r="E37" s="585"/>
      <c r="F37" s="585"/>
      <c r="G37" s="111" t="s">
        <v>157</v>
      </c>
      <c r="H37" s="112" t="str">
        <f>CHOOSE(MODE_VOUT, "-", "Std")</f>
        <v>-</v>
      </c>
      <c r="I37" s="540" t="str">
        <f>CHOOSE(MODE_VOUT, "-", "Std")</f>
        <v>-</v>
      </c>
      <c r="J37" s="548" t="str">
        <f>CHOOSE(MODE_VOUT, "-", CHOOSE(Q37,'Variable Mgmt'!T39,'Variable Mgmt'!T40,'Variable Mgmt'!T41))</f>
        <v>-</v>
      </c>
      <c r="K37" s="546" t="str">
        <f>CHOOSE(MODE_VOUT, "-", CHOOSE(Q37,'Variable Mgmt'!U39,'Variable Mgmt'!U40,'Variable Mgmt'!U41,'Variable Mgmt'!U42,'Variable Mgmt'!U43))</f>
        <v>-</v>
      </c>
      <c r="L37" s="551"/>
      <c r="Q37" s="558">
        <v>1</v>
      </c>
    </row>
    <row r="38" spans="1:17" s="107" customFormat="1" ht="17.100000000000001" customHeight="1" x14ac:dyDescent="0.2">
      <c r="A38" s="108" t="str">
        <f>CHOOSE(MODE_VOUT, "-", "1")</f>
        <v>-</v>
      </c>
      <c r="B38" s="109" t="s">
        <v>168</v>
      </c>
      <c r="C38" s="110" t="str">
        <f>IF(MODE_VOUT=2, Rfb2_u/1000, "N/A")</f>
        <v>N/A</v>
      </c>
      <c r="D38" s="584" t="str">
        <f>CHOOSE(MODE_VOUT, "-", "Resistor, Chip, "&amp;'Variable Mgmt'!B251&amp;", 1/16W, 1%")</f>
        <v>-</v>
      </c>
      <c r="E38" s="585"/>
      <c r="F38" s="585"/>
      <c r="G38" s="111" t="s">
        <v>157</v>
      </c>
      <c r="H38" s="112" t="str">
        <f>CHOOSE(MODE_VOUT, "-", "Std")</f>
        <v>-</v>
      </c>
      <c r="I38" s="540" t="str">
        <f>CHOOSE(MODE_VOUT, "-", "Std")</f>
        <v>-</v>
      </c>
      <c r="J38" s="548" t="str">
        <f>CHOOSE(MODE_VOUT, "-", CHOOSE(Q38,'Variable Mgmt'!T39,'Variable Mgmt'!T40,'Variable Mgmt'!T41))</f>
        <v>-</v>
      </c>
      <c r="K38" s="546" t="str">
        <f>CHOOSE(MODE_VOUT, "-", CHOOSE(Q38,'Variable Mgmt'!U39,'Variable Mgmt'!U40,'Variable Mgmt'!U41,'Variable Mgmt'!U42,'Variable Mgmt'!U43))</f>
        <v>-</v>
      </c>
      <c r="L38" s="551"/>
      <c r="Q38" s="558">
        <v>1</v>
      </c>
    </row>
    <row r="39" spans="1:17" s="107" customFormat="1" ht="17.100000000000001" customHeight="1" x14ac:dyDescent="0.2">
      <c r="A39" s="498" t="str">
        <f>CHOOSE(MODE, "1", "-")</f>
        <v>1</v>
      </c>
      <c r="B39" s="499" t="s">
        <v>549</v>
      </c>
      <c r="C39" s="503">
        <f>CHOOSE(MODE,  'Design Regulator'!E27, "N/A")</f>
        <v>1.5</v>
      </c>
      <c r="D39" s="586" t="str">
        <f>CHOOSE(MODE, "Resistor, Chip, "&amp;'Variable Mgmt'!B258&amp;", 1/16W, 1%", "-")</f>
        <v>Resistor, Chip, 1.5Ω, 1/16W, 1%</v>
      </c>
      <c r="E39" s="587"/>
      <c r="F39" s="587"/>
      <c r="G39" s="500" t="s">
        <v>157</v>
      </c>
      <c r="H39" s="501" t="str">
        <f>CHOOSE(MODE, "Std", "-")</f>
        <v>Std</v>
      </c>
      <c r="I39" s="539" t="str">
        <f>CHOOSE(MODE, "Std", "-")</f>
        <v>Std</v>
      </c>
      <c r="J39" s="549" t="str">
        <f>CHOOSE(MODE, CHOOSE(Q39,'Variable Mgmt'!T39,'Variable Mgmt'!T40,'Variable Mgmt'!T41), "-")</f>
        <v>1.0 x 0.5</v>
      </c>
      <c r="K39" s="547">
        <f>CHOOSE(MODE, CHOOSE(Q39,'Variable Mgmt'!U39,'Variable Mgmt'!U40,'Variable Mgmt'!U41,'Variable Mgmt'!U42,'Variable Mgmt'!U43),"-")</f>
        <v>0.5</v>
      </c>
      <c r="L39" s="551"/>
      <c r="Q39" s="558">
        <v>1</v>
      </c>
    </row>
    <row r="40" spans="1:17" s="107" customFormat="1" ht="17.100000000000001" customHeight="1" x14ac:dyDescent="0.2">
      <c r="A40" s="113">
        <v>1</v>
      </c>
      <c r="B40" s="114" t="s">
        <v>166</v>
      </c>
      <c r="C40" s="115">
        <v>10</v>
      </c>
      <c r="D40" s="582">
        <f t="shared" ref="D40" si="0">C40</f>
        <v>10</v>
      </c>
      <c r="E40" s="583"/>
      <c r="F40" s="583"/>
      <c r="G40" s="116" t="s">
        <v>157</v>
      </c>
      <c r="H40" s="117" t="s">
        <v>156</v>
      </c>
      <c r="I40" s="541" t="s">
        <v>156</v>
      </c>
      <c r="J40" s="549" t="str">
        <f>CHOOSE(Q40,'Variable Mgmt'!T39,'Variable Mgmt'!T40,'Variable Mgmt'!T41)</f>
        <v>1.0 x 0.5</v>
      </c>
      <c r="K40" s="547">
        <f>CHOOSE(Q40,'Variable Mgmt'!U39,'Variable Mgmt'!U40,'Variable Mgmt'!U41,'Variable Mgmt'!U42,'Variable Mgmt'!U43)</f>
        <v>0.5</v>
      </c>
      <c r="L40" s="551"/>
      <c r="Q40" s="558">
        <v>1</v>
      </c>
    </row>
    <row r="41" spans="1:17" s="107" customFormat="1" ht="17.100000000000001" customHeight="1" x14ac:dyDescent="0.2">
      <c r="A41" s="108" t="str">
        <f>CHOOSE(MODE_UVLO, "1", "-")</f>
        <v>-</v>
      </c>
      <c r="B41" s="109" t="s">
        <v>164</v>
      </c>
      <c r="C41" s="516" t="str">
        <f>CHOOSE(MODE_UVLO, 'Variable Mgmt'!H262, "N/A")</f>
        <v>N/A</v>
      </c>
      <c r="D41" s="584" t="str">
        <f>CHOOSE(MODE_UVLO, "Resistor, Chip, "&amp;'Variable Mgmt'!C262&amp;", 1/16W, 1%", "-")</f>
        <v>-</v>
      </c>
      <c r="E41" s="585"/>
      <c r="F41" s="585"/>
      <c r="G41" s="111" t="s">
        <v>157</v>
      </c>
      <c r="H41" s="112" t="str">
        <f t="shared" ref="H41:I43" si="1">CHOOSE(MODE_UVLO, "Std", "-")</f>
        <v>-</v>
      </c>
      <c r="I41" s="540" t="str">
        <f t="shared" si="1"/>
        <v>-</v>
      </c>
      <c r="J41" s="548" t="str">
        <f>CHOOSE(MODE_UVLO, CHOOSE(Q41,'Variable Mgmt'!T39,'Variable Mgmt'!T40,'Variable Mgmt'!T41), "-")</f>
        <v>-</v>
      </c>
      <c r="K41" s="546" t="str">
        <f>CHOOSE(MODE_UVLO, CHOOSE(Q41,'Variable Mgmt'!U39,'Variable Mgmt'!U40,'Variable Mgmt'!U41,'Variable Mgmt'!U42,'Variable Mgmt'!U43),"-")</f>
        <v>-</v>
      </c>
      <c r="L41" s="551"/>
      <c r="Q41" s="558">
        <v>1</v>
      </c>
    </row>
    <row r="42" spans="1:17" s="107" customFormat="1" ht="17.100000000000001" customHeight="1" x14ac:dyDescent="0.2">
      <c r="A42" s="108" t="str">
        <f>CHOOSE(MODE_UVLO, "1", "-")</f>
        <v>-</v>
      </c>
      <c r="B42" s="109" t="s">
        <v>165</v>
      </c>
      <c r="C42" s="516" t="str">
        <f>CHOOSE(MODE_UVLO, 'Variable Mgmt'!H263, "N/A")</f>
        <v>N/A</v>
      </c>
      <c r="D42" s="584" t="str">
        <f>CHOOSE(MODE_UVLO, "Resistor, Chip, "&amp;'Variable Mgmt'!C263&amp;", 1/16W, 1%", "-")</f>
        <v>-</v>
      </c>
      <c r="E42" s="585"/>
      <c r="F42" s="585"/>
      <c r="G42" s="111" t="s">
        <v>157</v>
      </c>
      <c r="H42" s="112" t="str">
        <f t="shared" si="1"/>
        <v>-</v>
      </c>
      <c r="I42" s="540" t="str">
        <f t="shared" si="1"/>
        <v>-</v>
      </c>
      <c r="J42" s="548" t="str">
        <f>CHOOSE(MODE_UVLO, CHOOSE(Q42,'Variable Mgmt'!T39,'Variable Mgmt'!T40,'Variable Mgmt'!T41), "-")</f>
        <v>-</v>
      </c>
      <c r="K42" s="546" t="str">
        <f>CHOOSE(MODE_UVLO, CHOOSE(Q42,'Variable Mgmt'!U39,'Variable Mgmt'!U40,'Variable Mgmt'!U41,'Variable Mgmt'!U42,'Variable Mgmt'!U43),"-")</f>
        <v>-</v>
      </c>
      <c r="L42" s="551"/>
      <c r="Q42" s="558">
        <v>1</v>
      </c>
    </row>
    <row r="43" spans="1:17" s="107" customFormat="1" ht="17.100000000000001" customHeight="1" x14ac:dyDescent="0.2">
      <c r="A43" s="108" t="str">
        <f>CHOOSE(MODE_UVLO, "1", "-")</f>
        <v>-</v>
      </c>
      <c r="B43" s="109" t="s">
        <v>548</v>
      </c>
      <c r="C43" s="516" t="str">
        <f>CHOOSE(MODE_UVLO, 'Variable Mgmt'!H264, "N/A")</f>
        <v>N/A</v>
      </c>
      <c r="D43" s="584" t="str">
        <f>CHOOSE(MODE_UVLO, "Resistor, Chip, "&amp;'Variable Mgmt'!C264&amp;", 1/16W, 1%", "-")</f>
        <v>-</v>
      </c>
      <c r="E43" s="585"/>
      <c r="F43" s="585"/>
      <c r="G43" s="111" t="s">
        <v>157</v>
      </c>
      <c r="H43" s="112" t="str">
        <f t="shared" si="1"/>
        <v>-</v>
      </c>
      <c r="I43" s="540" t="str">
        <f t="shared" si="1"/>
        <v>-</v>
      </c>
      <c r="J43" s="548" t="str">
        <f>CHOOSE(MODE_UVLO, CHOOSE(Q43,'Variable Mgmt'!T39,'Variable Mgmt'!T404,'Variable Mgmt'!T41), "-")</f>
        <v>-</v>
      </c>
      <c r="K43" s="546" t="str">
        <f>CHOOSE(MODE_UVLO, CHOOSE(Q43,'Variable Mgmt'!U39,'Variable Mgmt'!U40,'Variable Mgmt'!U41,'Variable Mgmt'!U42,'Variable Mgmt'!U43),"-")</f>
        <v>-</v>
      </c>
      <c r="L43" s="551"/>
      <c r="Q43" s="558">
        <v>1</v>
      </c>
    </row>
    <row r="44" spans="1:17" ht="17.100000000000001" customHeight="1" x14ac:dyDescent="0.2">
      <c r="A44" s="524">
        <v>1</v>
      </c>
      <c r="B44" s="529" t="s">
        <v>169</v>
      </c>
      <c r="C44" s="550" t="s">
        <v>545</v>
      </c>
      <c r="D44" s="530" t="s">
        <v>618</v>
      </c>
      <c r="E44" s="531"/>
      <c r="F44" s="532"/>
      <c r="G44" s="528" t="s">
        <v>546</v>
      </c>
      <c r="H44" s="528" t="str">
        <f>CHOOSE(MODE_VOUT, IF(Vout=5, "LM5165XQDRC", "LM5165YQDRC"), "LM5165QDRC")</f>
        <v>LM5165XQDRC</v>
      </c>
      <c r="I44" s="530" t="s">
        <v>609</v>
      </c>
      <c r="J44" s="549" t="s">
        <v>603</v>
      </c>
      <c r="K44" s="547">
        <v>9</v>
      </c>
      <c r="L44" s="527"/>
      <c r="M44" s="527"/>
      <c r="N44" s="107"/>
      <c r="Q44" s="561"/>
    </row>
    <row r="45" spans="1:17" ht="17.100000000000001" customHeight="1" x14ac:dyDescent="0.2">
      <c r="J45" s="107"/>
      <c r="K45" s="537"/>
      <c r="L45" s="527"/>
      <c r="M45" s="527"/>
      <c r="N45" s="107"/>
    </row>
    <row r="46" spans="1:17" ht="17.25" customHeight="1" x14ac:dyDescent="0.25">
      <c r="H46" s="576" t="s">
        <v>611</v>
      </c>
      <c r="I46" s="576"/>
      <c r="J46" s="576"/>
      <c r="K46" s="555">
        <f>SUM(K31:K44)*1.25</f>
        <v>46.5</v>
      </c>
      <c r="L46" s="562" t="s">
        <v>614</v>
      </c>
      <c r="M46" s="556">
        <f>K46/25.4/25.4</f>
        <v>7.2075144150288303E-2</v>
      </c>
      <c r="N46" s="562" t="s">
        <v>610</v>
      </c>
    </row>
    <row r="47" spans="1:17" ht="17.100000000000001" customHeight="1" x14ac:dyDescent="0.25">
      <c r="J47" s="542"/>
      <c r="K47" s="543"/>
      <c r="L47" s="544"/>
      <c r="M47" s="545"/>
      <c r="N47" s="544"/>
    </row>
    <row r="48" spans="1:17" ht="20.25" customHeight="1" x14ac:dyDescent="0.2">
      <c r="A48" s="536" t="s">
        <v>178</v>
      </c>
    </row>
    <row r="49" spans="1:11" x14ac:dyDescent="0.2">
      <c r="A49" s="104" t="s">
        <v>613</v>
      </c>
    </row>
    <row r="50" spans="1:11" x14ac:dyDescent="0.2">
      <c r="A50" s="104" t="s">
        <v>612</v>
      </c>
      <c r="K50" s="535"/>
    </row>
  </sheetData>
  <sheetProtection password="CCC8" sheet="1" objects="1" scenarios="1" selectLockedCells="1" selectUnlockedCells="1"/>
  <mergeCells count="15">
    <mergeCell ref="H46:J46"/>
    <mergeCell ref="D31:F31"/>
    <mergeCell ref="D30:F30"/>
    <mergeCell ref="D40:F40"/>
    <mergeCell ref="D37:F37"/>
    <mergeCell ref="D38:F38"/>
    <mergeCell ref="D36:F36"/>
    <mergeCell ref="D35:F35"/>
    <mergeCell ref="D34:F34"/>
    <mergeCell ref="D39:F39"/>
    <mergeCell ref="D41:F41"/>
    <mergeCell ref="D42:F42"/>
    <mergeCell ref="D43:F43"/>
    <mergeCell ref="D32:F32"/>
    <mergeCell ref="D33:F33"/>
  </mergeCells>
  <printOptions horizontalCentered="1"/>
  <pageMargins left="0.23" right="0.23" top="0.7" bottom="0.61" header="0.3" footer="0.5"/>
  <pageSetup scale="84" fitToHeight="2" orientation="landscape" r:id="rId1"/>
  <headerFooter alignWithMargins="0"/>
  <rowBreaks count="1" manualBreakCount="1">
    <brk id="27" max="9" man="1"/>
  </rowBreaks>
  <ignoredErrors>
    <ignoredError sqref="G39:G43 G33:G34 G36:G38" numberStoredAsText="1"/>
    <ignoredError sqref="D39 D37"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674505" r:id="rId4" name="Drop Down 713">
              <controlPr defaultSize="0" autoLine="0" autoPict="0">
                <anchor moveWithCells="1">
                  <from>
                    <xdr:col>6</xdr:col>
                    <xdr:colOff>0</xdr:colOff>
                    <xdr:row>30</xdr:row>
                    <xdr:rowOff>9525</xdr:rowOff>
                  </from>
                  <to>
                    <xdr:col>6</xdr:col>
                    <xdr:colOff>876300</xdr:colOff>
                    <xdr:row>31</xdr:row>
                    <xdr:rowOff>0</xdr:rowOff>
                  </to>
                </anchor>
              </controlPr>
            </control>
          </mc:Choice>
        </mc:AlternateContent>
        <mc:AlternateContent xmlns:mc="http://schemas.openxmlformats.org/markup-compatibility/2006">
          <mc:Choice Requires="x14">
            <control shapeId="674508" r:id="rId5" name="Drop Down 716">
              <controlPr defaultSize="0" autoLine="0" autoPict="0">
                <anchor moveWithCells="1">
                  <from>
                    <xdr:col>6</xdr:col>
                    <xdr:colOff>0</xdr:colOff>
                    <xdr:row>31</xdr:row>
                    <xdr:rowOff>9525</xdr:rowOff>
                  </from>
                  <to>
                    <xdr:col>6</xdr:col>
                    <xdr:colOff>876300</xdr:colOff>
                    <xdr:row>32</xdr:row>
                    <xdr:rowOff>0</xdr:rowOff>
                  </to>
                </anchor>
              </controlPr>
            </control>
          </mc:Choice>
        </mc:AlternateContent>
        <mc:AlternateContent xmlns:mc="http://schemas.openxmlformats.org/markup-compatibility/2006">
          <mc:Choice Requires="x14">
            <control shapeId="674527" r:id="rId6" name="Drop Down 735">
              <controlPr defaultSize="0" autoLine="0" autoPict="0">
                <anchor moveWithCells="1">
                  <from>
                    <xdr:col>6</xdr:col>
                    <xdr:colOff>0</xdr:colOff>
                    <xdr:row>35</xdr:row>
                    <xdr:rowOff>9525</xdr:rowOff>
                  </from>
                  <to>
                    <xdr:col>6</xdr:col>
                    <xdr:colOff>876300</xdr:colOff>
                    <xdr:row>36</xdr:row>
                    <xdr:rowOff>0</xdr:rowOff>
                  </to>
                </anchor>
              </controlPr>
            </control>
          </mc:Choice>
        </mc:AlternateContent>
        <mc:AlternateContent xmlns:mc="http://schemas.openxmlformats.org/markup-compatibility/2006">
          <mc:Choice Requires="x14">
            <control shapeId="674534" r:id="rId7" name="Drop Down 742">
              <controlPr defaultSize="0" autoLine="0" autoPict="0">
                <anchor moveWithCells="1">
                  <from>
                    <xdr:col>6</xdr:col>
                    <xdr:colOff>0</xdr:colOff>
                    <xdr:row>36</xdr:row>
                    <xdr:rowOff>9525</xdr:rowOff>
                  </from>
                  <to>
                    <xdr:col>6</xdr:col>
                    <xdr:colOff>876300</xdr:colOff>
                    <xdr:row>37</xdr:row>
                    <xdr:rowOff>0</xdr:rowOff>
                  </to>
                </anchor>
              </controlPr>
            </control>
          </mc:Choice>
        </mc:AlternateContent>
        <mc:AlternateContent xmlns:mc="http://schemas.openxmlformats.org/markup-compatibility/2006">
          <mc:Choice Requires="x14">
            <control shapeId="674536" r:id="rId8" name="Drop Down 744">
              <controlPr defaultSize="0" autoLine="0" autoPict="0">
                <anchor moveWithCells="1">
                  <from>
                    <xdr:col>6</xdr:col>
                    <xdr:colOff>0</xdr:colOff>
                    <xdr:row>37</xdr:row>
                    <xdr:rowOff>9525</xdr:rowOff>
                  </from>
                  <to>
                    <xdr:col>6</xdr:col>
                    <xdr:colOff>876300</xdr:colOff>
                    <xdr:row>38</xdr:row>
                    <xdr:rowOff>0</xdr:rowOff>
                  </to>
                </anchor>
              </controlPr>
            </control>
          </mc:Choice>
        </mc:AlternateContent>
        <mc:AlternateContent xmlns:mc="http://schemas.openxmlformats.org/markup-compatibility/2006">
          <mc:Choice Requires="x14">
            <control shapeId="674539" r:id="rId9" name="Drop Down 747">
              <controlPr defaultSize="0" autoLine="0" autoPict="0">
                <anchor moveWithCells="1">
                  <from>
                    <xdr:col>6</xdr:col>
                    <xdr:colOff>0</xdr:colOff>
                    <xdr:row>38</xdr:row>
                    <xdr:rowOff>9525</xdr:rowOff>
                  </from>
                  <to>
                    <xdr:col>6</xdr:col>
                    <xdr:colOff>876300</xdr:colOff>
                    <xdr:row>39</xdr:row>
                    <xdr:rowOff>0</xdr:rowOff>
                  </to>
                </anchor>
              </controlPr>
            </control>
          </mc:Choice>
        </mc:AlternateContent>
        <mc:AlternateContent xmlns:mc="http://schemas.openxmlformats.org/markup-compatibility/2006">
          <mc:Choice Requires="x14">
            <control shapeId="674540" r:id="rId10" name="Drop Down 748">
              <controlPr defaultSize="0" autoLine="0" autoPict="0">
                <anchor moveWithCells="1">
                  <from>
                    <xdr:col>6</xdr:col>
                    <xdr:colOff>0</xdr:colOff>
                    <xdr:row>39</xdr:row>
                    <xdr:rowOff>9525</xdr:rowOff>
                  </from>
                  <to>
                    <xdr:col>6</xdr:col>
                    <xdr:colOff>876300</xdr:colOff>
                    <xdr:row>40</xdr:row>
                    <xdr:rowOff>0</xdr:rowOff>
                  </to>
                </anchor>
              </controlPr>
            </control>
          </mc:Choice>
        </mc:AlternateContent>
        <mc:AlternateContent xmlns:mc="http://schemas.openxmlformats.org/markup-compatibility/2006">
          <mc:Choice Requires="x14">
            <control shapeId="674541" r:id="rId11" name="Drop Down 749">
              <controlPr defaultSize="0" autoLine="0" autoPict="0">
                <anchor moveWithCells="1">
                  <from>
                    <xdr:col>6</xdr:col>
                    <xdr:colOff>0</xdr:colOff>
                    <xdr:row>40</xdr:row>
                    <xdr:rowOff>9525</xdr:rowOff>
                  </from>
                  <to>
                    <xdr:col>6</xdr:col>
                    <xdr:colOff>876300</xdr:colOff>
                    <xdr:row>41</xdr:row>
                    <xdr:rowOff>0</xdr:rowOff>
                  </to>
                </anchor>
              </controlPr>
            </control>
          </mc:Choice>
        </mc:AlternateContent>
        <mc:AlternateContent xmlns:mc="http://schemas.openxmlformats.org/markup-compatibility/2006">
          <mc:Choice Requires="x14">
            <control shapeId="674542" r:id="rId12" name="Drop Down 750">
              <controlPr defaultSize="0" autoLine="0" autoPict="0">
                <anchor moveWithCells="1">
                  <from>
                    <xdr:col>6</xdr:col>
                    <xdr:colOff>0</xdr:colOff>
                    <xdr:row>41</xdr:row>
                    <xdr:rowOff>9525</xdr:rowOff>
                  </from>
                  <to>
                    <xdr:col>6</xdr:col>
                    <xdr:colOff>876300</xdr:colOff>
                    <xdr:row>42</xdr:row>
                    <xdr:rowOff>0</xdr:rowOff>
                  </to>
                </anchor>
              </controlPr>
            </control>
          </mc:Choice>
        </mc:AlternateContent>
        <mc:AlternateContent xmlns:mc="http://schemas.openxmlformats.org/markup-compatibility/2006">
          <mc:Choice Requires="x14">
            <control shapeId="674543" r:id="rId13" name="Drop Down 751">
              <controlPr defaultSize="0" autoLine="0" autoPict="0">
                <anchor moveWithCells="1">
                  <from>
                    <xdr:col>6</xdr:col>
                    <xdr:colOff>0</xdr:colOff>
                    <xdr:row>42</xdr:row>
                    <xdr:rowOff>9525</xdr:rowOff>
                  </from>
                  <to>
                    <xdr:col>6</xdr:col>
                    <xdr:colOff>876300</xdr:colOff>
                    <xdr:row>43</xdr:row>
                    <xdr:rowOff>0</xdr:rowOff>
                  </to>
                </anchor>
              </controlPr>
            </control>
          </mc:Choice>
        </mc:AlternateContent>
        <mc:AlternateContent xmlns:mc="http://schemas.openxmlformats.org/markup-compatibility/2006">
          <mc:Choice Requires="x14">
            <control shapeId="674544" r:id="rId14" name="Drop Down 752">
              <controlPr defaultSize="0" autoLine="0" autoPict="0">
                <anchor moveWithCells="1">
                  <from>
                    <xdr:col>6</xdr:col>
                    <xdr:colOff>0</xdr:colOff>
                    <xdr:row>34</xdr:row>
                    <xdr:rowOff>9525</xdr:rowOff>
                  </from>
                  <to>
                    <xdr:col>6</xdr:col>
                    <xdr:colOff>876300</xdr:colOff>
                    <xdr:row>35</xdr:row>
                    <xdr:rowOff>0</xdr:rowOff>
                  </to>
                </anchor>
              </controlPr>
            </control>
          </mc:Choice>
        </mc:AlternateContent>
        <mc:AlternateContent xmlns:mc="http://schemas.openxmlformats.org/markup-compatibility/2006">
          <mc:Choice Requires="x14">
            <control shapeId="674632" r:id="rId15" name="Drop Down 840">
              <controlPr defaultSize="0" autoLine="0" autoPict="0">
                <anchor moveWithCells="1">
                  <from>
                    <xdr:col>6</xdr:col>
                    <xdr:colOff>0</xdr:colOff>
                    <xdr:row>33</xdr:row>
                    <xdr:rowOff>9525</xdr:rowOff>
                  </from>
                  <to>
                    <xdr:col>6</xdr:col>
                    <xdr:colOff>876300</xdr:colOff>
                    <xdr:row>34</xdr:row>
                    <xdr:rowOff>0</xdr:rowOff>
                  </to>
                </anchor>
              </controlPr>
            </control>
          </mc:Choice>
        </mc:AlternateContent>
        <mc:AlternateContent xmlns:mc="http://schemas.openxmlformats.org/markup-compatibility/2006">
          <mc:Choice Requires="x14">
            <control shapeId="674633" r:id="rId16" name="Drop Down 841">
              <controlPr defaultSize="0" autoLine="0" autoPict="0">
                <anchor moveWithCells="1">
                  <from>
                    <xdr:col>6</xdr:col>
                    <xdr:colOff>0</xdr:colOff>
                    <xdr:row>32</xdr:row>
                    <xdr:rowOff>9525</xdr:rowOff>
                  </from>
                  <to>
                    <xdr:col>6</xdr:col>
                    <xdr:colOff>876300</xdr:colOff>
                    <xdr:row>33</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tabColor rgb="FF7030A0"/>
    <pageSetUpPr fitToPage="1"/>
  </sheetPr>
  <dimension ref="A1:Q6"/>
  <sheetViews>
    <sheetView zoomScale="70" zoomScaleNormal="70" workbookViewId="0">
      <selection activeCell="AG50" sqref="AG50"/>
    </sheetView>
  </sheetViews>
  <sheetFormatPr defaultColWidth="9.140625" defaultRowHeight="12.75" x14ac:dyDescent="0.2"/>
  <cols>
    <col min="1" max="13" width="9.140625" style="69"/>
    <col min="14" max="14" width="11.85546875" style="69" customWidth="1"/>
    <col min="15" max="16" width="9.140625" style="69"/>
    <col min="17" max="17" width="15.7109375" style="69" customWidth="1"/>
    <col min="18" max="16384" width="9.140625" style="69"/>
  </cols>
  <sheetData>
    <row r="1" spans="1:17" s="62" customFormat="1" ht="47.25" customHeight="1" x14ac:dyDescent="0.2">
      <c r="A1" s="592" t="s">
        <v>626</v>
      </c>
      <c r="B1" s="593"/>
      <c r="C1" s="593"/>
      <c r="D1" s="593"/>
      <c r="E1" s="593"/>
      <c r="F1" s="593"/>
      <c r="G1" s="593"/>
      <c r="H1" s="593"/>
      <c r="I1" s="593"/>
      <c r="J1" s="593"/>
      <c r="K1" s="593"/>
      <c r="L1" s="593"/>
      <c r="M1" s="593"/>
      <c r="N1" s="593"/>
      <c r="O1" s="593"/>
      <c r="P1" s="593"/>
      <c r="Q1" s="593"/>
    </row>
    <row r="6" spans="1:17" ht="20.25" x14ac:dyDescent="0.3">
      <c r="B6" s="70" t="s">
        <v>579</v>
      </c>
      <c r="N6" s="70" t="s">
        <v>580</v>
      </c>
    </row>
  </sheetData>
  <sheetProtection password="CCC8" sheet="1" objects="1" scenarios="1"/>
  <mergeCells count="1">
    <mergeCell ref="A1:Q1"/>
  </mergeCells>
  <pageMargins left="0.19" right="0.2" top="0.75" bottom="0.75" header="0.3" footer="0.3"/>
  <pageSetup scale="50"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0000FF"/>
  </sheetPr>
  <dimension ref="A1:U305"/>
  <sheetViews>
    <sheetView workbookViewId="0">
      <pane ySplit="5" topLeftCell="A81" activePane="bottomLeft" state="frozenSplit"/>
      <selection pane="bottomLeft" activeCell="B111" sqref="B111"/>
    </sheetView>
  </sheetViews>
  <sheetFormatPr defaultRowHeight="12.75" x14ac:dyDescent="0.2"/>
  <cols>
    <col min="1" max="1" width="40.42578125" customWidth="1"/>
    <col min="2" max="2" width="11.85546875" customWidth="1"/>
    <col min="3" max="3" width="9.42578125" style="3" customWidth="1"/>
    <col min="4" max="4" width="10.28515625" customWidth="1"/>
    <col min="5" max="5" width="11.5703125" customWidth="1"/>
    <col min="6" max="6" width="14.85546875" customWidth="1"/>
    <col min="7" max="7" width="12.42578125" bestFit="1" customWidth="1"/>
    <col min="8" max="8" width="20.140625" customWidth="1"/>
    <col min="9" max="9" width="14.42578125" customWidth="1"/>
    <col min="10" max="10" width="12.42578125" bestFit="1" customWidth="1"/>
    <col min="11" max="11" width="12" customWidth="1"/>
    <col min="12" max="12" width="8.85546875" customWidth="1"/>
    <col min="13" max="13" width="7" customWidth="1"/>
    <col min="14" max="14" width="9.28515625" customWidth="1"/>
    <col min="16" max="16" width="7.140625" customWidth="1"/>
    <col min="17" max="17" width="11" customWidth="1"/>
    <col min="18" max="18" width="12.140625" customWidth="1"/>
    <col min="19" max="19" width="5.42578125" customWidth="1"/>
    <col min="20" max="20" width="16.28515625" customWidth="1"/>
  </cols>
  <sheetData>
    <row r="1" spans="1:12" ht="30.75" customHeight="1" x14ac:dyDescent="0.4">
      <c r="A1" s="595" t="s">
        <v>235</v>
      </c>
      <c r="B1" s="595"/>
      <c r="C1" s="595"/>
      <c r="D1" s="595"/>
      <c r="E1" s="595"/>
      <c r="F1" s="595"/>
      <c r="G1" s="595"/>
      <c r="H1" s="595"/>
      <c r="I1" s="595"/>
    </row>
    <row r="2" spans="1:12" ht="12" customHeight="1" x14ac:dyDescent="0.2">
      <c r="A2" s="14"/>
      <c r="B2" s="14" t="s">
        <v>109</v>
      </c>
      <c r="C2" s="15"/>
      <c r="E2" s="14"/>
      <c r="F2" s="14"/>
      <c r="G2" s="14"/>
      <c r="H2" s="14"/>
      <c r="I2" s="14"/>
    </row>
    <row r="3" spans="1:12" ht="11.25" customHeight="1" x14ac:dyDescent="0.2">
      <c r="A3" s="14"/>
      <c r="B3" s="14" t="s">
        <v>134</v>
      </c>
      <c r="C3" s="16"/>
      <c r="E3" s="14"/>
      <c r="F3" s="14"/>
      <c r="G3" s="14"/>
      <c r="H3" s="14"/>
      <c r="I3" s="14"/>
    </row>
    <row r="4" spans="1:12" ht="11.25" customHeight="1" x14ac:dyDescent="0.2">
      <c r="A4" s="14"/>
      <c r="B4" s="14" t="s">
        <v>110</v>
      </c>
      <c r="C4" s="17"/>
      <c r="E4" s="14"/>
      <c r="F4" s="14"/>
      <c r="G4" s="14"/>
      <c r="H4" s="14"/>
      <c r="I4" s="14"/>
    </row>
    <row r="5" spans="1:12" x14ac:dyDescent="0.2">
      <c r="A5" s="3" t="s">
        <v>29</v>
      </c>
      <c r="B5" s="3" t="s">
        <v>8</v>
      </c>
      <c r="C5" s="3" t="s">
        <v>9</v>
      </c>
      <c r="E5" s="594" t="s">
        <v>12</v>
      </c>
      <c r="F5" s="594"/>
      <c r="G5" s="594"/>
      <c r="H5" s="594"/>
      <c r="I5" s="3" t="s">
        <v>238</v>
      </c>
    </row>
    <row r="6" spans="1:12" ht="16.5" thickBot="1" x14ac:dyDescent="0.3">
      <c r="A6" s="41" t="s">
        <v>81</v>
      </c>
      <c r="B6" s="3"/>
      <c r="D6" s="3"/>
      <c r="E6" s="14"/>
      <c r="F6" s="14"/>
      <c r="G6" s="14"/>
      <c r="H6" s="14"/>
      <c r="I6" s="3"/>
    </row>
    <row r="7" spans="1:12" x14ac:dyDescent="0.2">
      <c r="A7" s="100" t="s">
        <v>189</v>
      </c>
      <c r="B7" s="7">
        <f>'Design Regulator'!E6</f>
        <v>30</v>
      </c>
      <c r="C7" s="26" t="s">
        <v>0</v>
      </c>
      <c r="D7" s="65" t="s">
        <v>190</v>
      </c>
      <c r="E7" s="26"/>
      <c r="F7" s="26"/>
      <c r="G7" s="26"/>
      <c r="H7" s="26"/>
      <c r="I7" s="27">
        <v>1</v>
      </c>
    </row>
    <row r="8" spans="1:12" x14ac:dyDescent="0.2">
      <c r="A8" s="101" t="s">
        <v>187</v>
      </c>
      <c r="B8" s="8">
        <f>'Design Regulator'!E7</f>
        <v>43</v>
      </c>
      <c r="C8" t="s">
        <v>0</v>
      </c>
      <c r="D8" t="s">
        <v>13</v>
      </c>
      <c r="I8" s="20"/>
    </row>
    <row r="9" spans="1:12" x14ac:dyDescent="0.2">
      <c r="A9" s="101" t="s">
        <v>188</v>
      </c>
      <c r="B9" s="8">
        <f>'Design Regulator'!E8</f>
        <v>50</v>
      </c>
      <c r="C9" t="s">
        <v>0</v>
      </c>
      <c r="D9" s="63" t="s">
        <v>191</v>
      </c>
      <c r="I9" s="20"/>
    </row>
    <row r="10" spans="1:12" x14ac:dyDescent="0.2">
      <c r="A10" s="101"/>
      <c r="B10" s="217"/>
      <c r="C10"/>
      <c r="D10" s="63"/>
      <c r="I10" s="20"/>
    </row>
    <row r="11" spans="1:12" x14ac:dyDescent="0.2">
      <c r="A11" s="19" t="s">
        <v>5</v>
      </c>
      <c r="B11" s="8">
        <f>'Design Regulator'!E9</f>
        <v>5</v>
      </c>
      <c r="C11" t="s">
        <v>0</v>
      </c>
      <c r="D11" t="s">
        <v>1</v>
      </c>
      <c r="I11" s="20">
        <v>1</v>
      </c>
    </row>
    <row r="12" spans="1:12" x14ac:dyDescent="0.2">
      <c r="A12" s="19" t="s">
        <v>6</v>
      </c>
      <c r="B12" s="221">
        <f>'Design Regulator'!E10/1000</f>
        <v>0.15</v>
      </c>
      <c r="C12" s="63" t="s">
        <v>2</v>
      </c>
      <c r="D12" s="63" t="s">
        <v>192</v>
      </c>
      <c r="I12" s="20">
        <v>1</v>
      </c>
      <c r="L12" s="63"/>
    </row>
    <row r="13" spans="1:12" x14ac:dyDescent="0.2">
      <c r="A13" s="101" t="s">
        <v>232</v>
      </c>
      <c r="B13" s="153">
        <f>Vout/Iout</f>
        <v>33.333333333333336</v>
      </c>
      <c r="C13" s="103" t="s">
        <v>64</v>
      </c>
      <c r="D13" s="63" t="s">
        <v>233</v>
      </c>
      <c r="I13" s="20"/>
    </row>
    <row r="14" spans="1:12" x14ac:dyDescent="0.2">
      <c r="A14" s="101" t="s">
        <v>203</v>
      </c>
      <c r="B14" s="164">
        <f>Vout*Iout</f>
        <v>0.75</v>
      </c>
      <c r="C14" t="s">
        <v>64</v>
      </c>
      <c r="D14" s="63" t="s">
        <v>221</v>
      </c>
      <c r="I14" s="20"/>
      <c r="L14" s="63"/>
    </row>
    <row r="15" spans="1:12" x14ac:dyDescent="0.2">
      <c r="A15" s="101"/>
      <c r="B15" s="5"/>
      <c r="C15"/>
      <c r="D15" s="63"/>
      <c r="I15" s="20"/>
    </row>
    <row r="16" spans="1:12" x14ac:dyDescent="0.2">
      <c r="A16" s="101" t="s">
        <v>67</v>
      </c>
      <c r="B16" s="197">
        <v>0.9</v>
      </c>
      <c r="C16"/>
      <c r="D16" s="63" t="s">
        <v>240</v>
      </c>
      <c r="I16" s="20"/>
    </row>
    <row r="17" spans="1:19" x14ac:dyDescent="0.2">
      <c r="A17" s="101" t="s">
        <v>207</v>
      </c>
      <c r="B17" s="164">
        <f>Pout/Efficiency</f>
        <v>0.83333333333333326</v>
      </c>
      <c r="C17" t="s">
        <v>64</v>
      </c>
      <c r="D17" s="63" t="s">
        <v>220</v>
      </c>
      <c r="I17" s="20"/>
    </row>
    <row r="18" spans="1:19" x14ac:dyDescent="0.2">
      <c r="A18" s="101" t="s">
        <v>204</v>
      </c>
      <c r="B18" s="164">
        <f>Pin/VIN_min</f>
        <v>2.7777777777777776E-2</v>
      </c>
      <c r="C18" t="s">
        <v>2</v>
      </c>
      <c r="D18" s="63"/>
      <c r="I18" s="20"/>
    </row>
    <row r="19" spans="1:19" x14ac:dyDescent="0.2">
      <c r="A19" s="101" t="s">
        <v>205</v>
      </c>
      <c r="B19" s="164">
        <f>Pin/VIN_nom</f>
        <v>1.937984496124031E-2</v>
      </c>
      <c r="C19" t="s">
        <v>2</v>
      </c>
      <c r="D19" s="63" t="s">
        <v>222</v>
      </c>
      <c r="I19" s="20"/>
    </row>
    <row r="20" spans="1:19" x14ac:dyDescent="0.2">
      <c r="A20" s="101" t="s">
        <v>206</v>
      </c>
      <c r="B20" s="164">
        <f>Pin/VIN_max</f>
        <v>1.6666666666666666E-2</v>
      </c>
      <c r="C20" t="s">
        <v>2</v>
      </c>
      <c r="D20" s="63"/>
      <c r="I20" s="20"/>
    </row>
    <row r="21" spans="1:19" x14ac:dyDescent="0.2">
      <c r="A21" s="101"/>
      <c r="C21"/>
      <c r="D21" s="63"/>
      <c r="I21" s="20"/>
    </row>
    <row r="22" spans="1:19" x14ac:dyDescent="0.2">
      <c r="A22" s="21" t="s">
        <v>7</v>
      </c>
      <c r="B22" s="124">
        <f>'Design Regulator'!E12*1000</f>
        <v>250000</v>
      </c>
      <c r="C22" s="63" t="s">
        <v>10</v>
      </c>
      <c r="D22" s="63" t="s">
        <v>193</v>
      </c>
      <c r="I22" s="20">
        <v>1</v>
      </c>
    </row>
    <row r="23" spans="1:19" x14ac:dyDescent="0.2">
      <c r="A23" s="21" t="s">
        <v>27</v>
      </c>
      <c r="B23" s="22">
        <v>1.2230000000000001</v>
      </c>
      <c r="C23" t="s">
        <v>0</v>
      </c>
      <c r="D23" t="s">
        <v>28</v>
      </c>
      <c r="I23" s="20"/>
    </row>
    <row r="24" spans="1:19" x14ac:dyDescent="0.2">
      <c r="A24" s="101" t="s">
        <v>181</v>
      </c>
      <c r="B24" s="165">
        <f>'COT Efficiency'!$D$11</f>
        <v>125000</v>
      </c>
      <c r="C24" s="103" t="s">
        <v>64</v>
      </c>
      <c r="D24" t="s">
        <v>223</v>
      </c>
      <c r="I24" s="20"/>
    </row>
    <row r="25" spans="1:19" x14ac:dyDescent="0.2">
      <c r="A25" s="101"/>
      <c r="B25" s="398"/>
      <c r="C25" s="103"/>
      <c r="I25" s="20"/>
      <c r="K25" t="str">
        <f>B33&amp;"_"&amp;F33&amp;"_"&amp;F37&amp;"_"&amp;I38&amp;"_"&amp;I33</f>
        <v>COT_VOUTfixed_UVLOInt_SSAdj_IlimGND</v>
      </c>
    </row>
    <row r="26" spans="1:19" x14ac:dyDescent="0.2">
      <c r="A26" s="101" t="s">
        <v>464</v>
      </c>
      <c r="B26" s="399" t="e">
        <f>IF(MODE=1, 'COT Efficiency'!AT106, 'PFM Efficiency'!AR106)</f>
        <v>#NAME?</v>
      </c>
      <c r="C26" s="63" t="s">
        <v>64</v>
      </c>
      <c r="I26" s="20"/>
    </row>
    <row r="27" spans="1:19" ht="13.5" thickBot="1" x14ac:dyDescent="0.25">
      <c r="A27" s="23"/>
      <c r="B27" s="24"/>
      <c r="C27" s="66"/>
      <c r="D27" s="24"/>
      <c r="E27" s="24"/>
      <c r="F27" s="24"/>
      <c r="G27" s="24"/>
      <c r="H27" s="24"/>
      <c r="I27" s="25"/>
      <c r="K27" s="497" t="str">
        <f>"SCH_"&amp;B33&amp;"_"&amp;F33&amp;"_"&amp;F37&amp;"_"&amp;I38&amp;"_"&amp;I33</f>
        <v>SCH_COT_VOUTfixed_UVLOInt_SSAdj_IlimGND</v>
      </c>
    </row>
    <row r="29" spans="1:19" ht="16.5" thickBot="1" x14ac:dyDescent="0.3">
      <c r="A29" s="41" t="s">
        <v>539</v>
      </c>
    </row>
    <row r="30" spans="1:19" ht="15.75" x14ac:dyDescent="0.25">
      <c r="A30" s="409"/>
      <c r="B30" s="410"/>
      <c r="C30" s="411"/>
      <c r="D30" s="410"/>
      <c r="E30" s="410"/>
      <c r="F30" s="410"/>
      <c r="G30" s="410"/>
      <c r="H30" s="410"/>
      <c r="I30" s="487"/>
      <c r="J30" s="487"/>
      <c r="K30" s="487"/>
      <c r="L30" s="487"/>
      <c r="M30" s="487"/>
      <c r="N30" s="487"/>
      <c r="O30" s="19"/>
    </row>
    <row r="31" spans="1:19" x14ac:dyDescent="0.2">
      <c r="A31" s="157" t="s">
        <v>540</v>
      </c>
      <c r="B31" s="63" t="s">
        <v>267</v>
      </c>
      <c r="C31" s="488">
        <v>1</v>
      </c>
      <c r="E31" s="406" t="s">
        <v>477</v>
      </c>
      <c r="F31" s="63" t="s">
        <v>476</v>
      </c>
      <c r="G31" s="160">
        <v>1</v>
      </c>
      <c r="I31" s="154" t="s">
        <v>485</v>
      </c>
      <c r="J31" s="160">
        <v>1</v>
      </c>
      <c r="K31" t="str">
        <f>B33&amp;", "&amp;F33&amp;", "&amp;I33&amp;", "&amp;F37&amp;", "&amp;I38</f>
        <v>COT, VOUTfixed, IlimGND, UVLOInt, SSAdj</v>
      </c>
      <c r="O31" s="19"/>
      <c r="Q31" s="154" t="s">
        <v>565</v>
      </c>
      <c r="R31" s="3" t="s">
        <v>560</v>
      </c>
      <c r="S31" s="64">
        <v>1</v>
      </c>
    </row>
    <row r="32" spans="1:19" x14ac:dyDescent="0.2">
      <c r="A32" s="405"/>
      <c r="B32" s="63" t="s">
        <v>275</v>
      </c>
      <c r="C32" s="488">
        <v>2</v>
      </c>
      <c r="E32" s="11"/>
      <c r="F32" s="63" t="s">
        <v>277</v>
      </c>
      <c r="G32" s="160">
        <v>2</v>
      </c>
      <c r="I32" s="154" t="s">
        <v>486</v>
      </c>
      <c r="J32" s="160">
        <v>2</v>
      </c>
      <c r="K32" t="str">
        <f>C33&amp;", "&amp;G33&amp;", "&amp;J33&amp;", "&amp;G37&amp;", "&amp;J38</f>
        <v>1, 1, 1, 2, 1</v>
      </c>
      <c r="O32" s="19"/>
      <c r="Q32" s="154" t="s">
        <v>567</v>
      </c>
      <c r="R32" s="3" t="s">
        <v>561</v>
      </c>
      <c r="S32" s="64">
        <v>2</v>
      </c>
    </row>
    <row r="33" spans="1:21" x14ac:dyDescent="0.2">
      <c r="A33" s="493" t="s">
        <v>442</v>
      </c>
      <c r="B33" s="492" t="str">
        <f>CHOOSE(C33, "COT", "PFM")</f>
        <v>COT</v>
      </c>
      <c r="C33" s="407">
        <v>1</v>
      </c>
      <c r="E33" s="495" t="s">
        <v>475</v>
      </c>
      <c r="F33" s="408" t="str">
        <f>CHOOSE(G33, "VOUTfixed", "VOUTAdj")</f>
        <v>VOUTfixed</v>
      </c>
      <c r="G33" s="403">
        <f>IF(OR(Vout=3.3,Vout=5),1,2)</f>
        <v>1</v>
      </c>
      <c r="H33" s="496" t="s">
        <v>484</v>
      </c>
      <c r="I33" s="408" t="str">
        <f>CHOOSE(J33, "IlimGND", "IlimRes")</f>
        <v>IlimGND</v>
      </c>
      <c r="J33" s="403">
        <f>IF(C39=4, 1, 2)</f>
        <v>1</v>
      </c>
      <c r="K33" t="str">
        <f>C33&amp;G33&amp;J33&amp;G37&amp;J38</f>
        <v>11121</v>
      </c>
      <c r="O33" s="19"/>
      <c r="Q33" s="154" t="s">
        <v>568</v>
      </c>
      <c r="R33" s="3" t="s">
        <v>562</v>
      </c>
      <c r="S33" s="64">
        <v>3</v>
      </c>
    </row>
    <row r="34" spans="1:21" x14ac:dyDescent="0.2">
      <c r="A34" s="405"/>
      <c r="B34" s="3"/>
      <c r="C34" s="64"/>
      <c r="G34" s="64"/>
      <c r="I34" s="403"/>
      <c r="O34" s="19"/>
      <c r="Q34" s="154" t="s">
        <v>566</v>
      </c>
      <c r="R34" s="3" t="s">
        <v>563</v>
      </c>
      <c r="S34" s="64">
        <v>4</v>
      </c>
    </row>
    <row r="35" spans="1:21" x14ac:dyDescent="0.2">
      <c r="A35" s="412" t="s">
        <v>278</v>
      </c>
      <c r="B35" s="63" t="s">
        <v>279</v>
      </c>
      <c r="C35" s="488">
        <v>1</v>
      </c>
      <c r="E35" s="157" t="s">
        <v>541</v>
      </c>
      <c r="F35" s="154" t="s">
        <v>277</v>
      </c>
      <c r="G35" s="160">
        <v>1</v>
      </c>
      <c r="H35" s="157" t="s">
        <v>478</v>
      </c>
      <c r="I35" s="63" t="s">
        <v>277</v>
      </c>
      <c r="J35" s="160">
        <v>1</v>
      </c>
      <c r="O35" s="19"/>
      <c r="Q35" s="154" t="s">
        <v>570</v>
      </c>
      <c r="R35" s="3" t="s">
        <v>569</v>
      </c>
      <c r="S35" s="64">
        <v>5</v>
      </c>
    </row>
    <row r="36" spans="1:21" x14ac:dyDescent="0.2">
      <c r="A36" s="413"/>
      <c r="B36" s="63" t="s">
        <v>280</v>
      </c>
      <c r="C36" s="488">
        <v>2</v>
      </c>
      <c r="F36" s="154" t="s">
        <v>494</v>
      </c>
      <c r="G36" s="160">
        <v>2</v>
      </c>
      <c r="H36" s="11"/>
      <c r="I36" s="63" t="s">
        <v>585</v>
      </c>
      <c r="J36" s="160">
        <v>2</v>
      </c>
      <c r="L36" s="154" t="s">
        <v>537</v>
      </c>
      <c r="M36" s="160">
        <v>1</v>
      </c>
      <c r="O36" s="19"/>
      <c r="Q36" s="496" t="s">
        <v>564</v>
      </c>
      <c r="R36" s="188" t="str">
        <f>CHOOSE(S36,"6.3V","10V","16V","25V","50V")</f>
        <v>6.3V</v>
      </c>
      <c r="S36" s="403">
        <f>IF(Vout&lt;=5, 1, IF(Vout&lt;=8, 2, IF(Vout&lt;=12, 3, IF(Vout&lt;=20, 4, 5))))</f>
        <v>1</v>
      </c>
    </row>
    <row r="37" spans="1:21" x14ac:dyDescent="0.2">
      <c r="A37" s="413"/>
      <c r="B37" s="63" t="s">
        <v>281</v>
      </c>
      <c r="C37" s="488">
        <v>3</v>
      </c>
      <c r="E37" s="496" t="s">
        <v>495</v>
      </c>
      <c r="F37" s="408" t="str">
        <f>CHOOSE(G37, "UVLOAdj", "UVLOInt")</f>
        <v>UVLOInt</v>
      </c>
      <c r="G37" s="403">
        <v>2</v>
      </c>
      <c r="H37" s="11"/>
      <c r="I37" s="63" t="s">
        <v>450</v>
      </c>
      <c r="J37" s="160">
        <v>3</v>
      </c>
      <c r="L37" s="154" t="s">
        <v>538</v>
      </c>
      <c r="M37" s="160">
        <v>2</v>
      </c>
      <c r="O37" s="19"/>
    </row>
    <row r="38" spans="1:21" x14ac:dyDescent="0.2">
      <c r="A38" s="413"/>
      <c r="B38" s="63" t="s">
        <v>282</v>
      </c>
      <c r="C38" s="488">
        <v>4</v>
      </c>
      <c r="H38" s="496" t="s">
        <v>453</v>
      </c>
      <c r="I38" s="408" t="str">
        <f>CHOOSE(J38, "SSAdj", "SSfix", "SSno")</f>
        <v>SSAdj</v>
      </c>
      <c r="J38" s="403">
        <v>1</v>
      </c>
      <c r="L38" s="404" t="s">
        <v>481</v>
      </c>
      <c r="M38" s="403">
        <v>1</v>
      </c>
      <c r="O38" s="19"/>
    </row>
    <row r="39" spans="1:21" x14ac:dyDescent="0.2">
      <c r="A39" s="494" t="s">
        <v>452</v>
      </c>
      <c r="B39" s="492">
        <f>CHOOSE(C39, 60.1,120.1,180.1, 240.1)</f>
        <v>240.1</v>
      </c>
      <c r="C39" s="407">
        <v>4</v>
      </c>
      <c r="L39" s="490"/>
      <c r="M39" s="491"/>
      <c r="O39" s="19"/>
      <c r="R39" s="523" t="s">
        <v>586</v>
      </c>
      <c r="S39" s="64">
        <v>1</v>
      </c>
      <c r="T39" s="63" t="s">
        <v>593</v>
      </c>
      <c r="U39" s="169">
        <v>0.5</v>
      </c>
    </row>
    <row r="40" spans="1:21" ht="13.5" thickBot="1" x14ac:dyDescent="0.25">
      <c r="A40" s="23"/>
      <c r="B40" s="24"/>
      <c r="C40" s="159"/>
      <c r="D40" s="24"/>
      <c r="E40" s="24"/>
      <c r="F40" s="24"/>
      <c r="G40" s="24"/>
      <c r="H40" s="24"/>
      <c r="I40" s="24"/>
      <c r="J40" s="24"/>
      <c r="K40" s="24"/>
      <c r="L40" s="24"/>
      <c r="M40" s="24"/>
      <c r="N40" s="24"/>
      <c r="O40" s="19"/>
      <c r="R40" s="523" t="s">
        <v>157</v>
      </c>
      <c r="S40" s="64">
        <v>2</v>
      </c>
      <c r="T40" s="63" t="s">
        <v>600</v>
      </c>
      <c r="U40" s="169">
        <v>1.3</v>
      </c>
    </row>
    <row r="41" spans="1:21" x14ac:dyDescent="0.2">
      <c r="R41" s="523" t="s">
        <v>587</v>
      </c>
      <c r="S41" s="64">
        <v>3</v>
      </c>
      <c r="T41" s="63" t="s">
        <v>601</v>
      </c>
      <c r="U41" s="169">
        <v>2.5</v>
      </c>
    </row>
    <row r="42" spans="1:21" ht="16.5" thickBot="1" x14ac:dyDescent="0.3">
      <c r="A42" s="41" t="s">
        <v>479</v>
      </c>
      <c r="B42" s="3"/>
      <c r="R42" s="523" t="s">
        <v>588</v>
      </c>
      <c r="S42" s="64">
        <v>4</v>
      </c>
      <c r="T42" s="63" t="s">
        <v>599</v>
      </c>
      <c r="U42" s="169">
        <v>5.0999999999999996</v>
      </c>
    </row>
    <row r="43" spans="1:21" x14ac:dyDescent="0.2">
      <c r="A43" s="100" t="s">
        <v>14</v>
      </c>
      <c r="B43" s="148">
        <f>Vout/VIN_nom</f>
        <v>0.11627906976744186</v>
      </c>
      <c r="C43" s="163">
        <f>(Vout-VIN_nom)/Vout</f>
        <v>-7.6</v>
      </c>
      <c r="D43" s="152"/>
      <c r="E43" s="65" t="s">
        <v>196</v>
      </c>
      <c r="F43" s="26"/>
      <c r="G43" s="26"/>
      <c r="H43" s="26"/>
      <c r="I43" s="27">
        <v>1</v>
      </c>
      <c r="R43" s="523" t="s">
        <v>589</v>
      </c>
      <c r="S43" s="64">
        <v>5</v>
      </c>
      <c r="T43" s="63" t="s">
        <v>602</v>
      </c>
      <c r="U43" s="169">
        <v>8</v>
      </c>
    </row>
    <row r="44" spans="1:21" x14ac:dyDescent="0.2">
      <c r="A44" s="101" t="s">
        <v>15</v>
      </c>
      <c r="B44" s="149">
        <f>1-43:43</f>
        <v>0.88372093023255816</v>
      </c>
      <c r="C44"/>
      <c r="E44" s="63" t="s">
        <v>197</v>
      </c>
      <c r="I44" s="20">
        <v>1</v>
      </c>
      <c r="Q44" s="496" t="s">
        <v>590</v>
      </c>
      <c r="R44" s="188" t="str">
        <f>CHOOSE(S44,"0402","0603","0805","1206","1210")</f>
        <v>1210</v>
      </c>
      <c r="S44" s="403">
        <v>5</v>
      </c>
      <c r="T44" s="188" t="str">
        <f>CHOOSE(S44,T39,T40, T41,T42,T43)</f>
        <v>3.2 x 2.5</v>
      </c>
    </row>
    <row r="45" spans="1:21" x14ac:dyDescent="0.2">
      <c r="A45" s="63"/>
      <c r="C45"/>
      <c r="E45" s="63"/>
      <c r="I45" s="20"/>
    </row>
    <row r="46" spans="1:21" x14ac:dyDescent="0.2">
      <c r="A46" s="101" t="s">
        <v>198</v>
      </c>
      <c r="B46" s="161">
        <f>Vout/VIN_min</f>
        <v>0.16666666666666666</v>
      </c>
      <c r="C46" t="str">
        <f>IF(VIN_min&gt;Vout, "BUCK", "BOOST")</f>
        <v>BUCK</v>
      </c>
      <c r="E46" s="63"/>
      <c r="I46" s="20"/>
    </row>
    <row r="47" spans="1:21" x14ac:dyDescent="0.2">
      <c r="A47" s="101" t="s">
        <v>213</v>
      </c>
      <c r="B47" s="161">
        <f>Vout/VIN_nom</f>
        <v>0.11627906976744186</v>
      </c>
      <c r="C47" t="str">
        <f>IF(VIN_nom&gt;Vout, "BUCK", "BOOST")</f>
        <v>BUCK</v>
      </c>
      <c r="I47" s="20"/>
    </row>
    <row r="48" spans="1:21" x14ac:dyDescent="0.2">
      <c r="A48" s="101" t="s">
        <v>199</v>
      </c>
      <c r="B48" s="161">
        <f>Vout/VIN_max</f>
        <v>0.1</v>
      </c>
      <c r="C48" t="str">
        <f>IF(VIN_max&gt;Vout, "BUCK", "BOOST")</f>
        <v>BUCK</v>
      </c>
      <c r="E48" s="63"/>
      <c r="I48" s="20"/>
      <c r="R48" s="63" t="s">
        <v>591</v>
      </c>
      <c r="S48" s="64">
        <v>1</v>
      </c>
      <c r="T48" s="418" t="s">
        <v>603</v>
      </c>
      <c r="U48" s="169">
        <v>9</v>
      </c>
    </row>
    <row r="49" spans="1:21" x14ac:dyDescent="0.2">
      <c r="A49" s="63"/>
      <c r="C49"/>
      <c r="E49" s="63"/>
      <c r="I49" s="20"/>
      <c r="R49" s="63" t="s">
        <v>594</v>
      </c>
      <c r="S49" s="64">
        <v>2</v>
      </c>
      <c r="T49" s="418" t="s">
        <v>604</v>
      </c>
      <c r="U49" s="169">
        <v>16</v>
      </c>
    </row>
    <row r="50" spans="1:21" x14ac:dyDescent="0.2">
      <c r="A50" s="101" t="s">
        <v>200</v>
      </c>
      <c r="B50" s="151">
        <f>(VIN_min-Vout)*Don_Vinmin/(Fsw*Iout*0.4)</f>
        <v>2.7777777777777772E-4</v>
      </c>
      <c r="C50" s="63" t="s">
        <v>18</v>
      </c>
      <c r="D50" s="63" t="s">
        <v>267</v>
      </c>
      <c r="I50" s="20"/>
      <c r="R50" s="63" t="s">
        <v>595</v>
      </c>
      <c r="S50" s="64">
        <v>3</v>
      </c>
      <c r="T50" s="418" t="s">
        <v>605</v>
      </c>
      <c r="U50" s="169">
        <v>25</v>
      </c>
    </row>
    <row r="51" spans="1:21" x14ac:dyDescent="0.2">
      <c r="A51" s="101" t="s">
        <v>211</v>
      </c>
      <c r="B51" s="151">
        <f>(VIN_nom-Vout)*Don_Vinnom/(Fsw*Iout*0.4)</f>
        <v>2.9457364341085271E-4</v>
      </c>
      <c r="C51" t="s">
        <v>18</v>
      </c>
      <c r="D51" s="63" t="s">
        <v>267</v>
      </c>
      <c r="I51" s="20">
        <v>1</v>
      </c>
      <c r="R51" s="63" t="s">
        <v>596</v>
      </c>
      <c r="S51" s="64">
        <v>4</v>
      </c>
      <c r="T51" s="418" t="s">
        <v>607</v>
      </c>
      <c r="U51" s="169">
        <v>36</v>
      </c>
    </row>
    <row r="52" spans="1:21" x14ac:dyDescent="0.2">
      <c r="A52" s="101" t="s">
        <v>201</v>
      </c>
      <c r="B52" s="151">
        <f>(VIN_max-Vout)*Don_Vinmax/(Fsw*Iout*0.7)</f>
        <v>1.7142857142857143E-4</v>
      </c>
      <c r="C52" s="63" t="s">
        <v>18</v>
      </c>
      <c r="D52" s="63" t="s">
        <v>267</v>
      </c>
      <c r="I52" s="20"/>
      <c r="R52" s="63" t="s">
        <v>597</v>
      </c>
      <c r="S52" s="64">
        <v>5</v>
      </c>
      <c r="T52" s="418" t="s">
        <v>606</v>
      </c>
      <c r="U52" s="169">
        <v>49</v>
      </c>
    </row>
    <row r="53" spans="1:21" x14ac:dyDescent="0.2">
      <c r="A53" s="63"/>
      <c r="C53"/>
      <c r="I53" s="20"/>
      <c r="Q53" s="496" t="s">
        <v>598</v>
      </c>
    </row>
    <row r="54" spans="1:21" x14ac:dyDescent="0.2">
      <c r="A54" s="63" t="s">
        <v>506</v>
      </c>
      <c r="B54" s="150">
        <f>(VIN_min-Vout)*Don_Vinmin/(Fsw*Iout*0.3)</f>
        <v>3.703703703703703E-4</v>
      </c>
      <c r="C54" s="63" t="s">
        <v>18</v>
      </c>
      <c r="D54" s="63" t="s">
        <v>267</v>
      </c>
      <c r="E54" s="63" t="s">
        <v>445</v>
      </c>
      <c r="I54" s="20"/>
    </row>
    <row r="55" spans="1:21" ht="15.75" x14ac:dyDescent="0.3">
      <c r="A55" s="63" t="s">
        <v>507</v>
      </c>
      <c r="B55" s="150">
        <f>(VIN_nom-Vout)*Don_Vinnom/(Fsw*Iout*0.5)</f>
        <v>2.3565891472868218E-4</v>
      </c>
      <c r="C55" t="s">
        <v>18</v>
      </c>
      <c r="D55" s="63" t="s">
        <v>267</v>
      </c>
      <c r="E55" s="63" t="s">
        <v>446</v>
      </c>
      <c r="I55" s="20"/>
      <c r="K55" s="63" t="s">
        <v>550</v>
      </c>
    </row>
    <row r="56" spans="1:21" x14ac:dyDescent="0.2">
      <c r="A56" s="63" t="s">
        <v>508</v>
      </c>
      <c r="B56" s="150">
        <f>(VIN_max-Vout)*Don_Vinmax/(Fsw*Iout*0.7)</f>
        <v>1.7142857142857143E-4</v>
      </c>
      <c r="C56" s="63" t="s">
        <v>18</v>
      </c>
      <c r="D56" s="63" t="s">
        <v>267</v>
      </c>
      <c r="E56" s="63" t="s">
        <v>447</v>
      </c>
      <c r="I56" s="20"/>
    </row>
    <row r="57" spans="1:21" x14ac:dyDescent="0.2">
      <c r="A57" s="63"/>
      <c r="C57" s="63"/>
      <c r="E57" s="63"/>
      <c r="I57" s="20"/>
    </row>
    <row r="58" spans="1:21" x14ac:dyDescent="0.2">
      <c r="A58" s="63" t="s">
        <v>444</v>
      </c>
      <c r="B58" s="383" t="e">
        <f>(Vin-Vout-(Rdcr+Rdson1)*Ioutmax)*PFM_Duty_Cycle/Fsw/IripplePFM</f>
        <v>#NAME?</v>
      </c>
      <c r="C58" s="63"/>
      <c r="D58" t="s">
        <v>275</v>
      </c>
      <c r="E58" s="63" t="s">
        <v>448</v>
      </c>
      <c r="I58" s="20"/>
    </row>
    <row r="59" spans="1:21" x14ac:dyDescent="0.2">
      <c r="A59" s="63"/>
      <c r="C59" s="63"/>
      <c r="E59" s="63"/>
      <c r="I59" s="20"/>
    </row>
    <row r="60" spans="1:21" x14ac:dyDescent="0.2">
      <c r="A60" s="101" t="s">
        <v>212</v>
      </c>
      <c r="B60" s="150">
        <f>CHOOSE(MODE, B55, B58)</f>
        <v>2.3565891472868218E-4</v>
      </c>
      <c r="C60" t="s">
        <v>18</v>
      </c>
      <c r="E60" s="63"/>
      <c r="I60" s="20"/>
    </row>
    <row r="61" spans="1:21" x14ac:dyDescent="0.2">
      <c r="A61" s="101"/>
      <c r="C61"/>
      <c r="E61" s="63"/>
      <c r="I61" s="20"/>
    </row>
    <row r="62" spans="1:21" x14ac:dyDescent="0.2">
      <c r="A62" s="101" t="s">
        <v>202</v>
      </c>
      <c r="B62" s="35">
        <f>'Design Regulator'!E18/1000000</f>
        <v>2.2000000000000001E-4</v>
      </c>
      <c r="C62" t="s">
        <v>18</v>
      </c>
      <c r="E62" s="63" t="s">
        <v>253</v>
      </c>
      <c r="I62" s="20">
        <v>2</v>
      </c>
    </row>
    <row r="63" spans="1:21" x14ac:dyDescent="0.2">
      <c r="A63" s="101" t="s">
        <v>11</v>
      </c>
      <c r="B63" s="8">
        <f>'Design Regulator'!E19/1000</f>
        <v>0.3</v>
      </c>
      <c r="C63" s="103" t="s">
        <v>64</v>
      </c>
      <c r="E63" s="63" t="s">
        <v>254</v>
      </c>
      <c r="I63" s="20">
        <v>1</v>
      </c>
    </row>
    <row r="64" spans="1:21" x14ac:dyDescent="0.2">
      <c r="A64" s="101"/>
      <c r="C64" s="103"/>
      <c r="E64" s="63"/>
      <c r="I64" s="20"/>
    </row>
    <row r="65" spans="1:9" x14ac:dyDescent="0.2">
      <c r="A65" s="101" t="s">
        <v>551</v>
      </c>
      <c r="B65" s="169" t="e">
        <f>(Vin-Vout-(Rdcr+Rdson1)*Ioutmax)*PFM_Duty_Cycle/Lf/IripplePFM/1000</f>
        <v>#NAME?</v>
      </c>
      <c r="C65" s="63" t="s">
        <v>3</v>
      </c>
      <c r="D65" s="63"/>
      <c r="E65" s="63"/>
      <c r="I65" s="20"/>
    </row>
    <row r="66" spans="1:9" x14ac:dyDescent="0.2">
      <c r="A66" s="101"/>
      <c r="B66" s="63"/>
      <c r="C66" s="63"/>
      <c r="D66" s="63"/>
      <c r="E66" s="63"/>
      <c r="I66" s="20"/>
    </row>
    <row r="67" spans="1:9" x14ac:dyDescent="0.2">
      <c r="A67" s="101" t="s">
        <v>16</v>
      </c>
      <c r="B67" s="161">
        <f>(Vout+Iout*Rdcr)/Vin</f>
        <v>0.11732558139534884</v>
      </c>
      <c r="C67"/>
      <c r="E67" s="63" t="s">
        <v>509</v>
      </c>
      <c r="I67" s="20">
        <v>2</v>
      </c>
    </row>
    <row r="68" spans="1:9" x14ac:dyDescent="0.2">
      <c r="A68" s="101" t="s">
        <v>17</v>
      </c>
      <c r="B68" s="161">
        <f>1-_Don2</f>
        <v>0.88267441860465112</v>
      </c>
      <c r="C68"/>
      <c r="I68" s="20">
        <v>2</v>
      </c>
    </row>
    <row r="69" spans="1:9" x14ac:dyDescent="0.2">
      <c r="A69" s="101"/>
      <c r="C69"/>
      <c r="I69" s="20"/>
    </row>
    <row r="70" spans="1:9" x14ac:dyDescent="0.2">
      <c r="A70" s="101" t="s">
        <v>273</v>
      </c>
      <c r="B70" s="520">
        <v>2</v>
      </c>
      <c r="C70" s="103" t="s">
        <v>64</v>
      </c>
      <c r="D70" s="63" t="s">
        <v>542</v>
      </c>
      <c r="I70" s="20"/>
    </row>
    <row r="71" spans="1:9" x14ac:dyDescent="0.2">
      <c r="A71" s="101" t="s">
        <v>274</v>
      </c>
      <c r="B71" s="520">
        <f>RdsonBot</f>
        <v>1</v>
      </c>
      <c r="C71" s="103" t="s">
        <v>64</v>
      </c>
      <c r="D71" s="63" t="s">
        <v>543</v>
      </c>
      <c r="I71" s="20"/>
    </row>
    <row r="72" spans="1:9" x14ac:dyDescent="0.2">
      <c r="A72" s="101"/>
      <c r="C72"/>
      <c r="I72" s="20"/>
    </row>
    <row r="73" spans="1:9" x14ac:dyDescent="0.2">
      <c r="A73" s="101" t="s">
        <v>214</v>
      </c>
      <c r="B73" s="161">
        <f>(Vout+Iout*(Rdcr+Rdson2))/(VIN_min+Iout*Rdson2)</f>
        <v>0.17230514096185739</v>
      </c>
      <c r="C73"/>
      <c r="E73" s="63" t="s">
        <v>236</v>
      </c>
      <c r="I73" s="20">
        <v>2</v>
      </c>
    </row>
    <row r="74" spans="1:9" ht="15.75" x14ac:dyDescent="0.3">
      <c r="A74" s="101" t="s">
        <v>215</v>
      </c>
      <c r="B74" s="161">
        <f>(Vout+Iout*(Rdcr+Rdson2))/(VIN_nom+Iout*Rdson2)</f>
        <v>0.12039397450753188</v>
      </c>
      <c r="C74"/>
      <c r="E74" s="189" t="s">
        <v>241</v>
      </c>
      <c r="I74" s="20"/>
    </row>
    <row r="75" spans="1:9" x14ac:dyDescent="0.2">
      <c r="A75" s="101" t="s">
        <v>216</v>
      </c>
      <c r="B75" s="161">
        <f>(Vout+Iout*(Rdcr+Rdson2))/(VIN_max+Iout*Rdson2)</f>
        <v>0.10358923230309074</v>
      </c>
      <c r="C75"/>
      <c r="I75" s="20"/>
    </row>
    <row r="76" spans="1:9" x14ac:dyDescent="0.2">
      <c r="A76" s="101"/>
      <c r="C76"/>
      <c r="I76" s="20"/>
    </row>
    <row r="77" spans="1:9" x14ac:dyDescent="0.2">
      <c r="A77" s="101" t="s">
        <v>208</v>
      </c>
      <c r="B77" s="162">
        <f>(VIN_min-Vout-Rdson1*Iout)*Don_Vinmin_2/(Fsw*Lf)</f>
        <v>7.7380672395597774E-2</v>
      </c>
      <c r="C77" s="63" t="s">
        <v>2</v>
      </c>
      <c r="D77" s="63" t="s">
        <v>267</v>
      </c>
      <c r="I77" s="20"/>
    </row>
    <row r="78" spans="1:9" x14ac:dyDescent="0.2">
      <c r="A78" s="101" t="s">
        <v>209</v>
      </c>
      <c r="B78" s="162">
        <f>(VIN_nom-Vout-Rdson1*Iout)*Don_Vinnom_2/(Fsw*Lf)</f>
        <v>8.2524597071526401E-2</v>
      </c>
      <c r="C78" s="63" t="s">
        <v>2</v>
      </c>
      <c r="D78" s="63" t="s">
        <v>267</v>
      </c>
      <c r="I78" s="20"/>
    </row>
    <row r="79" spans="1:9" x14ac:dyDescent="0.2">
      <c r="A79" s="101" t="s">
        <v>210</v>
      </c>
      <c r="B79" s="162">
        <f>(VIN_max-Vout)*Don_Vinmax_2/(Fsw*Lf)</f>
        <v>8.4754826429801519E-2</v>
      </c>
      <c r="C79" s="63" t="s">
        <v>2</v>
      </c>
      <c r="D79" s="63" t="s">
        <v>267</v>
      </c>
      <c r="I79" s="20"/>
    </row>
    <row r="80" spans="1:9" x14ac:dyDescent="0.2">
      <c r="A80" s="101"/>
      <c r="B80" s="213"/>
      <c r="C80" s="63"/>
      <c r="D80" s="63"/>
      <c r="I80" s="20"/>
    </row>
    <row r="81" spans="1:9" x14ac:dyDescent="0.2">
      <c r="A81" s="101" t="s">
        <v>513</v>
      </c>
      <c r="B81" s="213">
        <f>Iout+Iripple_Vinmin/2</f>
        <v>0.18869033619779887</v>
      </c>
      <c r="C81" s="63" t="s">
        <v>2</v>
      </c>
      <c r="D81" s="63" t="s">
        <v>267</v>
      </c>
      <c r="I81" s="20"/>
    </row>
    <row r="82" spans="1:9" x14ac:dyDescent="0.2">
      <c r="A82" s="101" t="s">
        <v>514</v>
      </c>
      <c r="B82" s="213">
        <f>Iout+Iripple_Vinnom/2</f>
        <v>0.19126229853576321</v>
      </c>
      <c r="C82" s="63" t="s">
        <v>2</v>
      </c>
      <c r="D82" s="63" t="s">
        <v>267</v>
      </c>
      <c r="I82" s="20"/>
    </row>
    <row r="83" spans="1:9" x14ac:dyDescent="0.2">
      <c r="A83" s="101" t="s">
        <v>515</v>
      </c>
      <c r="B83" s="213">
        <f>Iout+Iripple_Vinmax/2</f>
        <v>0.19237741321490076</v>
      </c>
      <c r="C83" s="63" t="s">
        <v>2</v>
      </c>
      <c r="D83" s="63" t="s">
        <v>267</v>
      </c>
      <c r="I83" s="20"/>
    </row>
    <row r="84" spans="1:9" x14ac:dyDescent="0.2">
      <c r="A84" s="101"/>
      <c r="B84" s="63"/>
      <c r="C84" s="63"/>
      <c r="D84" s="63"/>
      <c r="I84" s="20"/>
    </row>
    <row r="85" spans="1:9" x14ac:dyDescent="0.2">
      <c r="A85" s="101" t="s">
        <v>449</v>
      </c>
      <c r="B85" s="190">
        <f>IF(MODE=1, Iripple_Vinnom, Iripple)</f>
        <v>8.2524597071526401E-2</v>
      </c>
      <c r="C85" s="63" t="s">
        <v>2</v>
      </c>
      <c r="D85" s="63"/>
      <c r="H85" s="63" t="s">
        <v>492</v>
      </c>
      <c r="I85" s="20"/>
    </row>
    <row r="86" spans="1:9" x14ac:dyDescent="0.2">
      <c r="A86" s="101"/>
      <c r="B86" s="63"/>
      <c r="C86" s="63"/>
      <c r="D86" s="63"/>
      <c r="H86" s="63" t="s">
        <v>461</v>
      </c>
      <c r="I86" s="20"/>
    </row>
    <row r="87" spans="1:9" x14ac:dyDescent="0.2">
      <c r="A87" s="101" t="s">
        <v>219</v>
      </c>
      <c r="B87" s="162">
        <f>MAX(B77:B79)</f>
        <v>8.4754826429801519E-2</v>
      </c>
      <c r="C87" s="63" t="s">
        <v>2</v>
      </c>
      <c r="I87" s="20"/>
    </row>
    <row r="88" spans="1:9" x14ac:dyDescent="0.2">
      <c r="A88" s="101"/>
      <c r="B88" s="63"/>
      <c r="C88" s="63"/>
      <c r="D88" s="63"/>
      <c r="F88" s="63" t="s">
        <v>87</v>
      </c>
      <c r="G88" s="154" t="s">
        <v>218</v>
      </c>
      <c r="I88" s="20"/>
    </row>
    <row r="89" spans="1:9" x14ac:dyDescent="0.2">
      <c r="A89" s="101" t="s">
        <v>217</v>
      </c>
      <c r="B89" s="198">
        <f>B77/Iout</f>
        <v>0.51587114930398514</v>
      </c>
      <c r="C89"/>
      <c r="D89" s="63" t="s">
        <v>267</v>
      </c>
      <c r="F89" s="5">
        <f>B77</f>
        <v>7.7380672395597774E-2</v>
      </c>
      <c r="G89" s="199">
        <f>Iin_Vinmin</f>
        <v>2.7777777777777776E-2</v>
      </c>
      <c r="I89" s="20"/>
    </row>
    <row r="90" spans="1:9" x14ac:dyDescent="0.2">
      <c r="A90" s="101"/>
      <c r="B90" s="198">
        <f>B78/Iout</f>
        <v>0.55016398047684267</v>
      </c>
      <c r="C90"/>
      <c r="D90" s="63" t="s">
        <v>267</v>
      </c>
      <c r="F90" s="5">
        <f>B78</f>
        <v>8.2524597071526401E-2</v>
      </c>
      <c r="G90" s="199">
        <f>Iin_Vinnom</f>
        <v>1.937984496124031E-2</v>
      </c>
      <c r="I90" s="20"/>
    </row>
    <row r="91" spans="1:9" x14ac:dyDescent="0.2">
      <c r="A91" s="101"/>
      <c r="B91" s="198">
        <f>B79/Iout</f>
        <v>0.56503217619867685</v>
      </c>
      <c r="C91"/>
      <c r="D91" s="63" t="s">
        <v>267</v>
      </c>
      <c r="F91" s="5">
        <f>B79</f>
        <v>8.4754826429801519E-2</v>
      </c>
      <c r="G91" s="199">
        <f>Iin_Vinmax</f>
        <v>1.6666666666666666E-2</v>
      </c>
      <c r="I91" s="20"/>
    </row>
    <row r="92" spans="1:9" x14ac:dyDescent="0.2">
      <c r="A92" s="101"/>
      <c r="C92"/>
      <c r="I92" s="20"/>
    </row>
    <row r="93" spans="1:9" x14ac:dyDescent="0.2">
      <c r="A93" s="101"/>
      <c r="B93" s="384">
        <f>IF(MODE=1, B90, Ilim/Iout)</f>
        <v>0.55016398047684267</v>
      </c>
      <c r="C93"/>
      <c r="I93" s="20"/>
    </row>
    <row r="94" spans="1:9" x14ac:dyDescent="0.2">
      <c r="A94" s="101"/>
      <c r="C94"/>
      <c r="I94" s="20"/>
    </row>
    <row r="95" spans="1:9" x14ac:dyDescent="0.2">
      <c r="A95" s="101" t="s">
        <v>243</v>
      </c>
      <c r="B95" s="161">
        <f>(Vin-Vout)*Don_Vinnom_2/(Fsw*Lf)</f>
        <v>8.3181291477931116E-2</v>
      </c>
      <c r="C95" t="s">
        <v>2</v>
      </c>
      <c r="D95" s="63" t="s">
        <v>242</v>
      </c>
      <c r="I95" s="20">
        <v>1</v>
      </c>
    </row>
    <row r="96" spans="1:9" x14ac:dyDescent="0.2">
      <c r="A96" t="s">
        <v>128</v>
      </c>
      <c r="B96" s="197">
        <v>100</v>
      </c>
      <c r="C96"/>
      <c r="D96" s="63"/>
      <c r="I96" s="20"/>
    </row>
    <row r="97" spans="1:13" x14ac:dyDescent="0.2">
      <c r="A97" s="101" t="s">
        <v>127</v>
      </c>
      <c r="B97" s="190">
        <f>Rdcr*(1+0.0039*(B96-25))</f>
        <v>0.38774999999999998</v>
      </c>
      <c r="C97" s="103" t="s">
        <v>64</v>
      </c>
      <c r="I97" s="20"/>
    </row>
    <row r="98" spans="1:13" ht="13.5" thickBot="1" x14ac:dyDescent="0.25">
      <c r="A98" s="167"/>
      <c r="B98" s="168"/>
      <c r="C98" s="24"/>
      <c r="D98" s="24"/>
      <c r="E98" s="24"/>
      <c r="F98" s="24"/>
      <c r="G98" s="24"/>
      <c r="H98" s="24"/>
      <c r="I98" s="25"/>
    </row>
    <row r="99" spans="1:13" x14ac:dyDescent="0.2">
      <c r="A99" s="3"/>
      <c r="B99" s="2"/>
      <c r="C99" s="2"/>
    </row>
    <row r="101" spans="1:13" ht="16.5" thickBot="1" x14ac:dyDescent="0.3">
      <c r="A101" s="41" t="s">
        <v>499</v>
      </c>
      <c r="D101" s="3"/>
    </row>
    <row r="102" spans="1:13" x14ac:dyDescent="0.2">
      <c r="A102" s="100" t="s">
        <v>228</v>
      </c>
      <c r="B102" s="456">
        <f>Iripple_Vinmin/SQRT(12)</f>
        <v>2.2337876018836311E-2</v>
      </c>
      <c r="C102" s="166" t="s">
        <v>2</v>
      </c>
      <c r="D102" s="65" t="s">
        <v>227</v>
      </c>
      <c r="E102" s="26"/>
      <c r="F102" s="26"/>
      <c r="G102" s="26"/>
      <c r="H102" s="26"/>
      <c r="I102" s="27"/>
      <c r="L102" s="5"/>
    </row>
    <row r="103" spans="1:13" x14ac:dyDescent="0.2">
      <c r="A103" s="101" t="s">
        <v>229</v>
      </c>
      <c r="B103" s="457">
        <f>Iripple_Vinnom/SQRT(12)</f>
        <v>2.3822799167005585E-2</v>
      </c>
      <c r="C103" s="63" t="s">
        <v>2</v>
      </c>
      <c r="E103" s="63"/>
      <c r="I103" s="20"/>
      <c r="L103" s="5"/>
    </row>
    <row r="104" spans="1:13" x14ac:dyDescent="0.2">
      <c r="A104" s="101" t="s">
        <v>230</v>
      </c>
      <c r="B104" s="457">
        <f>Iripple_Vinmax/SQRT(12)</f>
        <v>2.4466610927182959E-2</v>
      </c>
      <c r="C104" s="63" t="s">
        <v>2</v>
      </c>
      <c r="E104" s="63"/>
      <c r="G104">
        <f>Vripple1</f>
        <v>8.1766148814390836E-3</v>
      </c>
      <c r="I104" s="20"/>
      <c r="L104" s="5"/>
    </row>
    <row r="105" spans="1:13" x14ac:dyDescent="0.2">
      <c r="A105" s="101"/>
      <c r="B105" s="169"/>
      <c r="C105" s="63"/>
      <c r="E105" s="63"/>
      <c r="I105" s="20"/>
      <c r="L105" s="5"/>
    </row>
    <row r="106" spans="1:13" x14ac:dyDescent="0.2">
      <c r="A106" s="101" t="s">
        <v>239</v>
      </c>
      <c r="B106" s="563">
        <f>Vout/Vref*0.002</f>
        <v>8.1766148814390836E-3</v>
      </c>
      <c r="C106" s="63" t="s">
        <v>0</v>
      </c>
      <c r="D106" s="63" t="s">
        <v>624</v>
      </c>
      <c r="I106" s="20"/>
      <c r="L106" s="5"/>
    </row>
    <row r="107" spans="1:13" x14ac:dyDescent="0.2">
      <c r="A107" s="19"/>
      <c r="B107" s="63"/>
      <c r="E107" s="63"/>
      <c r="I107" s="20"/>
    </row>
    <row r="108" spans="1:13" x14ac:dyDescent="0.2">
      <c r="A108" s="564" t="s">
        <v>19</v>
      </c>
      <c r="B108" s="571">
        <f>2/Pi/CoutEsr/Fsw</f>
        <v>1.6976527282534012E-6</v>
      </c>
      <c r="D108" s="63" t="s">
        <v>634</v>
      </c>
      <c r="E108" s="63"/>
      <c r="I108" s="20"/>
    </row>
    <row r="109" spans="1:13" x14ac:dyDescent="0.2">
      <c r="A109" s="29" t="s">
        <v>267</v>
      </c>
      <c r="B109" s="203">
        <f>Iripple_Vinnom/Fsw*100/Vout</f>
        <v>6.6019677657221112E-6</v>
      </c>
      <c r="C109" t="s">
        <v>20</v>
      </c>
      <c r="D109" s="63" t="s">
        <v>267</v>
      </c>
      <c r="E109" s="63" t="s">
        <v>572</v>
      </c>
      <c r="I109" s="20">
        <v>1</v>
      </c>
      <c r="K109" s="2">
        <f>Iripple_Vinnom/Fsw*100/Vout</f>
        <v>6.6019677657221112E-6</v>
      </c>
      <c r="M109" s="63" t="s">
        <v>625</v>
      </c>
    </row>
    <row r="110" spans="1:13" x14ac:dyDescent="0.2">
      <c r="A110" s="29"/>
      <c r="B110" s="203">
        <f>Lf*B82^2/((1.05*Vout)^2-Vout^2)</f>
        <v>3.140635592218673E-6</v>
      </c>
      <c r="C110" t="s">
        <v>20</v>
      </c>
      <c r="D110" s="63" t="s">
        <v>267</v>
      </c>
      <c r="E110" s="63" t="s">
        <v>521</v>
      </c>
      <c r="I110" s="20"/>
      <c r="K110" s="2"/>
    </row>
    <row r="111" spans="1:13" x14ac:dyDescent="0.2">
      <c r="A111" s="29"/>
      <c r="B111" s="458">
        <f>MAX(B109:B110, 0.0000022)</f>
        <v>6.6019677657221112E-6</v>
      </c>
      <c r="C111" s="63" t="s">
        <v>20</v>
      </c>
      <c r="D111" s="63" t="s">
        <v>267</v>
      </c>
      <c r="E111" s="63" t="s">
        <v>578</v>
      </c>
      <c r="I111" s="20"/>
      <c r="K111" s="2"/>
    </row>
    <row r="112" spans="1:13" x14ac:dyDescent="0.2">
      <c r="A112" s="29"/>
      <c r="B112" s="458"/>
      <c r="C112" s="63"/>
      <c r="D112" s="63"/>
      <c r="E112" s="63"/>
      <c r="I112" s="20"/>
      <c r="K112" s="2"/>
    </row>
    <row r="113" spans="1:11" x14ac:dyDescent="0.2">
      <c r="A113" s="29" t="s">
        <v>19</v>
      </c>
      <c r="B113" s="458"/>
      <c r="C113" s="63"/>
      <c r="E113" s="63"/>
      <c r="I113" s="20"/>
      <c r="K113" s="2"/>
    </row>
    <row r="114" spans="1:11" x14ac:dyDescent="0.2">
      <c r="A114" s="29" t="s">
        <v>275</v>
      </c>
      <c r="B114" s="458" t="e">
        <f>MIN(100*L*(IL_peak/Vout)^2, 0.0001)</f>
        <v>#NAME?</v>
      </c>
      <c r="C114" s="63" t="s">
        <v>20</v>
      </c>
      <c r="D114" s="63" t="s">
        <v>275</v>
      </c>
      <c r="E114" s="63" t="s">
        <v>628</v>
      </c>
      <c r="I114" s="20"/>
      <c r="K114" s="2"/>
    </row>
    <row r="115" spans="1:11" x14ac:dyDescent="0.2">
      <c r="A115" s="29"/>
      <c r="B115" s="458"/>
      <c r="C115" s="63"/>
      <c r="D115" s="63"/>
      <c r="E115" s="63"/>
      <c r="I115" s="20"/>
      <c r="K115" s="2"/>
    </row>
    <row r="116" spans="1:11" x14ac:dyDescent="0.2">
      <c r="A116" s="101" t="s">
        <v>257</v>
      </c>
      <c r="B116" s="567">
        <f>CHOOSE(MODE, Coutmin*1000000, B114*1000000)</f>
        <v>6.6019677657221107</v>
      </c>
      <c r="C116" s="9" t="s">
        <v>130</v>
      </c>
      <c r="E116" s="63"/>
      <c r="I116" s="20"/>
      <c r="K116" s="2"/>
    </row>
    <row r="117" spans="1:11" x14ac:dyDescent="0.2">
      <c r="I117" s="20"/>
      <c r="K117" s="2"/>
    </row>
    <row r="118" spans="1:11" x14ac:dyDescent="0.2">
      <c r="A118" s="101" t="s">
        <v>21</v>
      </c>
      <c r="B118" s="204">
        <f>'Design Regulator'!E25/1000000</f>
        <v>1E-4</v>
      </c>
      <c r="C118" t="s">
        <v>20</v>
      </c>
      <c r="D118" s="63" t="s">
        <v>231</v>
      </c>
      <c r="I118" s="20">
        <v>1</v>
      </c>
    </row>
    <row r="119" spans="1:11" x14ac:dyDescent="0.2">
      <c r="A119" s="29" t="s">
        <v>30</v>
      </c>
      <c r="B119" s="212">
        <f>SQRT((Vripple1/Iripple_Vinnom)^2-(1/(Fsw*Cout*8))^2)</f>
        <v>9.8954702893299801E-2</v>
      </c>
      <c r="C119" s="103" t="s">
        <v>64</v>
      </c>
      <c r="D119" s="63" t="s">
        <v>145</v>
      </c>
      <c r="H119" s="3"/>
      <c r="I119" s="20">
        <v>1</v>
      </c>
    </row>
    <row r="120" spans="1:11" x14ac:dyDescent="0.2">
      <c r="A120" s="489" t="s">
        <v>527</v>
      </c>
      <c r="B120" s="210">
        <f>0.02*Vout/Vref/Iripple_Vinnom</f>
        <v>0.99080942792755244</v>
      </c>
      <c r="C120" s="103" t="s">
        <v>64</v>
      </c>
      <c r="D120" s="3" t="s">
        <v>523</v>
      </c>
      <c r="I120" s="20"/>
    </row>
    <row r="121" spans="1:11" x14ac:dyDescent="0.2">
      <c r="A121" s="9"/>
      <c r="B121" s="461"/>
      <c r="C121" s="103"/>
      <c r="D121" s="63"/>
      <c r="I121" s="20"/>
    </row>
    <row r="122" spans="1:11" x14ac:dyDescent="0.2">
      <c r="A122" s="63" t="s">
        <v>517</v>
      </c>
      <c r="B122" s="462">
        <f>Cout*B126*1000000</f>
        <v>99.080942792755252</v>
      </c>
      <c r="C122" s="63" t="s">
        <v>343</v>
      </c>
      <c r="D122" s="63"/>
      <c r="I122" s="20"/>
    </row>
    <row r="123" spans="1:11" x14ac:dyDescent="0.2">
      <c r="A123" s="63" t="s">
        <v>518</v>
      </c>
      <c r="B123" s="185">
        <f>Vout/VIN_min/(Fsw)</f>
        <v>6.666666666666666E-7</v>
      </c>
      <c r="C123" s="63" t="s">
        <v>343</v>
      </c>
      <c r="D123" s="63"/>
      <c r="G123">
        <f>Vref</f>
        <v>1.2230000000000001</v>
      </c>
      <c r="I123" s="20"/>
    </row>
    <row r="124" spans="1:11" x14ac:dyDescent="0.2">
      <c r="A124" s="9" t="s">
        <v>520</v>
      </c>
      <c r="B124" s="471">
        <f>B123/2/Cout</f>
        <v>3.3333333333333327E-3</v>
      </c>
      <c r="C124" s="103" t="s">
        <v>64</v>
      </c>
      <c r="D124" s="3" t="s">
        <v>524</v>
      </c>
      <c r="I124" s="20"/>
    </row>
    <row r="125" spans="1:11" x14ac:dyDescent="0.2">
      <c r="A125" s="63"/>
      <c r="B125" s="464"/>
      <c r="C125" s="63"/>
      <c r="D125" s="63"/>
      <c r="I125" s="20"/>
    </row>
    <row r="126" spans="1:11" x14ac:dyDescent="0.2">
      <c r="A126" s="63" t="s">
        <v>526</v>
      </c>
      <c r="B126" s="199">
        <f>IF(MODE=1, MAX(B120,B124), 0)</f>
        <v>0.99080942792755244</v>
      </c>
      <c r="C126" s="103" t="s">
        <v>64</v>
      </c>
      <c r="D126" s="3" t="s">
        <v>522</v>
      </c>
      <c r="G126">
        <f>Iout</f>
        <v>0.15</v>
      </c>
      <c r="I126" s="20"/>
    </row>
    <row r="127" spans="1:11" x14ac:dyDescent="0.2">
      <c r="A127" s="3"/>
      <c r="D127" s="63"/>
      <c r="I127" s="20"/>
    </row>
    <row r="128" spans="1:11" x14ac:dyDescent="0.2">
      <c r="A128" s="209" t="s">
        <v>258</v>
      </c>
      <c r="B128" s="459">
        <f>IF(OR(CoutEsrMax&gt;0.5, CoutEsrMax&lt;0, (ISERROR(CoutEsrMax))), "N/A", CoutEsrMax*1000)</f>
        <v>98.954702893299796</v>
      </c>
      <c r="C128" s="103" t="s">
        <v>356</v>
      </c>
      <c r="D128" s="63"/>
      <c r="I128" s="20"/>
    </row>
    <row r="129" spans="1:9" x14ac:dyDescent="0.2">
      <c r="A129" s="9"/>
      <c r="B129" s="461"/>
      <c r="C129" s="103"/>
      <c r="D129" s="63"/>
      <c r="I129" s="20"/>
    </row>
    <row r="130" spans="1:9" x14ac:dyDescent="0.2">
      <c r="A130" s="101" t="s">
        <v>74</v>
      </c>
      <c r="B130" s="200">
        <f>'Design Regulator'!E27</f>
        <v>1.5</v>
      </c>
      <c r="C130" s="103" t="s">
        <v>64</v>
      </c>
      <c r="D130" s="63" t="s">
        <v>146</v>
      </c>
      <c r="I130" s="20">
        <v>1</v>
      </c>
    </row>
    <row r="131" spans="1:9" x14ac:dyDescent="0.2">
      <c r="A131" s="101"/>
      <c r="B131" s="63"/>
      <c r="C131" s="103"/>
      <c r="D131" s="63"/>
      <c r="I131" s="20"/>
    </row>
    <row r="132" spans="1:9" x14ac:dyDescent="0.2">
      <c r="A132" s="29" t="s">
        <v>620</v>
      </c>
      <c r="B132" s="565">
        <f>Iout*0.000004/Cout+Vout/123</f>
        <v>4.6650406504065038E-2</v>
      </c>
      <c r="C132" s="4" t="s">
        <v>25</v>
      </c>
      <c r="D132" s="63" t="s">
        <v>621</v>
      </c>
      <c r="G132">
        <f>Cout</f>
        <v>1E-4</v>
      </c>
      <c r="I132" s="20"/>
    </row>
    <row r="133" spans="1:9" x14ac:dyDescent="0.2">
      <c r="A133" s="101"/>
      <c r="B133" s="63"/>
      <c r="C133" s="103"/>
      <c r="D133" s="63"/>
      <c r="I133" s="20"/>
    </row>
    <row r="134" spans="1:9" ht="13.5" thickBot="1" x14ac:dyDescent="0.25">
      <c r="A134" s="183" t="s">
        <v>619</v>
      </c>
      <c r="B134" s="201">
        <f>Iripple_Vinnom*SQRT(CoutEsr^2+(1/(8*Fsw*Cout))^2)</f>
        <v>0.12378758331035492</v>
      </c>
      <c r="C134" s="57" t="s">
        <v>25</v>
      </c>
      <c r="D134" s="66" t="s">
        <v>525</v>
      </c>
      <c r="E134" s="24"/>
      <c r="F134" s="24"/>
      <c r="G134" s="24"/>
      <c r="H134" s="24"/>
      <c r="I134" s="25"/>
    </row>
    <row r="136" spans="1:9" ht="13.5" thickBot="1" x14ac:dyDescent="0.25"/>
    <row r="137" spans="1:9" ht="15.75" x14ac:dyDescent="0.25">
      <c r="A137" s="47" t="s">
        <v>75</v>
      </c>
      <c r="B137" s="48"/>
      <c r="C137" s="170"/>
      <c r="D137" s="48"/>
      <c r="E137" s="48"/>
      <c r="F137" s="48"/>
      <c r="G137" s="48"/>
      <c r="H137" s="48"/>
      <c r="I137" s="49"/>
    </row>
    <row r="138" spans="1:9" x14ac:dyDescent="0.2">
      <c r="A138" s="50" t="s">
        <v>132</v>
      </c>
      <c r="B138" s="466">
        <f>0.02*VIN_nom</f>
        <v>0.86</v>
      </c>
      <c r="C138" t="s">
        <v>25</v>
      </c>
      <c r="D138" s="63" t="s">
        <v>627</v>
      </c>
      <c r="I138" s="51"/>
    </row>
    <row r="139" spans="1:9" x14ac:dyDescent="0.2">
      <c r="A139" s="50"/>
      <c r="C139"/>
      <c r="I139" s="51"/>
    </row>
    <row r="140" spans="1:9" x14ac:dyDescent="0.2">
      <c r="A140" s="52" t="s">
        <v>78</v>
      </c>
      <c r="B140" s="465">
        <f>Iout*SQRT(Don_Vinnom_2*(1-Don_Vinnom_2))</f>
        <v>4.881325098496065E-2</v>
      </c>
      <c r="C140" s="45" t="s">
        <v>2</v>
      </c>
      <c r="I140" s="51"/>
    </row>
    <row r="141" spans="1:9" x14ac:dyDescent="0.2">
      <c r="A141" s="52" t="s">
        <v>131</v>
      </c>
      <c r="B141" s="192">
        <f>Iout*Don_Vinnom_2*(1-Don_Vinnom_2)/(Vinripple1*Fsw)*1000000</f>
        <v>7.3883208425449987E-2</v>
      </c>
      <c r="C141" s="9" t="s">
        <v>130</v>
      </c>
      <c r="I141" s="51"/>
    </row>
    <row r="142" spans="1:9" x14ac:dyDescent="0.2">
      <c r="A142" s="209" t="s">
        <v>256</v>
      </c>
      <c r="B142" s="211">
        <f>IF(Cinmin&lt;0.47, 0.47,Cinmin)</f>
        <v>0.47</v>
      </c>
      <c r="C142" s="9" t="s">
        <v>130</v>
      </c>
      <c r="I142" s="51"/>
    </row>
    <row r="143" spans="1:9" x14ac:dyDescent="0.2">
      <c r="A143" s="52" t="s">
        <v>39</v>
      </c>
      <c r="B143" s="205">
        <f>'Design Regulator'!E30/1000000</f>
        <v>4.6999999999999999E-6</v>
      </c>
      <c r="C143" s="45" t="s">
        <v>20</v>
      </c>
      <c r="D143" t="s">
        <v>80</v>
      </c>
      <c r="I143" s="51"/>
    </row>
    <row r="144" spans="1:9" x14ac:dyDescent="0.2">
      <c r="A144" s="52" t="s">
        <v>133</v>
      </c>
      <c r="B144" s="164">
        <f>-(Iout*Don_Vinnom_2*(1-Don_Vinnom_2)/(Cin*Fsw)-Vinripple1)/(Iout+Iripple_Vinnom/2)</f>
        <v>4.4257595528322131</v>
      </c>
      <c r="C144" s="103" t="s">
        <v>64</v>
      </c>
      <c r="I144" s="51"/>
    </row>
    <row r="145" spans="1:9" x14ac:dyDescent="0.2">
      <c r="A145" s="52" t="s">
        <v>55</v>
      </c>
      <c r="B145" s="46">
        <f>'Design Regulator'!E31/1000</f>
        <v>3.0000000000000001E-3</v>
      </c>
      <c r="C145" s="103" t="s">
        <v>64</v>
      </c>
      <c r="D145" s="63" t="s">
        <v>147</v>
      </c>
      <c r="I145" s="51"/>
    </row>
    <row r="146" spans="1:9" x14ac:dyDescent="0.2">
      <c r="A146" s="209" t="s">
        <v>259</v>
      </c>
      <c r="B146" s="396">
        <f>IF(OR(CinEsrMax&gt;12, CinEsrMax&lt;0), "N/A",CinEsrMax*1000)</f>
        <v>4425.7595528322136</v>
      </c>
      <c r="C146" s="12" t="s">
        <v>225</v>
      </c>
      <c r="D146" s="63"/>
      <c r="I146" s="51"/>
    </row>
    <row r="147" spans="1:9" x14ac:dyDescent="0.2">
      <c r="A147" s="52"/>
      <c r="B147" s="45"/>
      <c r="C147" s="103"/>
      <c r="D147" s="63"/>
      <c r="I147" s="51"/>
    </row>
    <row r="148" spans="1:9" ht="13.5" thickBot="1" x14ac:dyDescent="0.25">
      <c r="A148" s="209" t="s">
        <v>531</v>
      </c>
      <c r="B148" s="192">
        <f>Iout*Don_Vinnom_2*(1-Don_Vinnom_2)/(Cin*Fsw)+(Iout +Iripple_Vinnom/2)*RCinEsr*Don_Vinnom_2</f>
        <v>1.3588135643581857E-2</v>
      </c>
      <c r="C148" s="45" t="s">
        <v>25</v>
      </c>
      <c r="E148" s="193">
        <f>Iout*Don_Vinmax_2*(1-Don_Vinmax_2)/(Cin*Fsw)</f>
        <v>1.1854277011142174E-2</v>
      </c>
      <c r="F148" s="172" t="s">
        <v>25</v>
      </c>
      <c r="I148" s="51"/>
    </row>
    <row r="149" spans="1:9" x14ac:dyDescent="0.2">
      <c r="A149" s="52"/>
      <c r="B149" s="473"/>
      <c r="C149" s="45"/>
      <c r="I149" s="51"/>
    </row>
    <row r="150" spans="1:9" x14ac:dyDescent="0.2">
      <c r="A150" s="209" t="s">
        <v>532</v>
      </c>
      <c r="B150" s="473" t="e">
        <f>'PFM Efficiency'!N111*'PFM Efficiency'!N109/Cin</f>
        <v>#NAME?</v>
      </c>
      <c r="C150" s="9" t="s">
        <v>25</v>
      </c>
      <c r="I150" s="51"/>
    </row>
    <row r="151" spans="1:9" ht="13.5" thickBot="1" x14ac:dyDescent="0.25">
      <c r="A151" s="53"/>
      <c r="B151" s="54"/>
      <c r="C151" s="54"/>
      <c r="D151" s="54"/>
      <c r="E151" s="55"/>
      <c r="F151" s="55"/>
      <c r="G151" s="55"/>
      <c r="H151" s="55"/>
      <c r="I151" s="56"/>
    </row>
    <row r="153" spans="1:9" ht="16.5" thickBot="1" x14ac:dyDescent="0.3">
      <c r="A153" s="41" t="s">
        <v>82</v>
      </c>
    </row>
    <row r="154" spans="1:9" x14ac:dyDescent="0.2">
      <c r="A154" s="42" t="s">
        <v>84</v>
      </c>
      <c r="B154" s="7">
        <f>'Design Regulator'!E38/1000</f>
        <v>6.0000000000000001E-3</v>
      </c>
      <c r="C154" s="26" t="s">
        <v>71</v>
      </c>
      <c r="D154" s="65" t="s">
        <v>245</v>
      </c>
      <c r="E154" s="26"/>
      <c r="F154" s="26"/>
      <c r="G154" s="26"/>
      <c r="H154" s="26"/>
      <c r="I154" s="27"/>
    </row>
    <row r="155" spans="1:9" x14ac:dyDescent="0.2">
      <c r="A155" s="19" t="s">
        <v>85</v>
      </c>
      <c r="B155" s="32">
        <v>1.0000000000000001E-5</v>
      </c>
      <c r="C155" t="s">
        <v>2</v>
      </c>
      <c r="D155" s="63" t="s">
        <v>500</v>
      </c>
      <c r="I155" s="20"/>
    </row>
    <row r="156" spans="1:9" x14ac:dyDescent="0.2">
      <c r="A156" s="19" t="s">
        <v>86</v>
      </c>
      <c r="B156" s="206">
        <f>8.1*Tss/1000000</f>
        <v>4.8599999999999998E-8</v>
      </c>
      <c r="C156" t="s">
        <v>20</v>
      </c>
      <c r="D156" s="63" t="s">
        <v>503</v>
      </c>
      <c r="I156" s="20"/>
    </row>
    <row r="157" spans="1:9" ht="13.5" thickBot="1" x14ac:dyDescent="0.25">
      <c r="A157" s="23" t="s">
        <v>93</v>
      </c>
      <c r="B157" s="207">
        <f>'Standard Value Calculator'!B4</f>
        <v>4.6999999999999997E-8</v>
      </c>
      <c r="C157" s="24" t="s">
        <v>20</v>
      </c>
      <c r="D157" s="66" t="s">
        <v>504</v>
      </c>
      <c r="E157" s="24"/>
      <c r="F157" s="24"/>
      <c r="G157" s="24"/>
      <c r="H157" s="24"/>
      <c r="I157" s="25"/>
    </row>
    <row r="159" spans="1:9" ht="16.5" thickBot="1" x14ac:dyDescent="0.3">
      <c r="A159" s="41" t="s">
        <v>473</v>
      </c>
    </row>
    <row r="160" spans="1:9" ht="12.75" customHeight="1" x14ac:dyDescent="0.2">
      <c r="A160" s="100"/>
      <c r="B160" s="43"/>
      <c r="C160" s="155"/>
      <c r="D160" s="65"/>
      <c r="E160" s="26"/>
      <c r="F160" s="26"/>
      <c r="G160" s="26"/>
      <c r="H160" s="26"/>
      <c r="I160" s="27"/>
    </row>
    <row r="161" spans="1:9" ht="12.75" customHeight="1" x14ac:dyDescent="0.2">
      <c r="A161" s="101" t="s">
        <v>149</v>
      </c>
      <c r="B161" s="194">
        <v>1.212</v>
      </c>
      <c r="C161" s="63" t="s">
        <v>0</v>
      </c>
      <c r="D161" s="63"/>
      <c r="I161" s="20"/>
    </row>
    <row r="162" spans="1:9" ht="12.75" customHeight="1" x14ac:dyDescent="0.2">
      <c r="A162" s="101" t="s">
        <v>150</v>
      </c>
      <c r="B162" s="194">
        <v>1.1439999999999999</v>
      </c>
      <c r="C162" s="63" t="s">
        <v>0</v>
      </c>
      <c r="D162" s="63"/>
      <c r="I162" s="20"/>
    </row>
    <row r="163" spans="1:9" ht="12.75" customHeight="1" x14ac:dyDescent="0.2">
      <c r="A163" s="101" t="s">
        <v>194</v>
      </c>
      <c r="B163" s="11">
        <f>B161-B162</f>
        <v>6.800000000000006E-2</v>
      </c>
      <c r="C163" s="63" t="s">
        <v>0</v>
      </c>
      <c r="D163" s="63"/>
      <c r="I163" s="20"/>
    </row>
    <row r="164" spans="1:9" ht="12.75" customHeight="1" x14ac:dyDescent="0.2">
      <c r="A164" s="101"/>
      <c r="B164" s="11"/>
      <c r="C164" s="157"/>
      <c r="D164" s="63"/>
      <c r="I164" s="20"/>
    </row>
    <row r="165" spans="1:9" ht="12.75" customHeight="1" x14ac:dyDescent="0.3">
      <c r="A165" s="101" t="s">
        <v>148</v>
      </c>
      <c r="B165" s="191">
        <f>'Design Regulator'!E41</f>
        <v>20</v>
      </c>
      <c r="C165" s="63" t="s">
        <v>0</v>
      </c>
      <c r="I165" s="20"/>
    </row>
    <row r="166" spans="1:9" ht="12.75" customHeight="1" x14ac:dyDescent="0.3">
      <c r="A166" s="101" t="s">
        <v>471</v>
      </c>
      <c r="B166" s="191">
        <f>'Design Regulator'!E42</f>
        <v>18</v>
      </c>
      <c r="C166" s="63" t="s">
        <v>0</v>
      </c>
      <c r="I166" s="20"/>
    </row>
    <row r="167" spans="1:9" ht="12.75" customHeight="1" x14ac:dyDescent="0.2">
      <c r="A167" s="101"/>
      <c r="B167" s="11"/>
      <c r="C167" s="63"/>
      <c r="I167" s="20"/>
    </row>
    <row r="168" spans="1:9" ht="12.75" customHeight="1" x14ac:dyDescent="0.3">
      <c r="A168" s="101" t="s">
        <v>164</v>
      </c>
      <c r="B168" s="197">
        <f>'Design Regulator'!E43*1000</f>
        <v>1000</v>
      </c>
      <c r="C168" s="12" t="s">
        <v>151</v>
      </c>
      <c r="D168">
        <f>'Standard Value Calculator'!J16</f>
        <v>1000</v>
      </c>
      <c r="E168" s="12" t="s">
        <v>151</v>
      </c>
      <c r="F168" s="11">
        <f>IF(Ruvlo1&lt;0,"N/A",D168)</f>
        <v>1000</v>
      </c>
      <c r="G168" s="11" t="str">
        <f>IF(Ruvlo1&lt;0,"N/A",D168&amp;"kΩ")</f>
        <v>1000kΩ</v>
      </c>
      <c r="I168" s="20"/>
    </row>
    <row r="169" spans="1:9" ht="12.75" customHeight="1" x14ac:dyDescent="0.3">
      <c r="A169" s="101" t="s">
        <v>165</v>
      </c>
      <c r="B169" s="195">
        <f>Vuvlo_on*Ruvlo1/(VINuvlo_on-Vuvlo_on)</f>
        <v>64.509261230572704</v>
      </c>
      <c r="C169" s="12" t="s">
        <v>151</v>
      </c>
      <c r="D169">
        <f>'Standard Value Calculator'!J17</f>
        <v>64.900000000000006</v>
      </c>
      <c r="E169" s="12" t="s">
        <v>151</v>
      </c>
      <c r="F169" s="11">
        <f>IF(F168="N/A","N/A",D169)</f>
        <v>64.900000000000006</v>
      </c>
      <c r="G169" s="11" t="str">
        <f>IF(G168="N/A","N/A",D169&amp;"kΩ")</f>
        <v>64.9kΩ</v>
      </c>
      <c r="I169" s="20"/>
    </row>
    <row r="170" spans="1:9" ht="12.75" customHeight="1" x14ac:dyDescent="0.3">
      <c r="A170" s="101" t="s">
        <v>467</v>
      </c>
      <c r="B170" s="102">
        <f>(Vuvlo_off*Ruvlo1-Ruvlo2*(VINuvlo_off-Vuvlo_off))/(VINuvlo_off-Vuvlo_off)</f>
        <v>3.3597468377709037</v>
      </c>
      <c r="C170" s="12" t="s">
        <v>151</v>
      </c>
      <c r="D170" s="11">
        <f>IF(Rhys&lt;0, 0, 'Standard Value Calculator'!J18)</f>
        <v>3.3200000000000003</v>
      </c>
      <c r="E170" s="12" t="s">
        <v>151</v>
      </c>
      <c r="F170" s="11">
        <f>IF(F169="N/A","N/A",D170)</f>
        <v>3.3200000000000003</v>
      </c>
      <c r="G170" s="11" t="str">
        <f>IF(G169="N/A","N/A",D170&amp;"kΩ")</f>
        <v>3.32kΩ</v>
      </c>
      <c r="I170" s="20"/>
    </row>
    <row r="171" spans="1:9" ht="12.75" customHeight="1" x14ac:dyDescent="0.2">
      <c r="A171" s="101"/>
      <c r="B171" s="102"/>
      <c r="C171" s="12"/>
      <c r="E171" s="12"/>
      <c r="F171" s="11"/>
      <c r="G171" s="11"/>
      <c r="I171" s="20"/>
    </row>
    <row r="172" spans="1:9" ht="12.75" customHeight="1" x14ac:dyDescent="0.2">
      <c r="A172" s="101"/>
      <c r="B172" s="102"/>
      <c r="C172" s="12"/>
      <c r="F172" s="12"/>
      <c r="I172" s="20"/>
    </row>
    <row r="173" spans="1:9" ht="12.75" customHeight="1" x14ac:dyDescent="0.3">
      <c r="A173" s="101" t="s">
        <v>152</v>
      </c>
      <c r="B173" s="102">
        <f>(D168+D169)/D169*Vuvlo_on</f>
        <v>19.886884437596301</v>
      </c>
      <c r="C173" s="63" t="s">
        <v>0</v>
      </c>
      <c r="F173" s="12"/>
      <c r="I173" s="20"/>
    </row>
    <row r="174" spans="1:9" ht="12.75" customHeight="1" x14ac:dyDescent="0.3">
      <c r="A174" s="101" t="s">
        <v>153</v>
      </c>
      <c r="B174" s="102">
        <f>(D168+D169+D170)/(D169+D170)*Vuvlo_off</f>
        <v>17.913275872178247</v>
      </c>
      <c r="C174" s="63" t="s">
        <v>0</v>
      </c>
      <c r="F174" s="12"/>
      <c r="I174" s="20"/>
    </row>
    <row r="175" spans="1:9" ht="12.75" customHeight="1" x14ac:dyDescent="0.2">
      <c r="B175" s="11"/>
      <c r="C175"/>
      <c r="I175" s="20"/>
    </row>
    <row r="176" spans="1:9" ht="12.75" customHeight="1" x14ac:dyDescent="0.3">
      <c r="A176" s="19" t="s">
        <v>100</v>
      </c>
      <c r="B176" s="11">
        <v>10</v>
      </c>
      <c r="C176" s="12" t="s">
        <v>151</v>
      </c>
      <c r="I176" s="20"/>
    </row>
    <row r="177" spans="1:9" ht="12.75" customHeight="1" thickBot="1" x14ac:dyDescent="0.25">
      <c r="A177" s="23"/>
      <c r="B177" s="33"/>
      <c r="C177" s="156"/>
      <c r="D177" s="24"/>
      <c r="E177" s="24"/>
      <c r="F177" s="24"/>
      <c r="G177" s="24"/>
      <c r="H177" s="24"/>
      <c r="I177" s="25"/>
    </row>
    <row r="178" spans="1:9" x14ac:dyDescent="0.2">
      <c r="B178" s="11"/>
      <c r="C178" s="157"/>
    </row>
    <row r="179" spans="1:9" ht="16.5" thickBot="1" x14ac:dyDescent="0.3">
      <c r="A179" s="41" t="s">
        <v>501</v>
      </c>
    </row>
    <row r="180" spans="1:9" x14ac:dyDescent="0.2">
      <c r="A180" s="178" t="s">
        <v>24</v>
      </c>
      <c r="B180" s="179">
        <v>3.1415926500000002</v>
      </c>
      <c r="C180" s="180"/>
      <c r="D180" s="181" t="s">
        <v>234</v>
      </c>
      <c r="E180" s="26"/>
      <c r="F180" s="26"/>
      <c r="G180" s="26"/>
      <c r="H180" s="26"/>
      <c r="I180" s="27"/>
    </row>
    <row r="181" spans="1:9" x14ac:dyDescent="0.2">
      <c r="A181" s="63" t="s">
        <v>265</v>
      </c>
      <c r="B181" s="216">
        <f>(1-Don_Vinmax_2)/Fsw</f>
        <v>3.5856430707876371E-6</v>
      </c>
      <c r="C181" s="182" t="s">
        <v>264</v>
      </c>
      <c r="D181" s="187"/>
      <c r="I181" s="20"/>
    </row>
    <row r="182" spans="1:9" x14ac:dyDescent="0.2">
      <c r="A182" s="63" t="s">
        <v>266</v>
      </c>
      <c r="B182" s="216">
        <f>IF(VIN_min&gt;Vout, (1-Don_Vinmin_2)/Fsw, Don_Vinmin_2/Fsw)</f>
        <v>3.3107794361525702E-6</v>
      </c>
      <c r="C182" s="182" t="s">
        <v>264</v>
      </c>
      <c r="D182" s="187"/>
      <c r="I182" s="20"/>
    </row>
    <row r="183" spans="1:9" x14ac:dyDescent="0.2">
      <c r="C183"/>
      <c r="I183" s="20"/>
    </row>
    <row r="184" spans="1:9" x14ac:dyDescent="0.2">
      <c r="A184" s="101" t="s">
        <v>22</v>
      </c>
      <c r="B184" s="171">
        <f>'Design Regulator'!E35*1000</f>
        <v>210000</v>
      </c>
      <c r="C184" s="103" t="s">
        <v>64</v>
      </c>
      <c r="D184" s="63" t="s">
        <v>615</v>
      </c>
      <c r="I184" s="20">
        <v>1</v>
      </c>
    </row>
    <row r="185" spans="1:9" x14ac:dyDescent="0.2">
      <c r="A185" s="29" t="s">
        <v>26</v>
      </c>
      <c r="B185" s="177">
        <f>IF(Vout=Vref,100000000,Vref*B184/((Vout-Vref)))</f>
        <v>67998.411437648931</v>
      </c>
      <c r="C185" s="103" t="s">
        <v>64</v>
      </c>
      <c r="D185" s="63" t="s">
        <v>616</v>
      </c>
      <c r="I185" s="20"/>
    </row>
    <row r="186" spans="1:9" x14ac:dyDescent="0.2">
      <c r="A186" s="101" t="s">
        <v>73</v>
      </c>
      <c r="B186" s="31">
        <f>IF(Vout=Vref,"N/A",'Standard Value Calculator'!J10)</f>
        <v>68100</v>
      </c>
      <c r="C186" s="103" t="s">
        <v>64</v>
      </c>
      <c r="D186" s="63" t="s">
        <v>617</v>
      </c>
      <c r="I186" s="20"/>
    </row>
    <row r="187" spans="1:9" x14ac:dyDescent="0.2">
      <c r="A187" s="63"/>
      <c r="C187" s="103"/>
      <c r="D187" s="63"/>
      <c r="I187" s="20"/>
    </row>
    <row r="188" spans="1:9" x14ac:dyDescent="0.2">
      <c r="A188" s="63" t="s">
        <v>583</v>
      </c>
      <c r="B188" s="383">
        <f>CHOOSE(MODE_VOUT, IF(Vout=5, 0.000007, 0.0000038), Vout/(Rfb1_+Rfb2_u))</f>
        <v>6.9999999999999999E-6</v>
      </c>
      <c r="C188" s="103"/>
      <c r="D188" s="63"/>
      <c r="I188" s="20"/>
    </row>
    <row r="189" spans="1:9" ht="13.5" thickBot="1" x14ac:dyDescent="0.25">
      <c r="A189" s="186"/>
      <c r="B189" s="186"/>
      <c r="C189" s="34"/>
      <c r="D189" s="24"/>
      <c r="E189" s="34"/>
      <c r="F189" s="24"/>
      <c r="G189" s="24"/>
      <c r="H189" s="24"/>
      <c r="I189" s="25"/>
    </row>
    <row r="190" spans="1:9" x14ac:dyDescent="0.2">
      <c r="A190" s="2"/>
      <c r="B190" s="13"/>
      <c r="C190" s="13"/>
      <c r="E190" s="13"/>
    </row>
    <row r="191" spans="1:9" x14ac:dyDescent="0.2">
      <c r="A191" s="29" t="s">
        <v>99</v>
      </c>
      <c r="B191" s="2"/>
      <c r="C191"/>
    </row>
    <row r="192" spans="1:9" x14ac:dyDescent="0.2">
      <c r="A192" s="29" t="s">
        <v>101</v>
      </c>
      <c r="B192" s="3">
        <v>0</v>
      </c>
      <c r="C192" s="103" t="s">
        <v>64</v>
      </c>
      <c r="D192" s="63" t="s">
        <v>179</v>
      </c>
      <c r="H192">
        <f>_Don2*RdsonTop+Doff2*RdsonBot+B196*Vin^2*Fsw/2/(((Iripple1/SQRT(3))^2))</f>
        <v>502.17401579180961</v>
      </c>
    </row>
    <row r="193" spans="1:9" x14ac:dyDescent="0.2">
      <c r="A193" s="29" t="s">
        <v>104</v>
      </c>
      <c r="B193" s="184">
        <f>0.00000002*Fsw*0.6*4/Iripple1</f>
        <v>0.14426320855073196</v>
      </c>
      <c r="C193" s="13"/>
      <c r="E193" s="13"/>
    </row>
    <row r="194" spans="1:9" x14ac:dyDescent="0.2">
      <c r="A194" s="29" t="s">
        <v>103</v>
      </c>
      <c r="B194" s="184">
        <f>_Don2*RdsonTop+Doff2*RdsonBot</f>
        <v>1.1173255813953489</v>
      </c>
      <c r="C194" s="13"/>
      <c r="E194" s="13"/>
    </row>
    <row r="195" spans="1:9" x14ac:dyDescent="0.2">
      <c r="A195" s="29" t="s">
        <v>102</v>
      </c>
      <c r="B195" s="184">
        <f>B196*Vin^2*Fsw/2/(((Iripple1/SQRT(3))^2))</f>
        <v>501.05669021041427</v>
      </c>
      <c r="C195" s="13"/>
      <c r="E195" s="13"/>
    </row>
    <row r="196" spans="1:9" x14ac:dyDescent="0.2">
      <c r="A196" s="29" t="s">
        <v>105</v>
      </c>
      <c r="B196" s="185">
        <v>5.0000000000000001E-9</v>
      </c>
      <c r="C196" s="13"/>
      <c r="E196" s="13"/>
    </row>
    <row r="197" spans="1:9" x14ac:dyDescent="0.2">
      <c r="A197" s="2"/>
      <c r="B197" s="13"/>
      <c r="C197" s="13"/>
      <c r="E197" s="13"/>
    </row>
    <row r="198" spans="1:9" ht="16.5" thickBot="1" x14ac:dyDescent="0.3">
      <c r="A198" s="44" t="s">
        <v>111</v>
      </c>
    </row>
    <row r="199" spans="1:9" x14ac:dyDescent="0.2">
      <c r="A199" s="42"/>
      <c r="B199" s="26"/>
      <c r="C199" s="158"/>
      <c r="D199" s="26"/>
      <c r="E199" s="26"/>
      <c r="F199" s="26"/>
      <c r="G199" s="26"/>
      <c r="H199" s="26"/>
      <c r="I199" s="27"/>
    </row>
    <row r="200" spans="1:9" x14ac:dyDescent="0.2">
      <c r="A200" s="29" t="s">
        <v>37</v>
      </c>
      <c r="I200" s="20"/>
    </row>
    <row r="201" spans="1:9" x14ac:dyDescent="0.2">
      <c r="A201" s="19" t="s">
        <v>54</v>
      </c>
      <c r="B201" s="8">
        <v>25</v>
      </c>
      <c r="C201" s="63" t="s">
        <v>137</v>
      </c>
      <c r="D201" t="s">
        <v>58</v>
      </c>
      <c r="I201" s="20"/>
    </row>
    <row r="202" spans="1:9" x14ac:dyDescent="0.2">
      <c r="A202" s="29" t="s">
        <v>40</v>
      </c>
      <c r="C202"/>
      <c r="I202" s="20"/>
    </row>
    <row r="203" spans="1:9" x14ac:dyDescent="0.2">
      <c r="A203" s="19" t="s">
        <v>53</v>
      </c>
      <c r="B203" s="22">
        <f>4000/1000000</f>
        <v>4.0000000000000001E-3</v>
      </c>
      <c r="C203" s="63" t="s">
        <v>180</v>
      </c>
      <c r="D203" s="63" t="s">
        <v>252</v>
      </c>
      <c r="I203" s="20"/>
    </row>
    <row r="204" spans="1:9" ht="15.75" x14ac:dyDescent="0.3">
      <c r="A204" s="101" t="s">
        <v>249</v>
      </c>
      <c r="B204" s="22">
        <v>20</v>
      </c>
      <c r="C204" s="63" t="s">
        <v>112</v>
      </c>
      <c r="D204" s="63" t="s">
        <v>250</v>
      </c>
      <c r="I204" s="20"/>
    </row>
    <row r="205" spans="1:9" x14ac:dyDescent="0.2">
      <c r="A205" s="19" t="s">
        <v>55</v>
      </c>
      <c r="B205" s="8">
        <f>RCinEsr</f>
        <v>3.0000000000000001E-3</v>
      </c>
      <c r="C205" s="103" t="s">
        <v>64</v>
      </c>
      <c r="D205" s="63" t="s">
        <v>251</v>
      </c>
      <c r="I205" s="20"/>
    </row>
    <row r="206" spans="1:9" x14ac:dyDescent="0.2">
      <c r="A206" s="28" t="s">
        <v>72</v>
      </c>
      <c r="C206"/>
      <c r="I206" s="20"/>
    </row>
    <row r="207" spans="1:9" x14ac:dyDescent="0.2">
      <c r="A207" s="101" t="s">
        <v>248</v>
      </c>
      <c r="B207" s="22">
        <v>5</v>
      </c>
      <c r="C207" t="s">
        <v>0</v>
      </c>
      <c r="D207" s="188"/>
      <c r="I207" s="20"/>
    </row>
    <row r="208" spans="1:9" x14ac:dyDescent="0.2">
      <c r="A208" s="29" t="s">
        <v>41</v>
      </c>
      <c r="C208"/>
      <c r="I208" s="20"/>
    </row>
    <row r="209" spans="1:9" x14ac:dyDescent="0.2">
      <c r="A209" s="19" t="s">
        <v>41</v>
      </c>
      <c r="B209" s="30">
        <v>2.4999999999999999E-8</v>
      </c>
      <c r="C209" t="s">
        <v>71</v>
      </c>
      <c r="D209" t="s">
        <v>59</v>
      </c>
      <c r="G209" s="188" t="s">
        <v>582</v>
      </c>
      <c r="I209" s="20"/>
    </row>
    <row r="210" spans="1:9" x14ac:dyDescent="0.2">
      <c r="A210" s="29" t="s">
        <v>35</v>
      </c>
      <c r="C210"/>
      <c r="I210" s="20"/>
    </row>
    <row r="211" spans="1:9" x14ac:dyDescent="0.2">
      <c r="A211" s="19" t="s">
        <v>69</v>
      </c>
      <c r="B211" s="30">
        <v>1.0499999999999999E-5</v>
      </c>
      <c r="C211" t="s">
        <v>2</v>
      </c>
      <c r="D211" t="s">
        <v>70</v>
      </c>
      <c r="I211" s="20"/>
    </row>
    <row r="212" spans="1:9" x14ac:dyDescent="0.2">
      <c r="A212" s="19"/>
      <c r="C212"/>
      <c r="I212" s="20"/>
    </row>
    <row r="213" spans="1:9" x14ac:dyDescent="0.2">
      <c r="A213" s="19"/>
      <c r="C213"/>
      <c r="I213" s="20"/>
    </row>
    <row r="214" spans="1:9" x14ac:dyDescent="0.2">
      <c r="A214" s="29" t="s">
        <v>237</v>
      </c>
      <c r="B214" s="3" t="s">
        <v>8</v>
      </c>
      <c r="C214" s="3" t="s">
        <v>51</v>
      </c>
      <c r="I214" s="20"/>
    </row>
    <row r="215" spans="1:9" x14ac:dyDescent="0.2">
      <c r="A215" s="21" t="s">
        <v>63</v>
      </c>
      <c r="B215" s="4" t="e">
        <f>#REF!</f>
        <v>#REF!</v>
      </c>
      <c r="C215" s="4" t="s">
        <v>64</v>
      </c>
      <c r="I215" s="20"/>
    </row>
    <row r="216" spans="1:9" x14ac:dyDescent="0.2">
      <c r="A216" s="21" t="s">
        <v>66</v>
      </c>
      <c r="B216" s="9" t="e">
        <f>B215*ThetaJaCtrl</f>
        <v>#REF!</v>
      </c>
      <c r="C216" s="63" t="s">
        <v>137</v>
      </c>
      <c r="I216" s="20"/>
    </row>
    <row r="217" spans="1:9" x14ac:dyDescent="0.2">
      <c r="A217" s="21" t="s">
        <v>115</v>
      </c>
      <c r="B217" s="9" t="e">
        <f>(Qg_Q1+Qg_Q2)*Fsw+Iq</f>
        <v>#NAME?</v>
      </c>
      <c r="C217" t="s">
        <v>2</v>
      </c>
      <c r="I217" s="20"/>
    </row>
    <row r="218" spans="1:9" x14ac:dyDescent="0.2">
      <c r="A218" s="21" t="s">
        <v>116</v>
      </c>
      <c r="B218" t="e">
        <f>Qrr_Q2*Fsw</f>
        <v>#NAME?</v>
      </c>
      <c r="C218" t="s">
        <v>2</v>
      </c>
      <c r="I218" s="20"/>
    </row>
    <row r="219" spans="1:9" x14ac:dyDescent="0.2">
      <c r="A219" s="21" t="s">
        <v>117</v>
      </c>
      <c r="B219" t="e">
        <f>C219/Vin</f>
        <v>#NAME?</v>
      </c>
      <c r="C219" t="e">
        <f>Deadtime*Fsw*(Ipp/2)*(Vsd_Q1+Vsd_Q2)</f>
        <v>#NAME?</v>
      </c>
      <c r="I219" s="20"/>
    </row>
    <row r="220" spans="1:9" x14ac:dyDescent="0.2">
      <c r="A220" s="21" t="s">
        <v>119</v>
      </c>
      <c r="B220" t="e">
        <f>SUM(B217:B219)</f>
        <v>#NAME?</v>
      </c>
      <c r="C220" t="s">
        <v>2</v>
      </c>
      <c r="I220" s="20"/>
    </row>
    <row r="221" spans="1:9" ht="13.5" thickBot="1" x14ac:dyDescent="0.25">
      <c r="A221" s="23"/>
      <c r="B221" s="24"/>
      <c r="C221" s="159"/>
      <c r="D221" s="24"/>
      <c r="E221" s="24"/>
      <c r="F221" s="24"/>
      <c r="G221" s="24"/>
      <c r="H221" s="24"/>
      <c r="I221" s="25"/>
    </row>
    <row r="222" spans="1:9" x14ac:dyDescent="0.2">
      <c r="A222" s="2"/>
      <c r="B222" s="2"/>
      <c r="C222" s="2"/>
    </row>
    <row r="223" spans="1:9" ht="21.75" customHeight="1" thickBot="1" x14ac:dyDescent="0.3">
      <c r="A223" s="41" t="s">
        <v>113</v>
      </c>
    </row>
    <row r="224" spans="1:9" x14ac:dyDescent="0.2">
      <c r="A224" s="42"/>
      <c r="B224" s="26"/>
      <c r="C224" s="158"/>
      <c r="D224" s="26"/>
      <c r="E224" s="26"/>
      <c r="F224" s="26"/>
      <c r="G224" s="26"/>
      <c r="H224" s="26"/>
      <c r="I224" s="27"/>
    </row>
    <row r="225" spans="1:9" x14ac:dyDescent="0.2">
      <c r="A225" s="19"/>
      <c r="B225" s="63"/>
      <c r="I225" s="20"/>
    </row>
    <row r="226" spans="1:9" x14ac:dyDescent="0.2">
      <c r="A226" s="19" t="str">
        <f>"RUV1 = "&amp;'Design Regulator'!E43&amp;"MΩ"</f>
        <v>RUV1 = 1MΩ</v>
      </c>
      <c r="B226" t="str">
        <f>C262</f>
        <v/>
      </c>
      <c r="I226" s="20"/>
    </row>
    <row r="227" spans="1:9" x14ac:dyDescent="0.2">
      <c r="A227" s="19" t="str">
        <f>"RUV2 = "&amp;'Design Regulator'!E44&amp;"kΩ"</f>
        <v>RUV2 = kΩ</v>
      </c>
      <c r="B227" t="str">
        <f>C263</f>
        <v/>
      </c>
      <c r="I227" s="20"/>
    </row>
    <row r="228" spans="1:9" x14ac:dyDescent="0.2">
      <c r="A228" s="19" t="str">
        <f>"Rhys = "&amp;'Design Regulator'!E45&amp;"kΩ"</f>
        <v>Rhys = kΩ</v>
      </c>
      <c r="B228" t="str">
        <f>C264</f>
        <v/>
      </c>
      <c r="I228" s="20"/>
    </row>
    <row r="229" spans="1:9" x14ac:dyDescent="0.2">
      <c r="A229" s="19"/>
      <c r="I229" s="20"/>
    </row>
    <row r="230" spans="1:9" x14ac:dyDescent="0.2">
      <c r="A230" s="19" t="str">
        <f>"LF = "&amp;'Design Regulator'!E18&amp;"µH"</f>
        <v>LF = 220µH</v>
      </c>
      <c r="B230" t="str">
        <f>'Design Regulator'!E18&amp;"µH"</f>
        <v>220µH</v>
      </c>
      <c r="I230" s="20"/>
    </row>
    <row r="231" spans="1:9" x14ac:dyDescent="0.2">
      <c r="A231" s="19" t="str">
        <f>"Rdcr = "&amp;Rdcr*1000&amp;"mΩ"</f>
        <v>Rdcr = 300mΩ</v>
      </c>
      <c r="B231" t="str">
        <f>Rdcr*1000&amp;"mΩ"</f>
        <v>300mΩ</v>
      </c>
      <c r="I231" s="20"/>
    </row>
    <row r="232" spans="1:9" x14ac:dyDescent="0.2">
      <c r="A232" s="19" t="str">
        <f>"Rt = "&amp;'Design Regulator'!I35&amp;"kΩ"</f>
        <v>Rt = kΩ</v>
      </c>
      <c r="B232" t="str">
        <f>'Design Regulator'!I35&amp;"kΩ"</f>
        <v>kΩ</v>
      </c>
      <c r="I232" s="20"/>
    </row>
    <row r="233" spans="1:9" x14ac:dyDescent="0.2">
      <c r="A233" s="19" t="str">
        <f>"Css = "&amp;ROUND(Css_u*1000000000,1)&amp;"nF"</f>
        <v>Css = 47nF</v>
      </c>
      <c r="B233" t="str">
        <f>ROUND(Css_u*1000000000,1)&amp;"nF"</f>
        <v>47nF</v>
      </c>
      <c r="I233" s="20"/>
    </row>
    <row r="234" spans="1:9" x14ac:dyDescent="0.2">
      <c r="A234" s="19"/>
      <c r="I234" s="20"/>
    </row>
    <row r="235" spans="1:9" x14ac:dyDescent="0.2">
      <c r="A235" s="19" t="s">
        <v>77</v>
      </c>
      <c r="B235" t="str">
        <f>VIN_nom&amp;"V"</f>
        <v>43V</v>
      </c>
      <c r="I235" s="20"/>
    </row>
    <row r="236" spans="1:9" x14ac:dyDescent="0.2">
      <c r="A236" s="101" t="s">
        <v>272</v>
      </c>
      <c r="B236" t="str">
        <f>VIN_min&amp;"V..."&amp;VIN_max&amp;"V"</f>
        <v>30V...50V</v>
      </c>
      <c r="I236" s="20"/>
    </row>
    <row r="237" spans="1:9" x14ac:dyDescent="0.2">
      <c r="A237" s="101"/>
      <c r="I237" s="20"/>
    </row>
    <row r="238" spans="1:9" x14ac:dyDescent="0.2">
      <c r="A238" s="19" t="str">
        <f>"VOUT = "&amp;'Design Regulator'!E9&amp;"V"</f>
        <v>VOUT = 5V</v>
      </c>
      <c r="B238" t="str">
        <f>'Design Regulator'!E9&amp;"V"</f>
        <v>5V</v>
      </c>
      <c r="I238" s="20"/>
    </row>
    <row r="239" spans="1:9" x14ac:dyDescent="0.2">
      <c r="A239" s="19"/>
      <c r="I239" s="20"/>
    </row>
    <row r="240" spans="1:9" x14ac:dyDescent="0.2">
      <c r="A240" s="19" t="str">
        <f>"COUT = "&amp;'Design Regulator'!$E$25&amp;"µF"</f>
        <v>COUT = 100µF</v>
      </c>
      <c r="B240" t="str">
        <f>'Design Regulator'!$E$25&amp;"µF"</f>
        <v>100µF</v>
      </c>
      <c r="I240" s="20"/>
    </row>
    <row r="241" spans="1:9" x14ac:dyDescent="0.2">
      <c r="A241" s="101" t="s">
        <v>175</v>
      </c>
      <c r="B241" t="str">
        <f>"22µF"</f>
        <v>22µF</v>
      </c>
      <c r="I241" s="20"/>
    </row>
    <row r="242" spans="1:9" x14ac:dyDescent="0.2">
      <c r="A242" s="101" t="s">
        <v>176</v>
      </c>
      <c r="B242" s="64" t="str">
        <f>ROUNDUP(Cout*1000000/22,0)&amp;" x"</f>
        <v>5 x</v>
      </c>
      <c r="C242" s="160"/>
      <c r="I242" s="20"/>
    </row>
    <row r="243" spans="1:9" x14ac:dyDescent="0.2">
      <c r="A243" s="19"/>
      <c r="I243" s="20"/>
    </row>
    <row r="244" spans="1:9" x14ac:dyDescent="0.2">
      <c r="A244" s="19" t="s">
        <v>126</v>
      </c>
      <c r="B244" t="str">
        <f>Cin*1000000&amp;"µF"</f>
        <v>4.7µF</v>
      </c>
      <c r="I244" s="20"/>
    </row>
    <row r="245" spans="1:9" x14ac:dyDescent="0.2">
      <c r="A245" s="101" t="s">
        <v>174</v>
      </c>
      <c r="B245" t="str">
        <f>"10µF"</f>
        <v>10µF</v>
      </c>
      <c r="I245" s="20"/>
    </row>
    <row r="246" spans="1:9" x14ac:dyDescent="0.2">
      <c r="A246" s="101" t="s">
        <v>173</v>
      </c>
      <c r="B246" s="64" t="str">
        <f>ROUNDUP(Cin*1000000/10,0)&amp;" x"</f>
        <v>1 x</v>
      </c>
      <c r="C246" s="160"/>
      <c r="I246" s="20"/>
    </row>
    <row r="247" spans="1:9" x14ac:dyDescent="0.2">
      <c r="A247" s="101"/>
      <c r="B247" s="64"/>
      <c r="I247" s="20"/>
    </row>
    <row r="248" spans="1:9" x14ac:dyDescent="0.2">
      <c r="A248" s="432" t="s">
        <v>482</v>
      </c>
      <c r="B248" s="160" t="str">
        <f>IF(MODE_VOUT=1, "YES", "NO")</f>
        <v>YES</v>
      </c>
      <c r="I248" s="20"/>
    </row>
    <row r="249" spans="1:9" x14ac:dyDescent="0.2">
      <c r="A249" s="101" t="s">
        <v>483</v>
      </c>
      <c r="B249" s="160" t="str">
        <f>IF(MODE_VOUT=2, "YES", "NO")</f>
        <v>NO</v>
      </c>
      <c r="C249" s="418" t="str">
        <f>IF(MODE_VOUT=2, "R1", "")</f>
        <v/>
      </c>
      <c r="D249" s="418" t="str">
        <f>IF(MODE_VOUT=2, "R2", "")</f>
        <v/>
      </c>
      <c r="E249" s="418"/>
      <c r="I249" s="20"/>
    </row>
    <row r="250" spans="1:9" x14ac:dyDescent="0.2">
      <c r="A250" s="19" t="str">
        <f>"RFB1 = "&amp;'Design Regulator'!E35&amp;"kΩ"</f>
        <v>RFB1 = 210kΩ</v>
      </c>
      <c r="B250" t="str">
        <f>IF(MODE_VOUT=1, "", 'Design Regulator'!E35&amp;"kΩ")</f>
        <v/>
      </c>
      <c r="C250" s="63" t="str">
        <f>IF(MODE=1,'Design Regulator'!E35&amp;"kΩ", "")</f>
        <v>210kΩ</v>
      </c>
      <c r="I250" s="20"/>
    </row>
    <row r="251" spans="1:9" x14ac:dyDescent="0.2">
      <c r="A251" s="19" t="str">
        <f>"RFB2 = "&amp;IF(Vout=Vref,"OPEN",'Design Regulator'!E36&amp;"kΩ")</f>
        <v>RFB2 = 68.1kΩ</v>
      </c>
      <c r="B251" t="str">
        <f>IF(MODE_VOUT=1, "", IF(Vout=Vref,"OPEN",Rfb2_u/1000&amp;"kΩ"))</f>
        <v/>
      </c>
      <c r="C251" s="63" t="str">
        <f>IF(MODE=1, IF(Vout=Vref, "OPEN",Rfb2_u/1000&amp;"kΩ" ), "")</f>
        <v>68.1kΩ</v>
      </c>
      <c r="I251" s="20"/>
    </row>
    <row r="252" spans="1:9" x14ac:dyDescent="0.2">
      <c r="A252" s="19"/>
      <c r="C252" s="63"/>
      <c r="I252" s="20"/>
    </row>
    <row r="253" spans="1:9" x14ac:dyDescent="0.2">
      <c r="A253" s="19"/>
      <c r="C253" s="63"/>
      <c r="I253" s="20"/>
    </row>
    <row r="254" spans="1:9" x14ac:dyDescent="0.2">
      <c r="A254" s="101" t="s">
        <v>489</v>
      </c>
      <c r="B254" s="3" t="str">
        <f>IF(MODE=1, "YES", "NO")</f>
        <v>YES</v>
      </c>
      <c r="C254" t="str">
        <f>IF(MODE=1,"Rt", "")</f>
        <v>Rt</v>
      </c>
      <c r="I254" s="20"/>
    </row>
    <row r="255" spans="1:9" x14ac:dyDescent="0.2">
      <c r="A255" s="101" t="s">
        <v>181</v>
      </c>
      <c r="B255" t="str">
        <f>IF(MODE=2, "", 'Standard Value Calculator'!J4/1000&amp;"kΩ")</f>
        <v>124kΩ</v>
      </c>
      <c r="I255" s="20"/>
    </row>
    <row r="256" spans="1:9" x14ac:dyDescent="0.2">
      <c r="A256" s="101"/>
      <c r="I256" s="20"/>
    </row>
    <row r="257" spans="1:9" x14ac:dyDescent="0.2">
      <c r="A257" s="432" t="s">
        <v>488</v>
      </c>
      <c r="B257" s="160" t="str">
        <f>IF(MODE=1, "YES", "NO")</f>
        <v>YES</v>
      </c>
      <c r="C257" s="63" t="str">
        <f>IF(MODE=1,"Resr", "")</f>
        <v>Resr</v>
      </c>
      <c r="I257" s="20"/>
    </row>
    <row r="258" spans="1:9" x14ac:dyDescent="0.2">
      <c r="A258" s="19" t="str">
        <f>"RESR = "&amp;'Design Regulator'!E27&amp;"mΩ"</f>
        <v>RESR = 1.5mΩ</v>
      </c>
      <c r="B258" t="str">
        <f>IF(MODE=1, 'Design Regulator'!E27&amp;"Ω", "")</f>
        <v>1.5Ω</v>
      </c>
      <c r="F258" s="5">
        <f>B120</f>
        <v>0.99080942792755244</v>
      </c>
      <c r="I258" s="20"/>
    </row>
    <row r="259" spans="1:9" x14ac:dyDescent="0.2">
      <c r="A259" s="101" t="s">
        <v>459</v>
      </c>
      <c r="B259" s="64" t="str">
        <f>IF(MODE=1, "&gt;"&amp;ROUND(B120,2), "")</f>
        <v>&gt;0.99</v>
      </c>
      <c r="C259"/>
      <c r="F259" s="5"/>
      <c r="I259" s="20"/>
    </row>
    <row r="260" spans="1:9" x14ac:dyDescent="0.2">
      <c r="A260" s="19"/>
      <c r="B260" s="64"/>
      <c r="C260" s="160"/>
      <c r="E260" s="103"/>
      <c r="I260" s="20"/>
    </row>
    <row r="261" spans="1:9" x14ac:dyDescent="0.2">
      <c r="A261" s="432" t="s">
        <v>497</v>
      </c>
      <c r="B261" s="160" t="str">
        <f>IF(MODE_UVLO=1, "YES", "NO")</f>
        <v>NO</v>
      </c>
      <c r="C261" s="418" t="str">
        <f>IF(MODE_UVLO=1, "Ruv1", "")</f>
        <v/>
      </c>
      <c r="D261" s="418" t="str">
        <f>IF(MODE_UVLO=1, "Ruv2", "")</f>
        <v/>
      </c>
      <c r="E261" s="418" t="str">
        <f>IF(MODE_UVLO=1, "Rhys", "")</f>
        <v/>
      </c>
      <c r="F261" s="418" t="s">
        <v>8</v>
      </c>
      <c r="G261" s="418" t="s">
        <v>51</v>
      </c>
      <c r="H261" s="63" t="s">
        <v>573</v>
      </c>
      <c r="I261" s="20"/>
    </row>
    <row r="262" spans="1:9" x14ac:dyDescent="0.2">
      <c r="A262" s="19" t="str">
        <f>"RUV1 = "&amp;C262</f>
        <v xml:space="preserve">RUV1 = </v>
      </c>
      <c r="B262" t="str">
        <f>'Design Regulator'!E43&amp;" MΩ"</f>
        <v>1 MΩ</v>
      </c>
      <c r="C262" s="418" t="str">
        <f>IF(MODE_UVLO=1,'Design Regulator'!E43&amp;"MΩ", "")</f>
        <v/>
      </c>
      <c r="F262" t="str">
        <f>IF(MODE_UVLO=1,'Design Regulator'!E43, "")</f>
        <v/>
      </c>
      <c r="G262" s="63" t="str">
        <f>IF(MODE_UVLO=1,"MΩ", "")</f>
        <v/>
      </c>
      <c r="H262" s="418" t="str">
        <f>IF(MODE_UVLO=1,'Design Regulator'!E43&amp;"M", "")</f>
        <v/>
      </c>
      <c r="I262" s="20"/>
    </row>
    <row r="263" spans="1:9" x14ac:dyDescent="0.2">
      <c r="A263" s="19" t="str">
        <f>"RUV2 = "&amp;C263</f>
        <v xml:space="preserve">RUV2 = </v>
      </c>
      <c r="B263" t="str">
        <f>IF(D169&gt;=1000, D169/1000&amp;" MΩ", D169&amp;" kΩ")</f>
        <v>64.9 kΩ</v>
      </c>
      <c r="C263" s="418" t="str">
        <f>IF(MODE_UVLO=1, IF(D169&lt;1, D169*1000&amp;"Ω", IF(D169&lt;1000, D169&amp;"kΩ", D169/1000&amp;"MΩ")), "")</f>
        <v/>
      </c>
      <c r="F263" t="str">
        <f>IF(MODE_UVLO=1, IF(D169&lt;1, D169*1000, IF(D169&lt;1000, D169, D169/1000)), "")</f>
        <v/>
      </c>
      <c r="G263" s="63" t="str">
        <f>IF(MODE_UVLO=1, IF(D169&lt;1, "Ω", IF(D169&lt;1000,"kΩ", "MΩ")), "")</f>
        <v/>
      </c>
      <c r="H263" s="418" t="str">
        <f>IF(MODE_UVLO=1, IF(D169&lt;1, D169*1000, IF(D169&lt;1000, D169&amp;"k", D169/1000&amp;"M")), "")</f>
        <v/>
      </c>
      <c r="I263" s="20"/>
    </row>
    <row r="264" spans="1:9" x14ac:dyDescent="0.2">
      <c r="A264" s="19" t="str">
        <f>"RHYS = "&amp;C264</f>
        <v xml:space="preserve">RHYS = </v>
      </c>
      <c r="B264" t="str">
        <f>IF(D170&lt;1000, D170&amp;" kΩ", D170&amp;" MΩ")</f>
        <v>3.32 kΩ</v>
      </c>
      <c r="C264" s="418" t="str">
        <f>IF(MODE_UVLO=1, IF(D170&lt;1, D170*1000&amp;"Ω", IF(D170&lt;1000, D170&amp;"kΩ", D170/1000&amp;"MΩ")), "")</f>
        <v/>
      </c>
      <c r="F264" t="str">
        <f>IF(MODE_UVLO=1, IF(D170&lt;1, D170*1000, IF(D170&lt;1000, D170, D170/1000)), "")</f>
        <v/>
      </c>
      <c r="G264" s="63" t="str">
        <f>IF(MODE_UVLO=1, IF(D170&lt;1, "Ω", IF(D170&lt;1000,"kΩ", "MΩ")), "")</f>
        <v/>
      </c>
      <c r="H264" s="418" t="str">
        <f>IF(MODE_UVLO=1, IF(D170&lt;1, D170*1000, IF(D170&lt;1000, D170&amp;"k", D170&amp;"M")), "")</f>
        <v/>
      </c>
      <c r="I264" s="20"/>
    </row>
    <row r="265" spans="1:9" x14ac:dyDescent="0.2">
      <c r="A265" s="19"/>
      <c r="B265" s="64"/>
      <c r="C265" s="160"/>
      <c r="E265" s="103"/>
      <c r="I265" s="20"/>
    </row>
    <row r="266" spans="1:9" x14ac:dyDescent="0.2">
      <c r="A266" s="19" t="str">
        <f>"Css = "&amp;Css*1000000000&amp;"nF"</f>
        <v>Css = 48.6nF</v>
      </c>
      <c r="B266" t="str">
        <f>Css*1000000000&amp;"nF"</f>
        <v>48.6nF</v>
      </c>
      <c r="I266" s="20"/>
    </row>
    <row r="267" spans="1:9" x14ac:dyDescent="0.2">
      <c r="A267" s="19" t="s">
        <v>86</v>
      </c>
      <c r="B267" t="str">
        <f>CHOOSE(MODE_SS,'Standard Value Calculator'!B4*1000000000&amp;"nF","","100kΩ")</f>
        <v>47nF</v>
      </c>
      <c r="C267" t="str">
        <f>CHOOSE(MODE_SS,"Css","","Rss")</f>
        <v>Css</v>
      </c>
      <c r="D267" s="433" t="str">
        <f>B267</f>
        <v>47nF</v>
      </c>
      <c r="I267" s="20"/>
    </row>
    <row r="268" spans="1:9" x14ac:dyDescent="0.2">
      <c r="A268" s="19"/>
      <c r="C268" s="63" t="str">
        <f>C267</f>
        <v>Css</v>
      </c>
      <c r="D268" s="3"/>
      <c r="I268" s="20"/>
    </row>
    <row r="269" spans="1:9" x14ac:dyDescent="0.2">
      <c r="A269" s="19"/>
      <c r="C269" s="63"/>
      <c r="D269" s="3"/>
      <c r="I269" s="20"/>
    </row>
    <row r="270" spans="1:9" x14ac:dyDescent="0.2">
      <c r="A270" s="101" t="s">
        <v>498</v>
      </c>
      <c r="B270" s="3" t="str">
        <f>IF(SHORT_ILIM, "YES", "NO")</f>
        <v>YES</v>
      </c>
      <c r="C270" s="63" t="str">
        <f>IF(SHORT_ILIM=1, "", "R3")</f>
        <v/>
      </c>
      <c r="F270">
        <f>SHORT_ILIM</f>
        <v>1</v>
      </c>
      <c r="I270" s="20"/>
    </row>
    <row r="271" spans="1:9" x14ac:dyDescent="0.2">
      <c r="A271" s="101" t="s">
        <v>451</v>
      </c>
      <c r="B271" t="str">
        <f>IF(MODE_ILIM=4, "", C271&amp;"kΩ")</f>
        <v/>
      </c>
      <c r="C271">
        <f>IF(MODE_ILIM=1, 100, IF(MODE_ILIM=2,56.2, IF(MODE_ILIM=3, 24.9, 0)))</f>
        <v>0</v>
      </c>
      <c r="I271" s="20"/>
    </row>
    <row r="272" spans="1:9" x14ac:dyDescent="0.2">
      <c r="I272" s="20"/>
    </row>
    <row r="273" spans="1:9" x14ac:dyDescent="0.2">
      <c r="A273" s="101"/>
      <c r="B273" s="64"/>
      <c r="C273"/>
      <c r="I273" s="20"/>
    </row>
    <row r="274" spans="1:9" x14ac:dyDescent="0.2">
      <c r="A274" s="101" t="s">
        <v>170</v>
      </c>
      <c r="B274" s="63" t="s">
        <v>505</v>
      </c>
      <c r="C274"/>
      <c r="I274" s="20"/>
    </row>
    <row r="275" spans="1:9" x14ac:dyDescent="0.2">
      <c r="A275" s="101"/>
      <c r="B275" s="63"/>
      <c r="C275"/>
      <c r="I275" s="20"/>
    </row>
    <row r="276" spans="1:9" x14ac:dyDescent="0.2">
      <c r="A276" s="101" t="s">
        <v>263</v>
      </c>
      <c r="B276" s="64" t="e">
        <f>ROUND('COT Efficiency'!BW106,1)&amp;"%"</f>
        <v>#NAME?</v>
      </c>
      <c r="C276"/>
      <c r="I276" s="20"/>
    </row>
    <row r="277" spans="1:9" x14ac:dyDescent="0.2">
      <c r="A277" s="101" t="s">
        <v>263</v>
      </c>
      <c r="B277" s="64" t="str">
        <f>ROUND('COT Efficiency'!BW107,1)&amp;"%"</f>
        <v>0%</v>
      </c>
      <c r="C277"/>
      <c r="I277" s="20"/>
    </row>
    <row r="278" spans="1:9" x14ac:dyDescent="0.2">
      <c r="A278" s="101" t="s">
        <v>502</v>
      </c>
      <c r="B278" s="64" t="e">
        <f>ROUND('COT Efficiency'!BW16,1)&amp;"%"</f>
        <v>#NAME?</v>
      </c>
      <c r="C278" s="63" t="s">
        <v>511</v>
      </c>
      <c r="I278" s="20"/>
    </row>
    <row r="279" spans="1:9" x14ac:dyDescent="0.2">
      <c r="A279" s="101" t="s">
        <v>510</v>
      </c>
      <c r="B279" s="64" t="e">
        <f>ROUND('COT Efficiency'!BW56,1)&amp;"%"</f>
        <v>#NAME?</v>
      </c>
      <c r="C279" s="63" t="s">
        <v>512</v>
      </c>
      <c r="I279" s="20"/>
    </row>
    <row r="280" spans="1:9" x14ac:dyDescent="0.2">
      <c r="A280" s="19"/>
      <c r="I280" s="20"/>
    </row>
    <row r="281" spans="1:9" x14ac:dyDescent="0.2">
      <c r="A281" s="19" t="s">
        <v>108</v>
      </c>
      <c r="B281" t="str">
        <f>IF(C281="y","","|")</f>
        <v>|</v>
      </c>
      <c r="C281" s="3" t="s">
        <v>544</v>
      </c>
      <c r="I281" s="20"/>
    </row>
    <row r="282" spans="1:9" x14ac:dyDescent="0.2">
      <c r="A282" s="19"/>
      <c r="I282" s="20"/>
    </row>
    <row r="283" spans="1:9" x14ac:dyDescent="0.2">
      <c r="A283" s="19" t="s">
        <v>114</v>
      </c>
      <c r="B283" t="str">
        <f>'Design Regulator'!$E$10&amp;"mA"</f>
        <v>150mA</v>
      </c>
      <c r="I283" s="20"/>
    </row>
    <row r="284" spans="1:9" x14ac:dyDescent="0.2">
      <c r="A284" s="19"/>
      <c r="I284" s="20"/>
    </row>
    <row r="285" spans="1:9" x14ac:dyDescent="0.2">
      <c r="A285" s="19" t="s">
        <v>120</v>
      </c>
      <c r="B285">
        <v>2</v>
      </c>
      <c r="I285" s="20"/>
    </row>
    <row r="286" spans="1:9" x14ac:dyDescent="0.2">
      <c r="A286" s="101" t="s">
        <v>268</v>
      </c>
      <c r="B286">
        <v>5</v>
      </c>
      <c r="I286" s="20"/>
    </row>
    <row r="287" spans="1:9" x14ac:dyDescent="0.2">
      <c r="A287" s="19" t="s">
        <v>121</v>
      </c>
      <c r="B287">
        <v>7</v>
      </c>
      <c r="I287" s="20"/>
    </row>
    <row r="288" spans="1:9" x14ac:dyDescent="0.2">
      <c r="A288" s="19" t="s">
        <v>122</v>
      </c>
      <c r="B288">
        <v>6</v>
      </c>
      <c r="I288" s="20"/>
    </row>
    <row r="289" spans="1:9" x14ac:dyDescent="0.2">
      <c r="A289" s="101" t="s">
        <v>269</v>
      </c>
      <c r="B289">
        <v>4</v>
      </c>
      <c r="I289" s="20"/>
    </row>
    <row r="290" spans="1:9" x14ac:dyDescent="0.2">
      <c r="A290" s="101" t="s">
        <v>270</v>
      </c>
      <c r="B290">
        <v>3</v>
      </c>
      <c r="I290" s="20"/>
    </row>
    <row r="291" spans="1:9" x14ac:dyDescent="0.2">
      <c r="A291" s="19" t="s">
        <v>123</v>
      </c>
      <c r="B291">
        <v>10</v>
      </c>
      <c r="I291" s="20"/>
    </row>
    <row r="292" spans="1:9" x14ac:dyDescent="0.2">
      <c r="A292" s="19" t="s">
        <v>124</v>
      </c>
      <c r="B292">
        <v>8</v>
      </c>
      <c r="I292" s="20"/>
    </row>
    <row r="293" spans="1:9" x14ac:dyDescent="0.2">
      <c r="A293" s="19" t="s">
        <v>125</v>
      </c>
      <c r="B293">
        <v>1</v>
      </c>
      <c r="I293" s="20"/>
    </row>
    <row r="294" spans="1:9" ht="13.5" thickBot="1" x14ac:dyDescent="0.25">
      <c r="A294" s="167" t="s">
        <v>271</v>
      </c>
      <c r="B294" s="24">
        <v>9</v>
      </c>
      <c r="C294" s="159"/>
      <c r="D294" s="24"/>
      <c r="E294" s="24"/>
      <c r="F294" s="24"/>
      <c r="G294" s="24"/>
      <c r="H294" s="24"/>
      <c r="I294" s="25"/>
    </row>
    <row r="298" spans="1:9" x14ac:dyDescent="0.2">
      <c r="B298" s="63" t="s">
        <v>623</v>
      </c>
      <c r="C298" s="188"/>
      <c r="D298" s="188"/>
      <c r="E298" s="188"/>
      <c r="F298" s="188"/>
    </row>
    <row r="299" spans="1:9" x14ac:dyDescent="0.2">
      <c r="C299" s="188">
        <v>1.8</v>
      </c>
      <c r="D299" s="188">
        <v>3.3</v>
      </c>
      <c r="E299" s="188">
        <v>5</v>
      </c>
      <c r="F299" s="188">
        <v>12</v>
      </c>
    </row>
    <row r="300" spans="1:9" x14ac:dyDescent="0.2">
      <c r="B300" s="188">
        <v>100</v>
      </c>
      <c r="C300" s="566">
        <f>$C$299/B300/1.6*10000</f>
        <v>112.50000000000001</v>
      </c>
      <c r="D300" s="566">
        <f>$D$299/B300/1.6*10000</f>
        <v>206.25</v>
      </c>
      <c r="E300" s="566">
        <f>$E$299/B300/1.6*10000</f>
        <v>312.5</v>
      </c>
      <c r="F300" s="566">
        <f>$F$299/B300/1.6*10000</f>
        <v>750</v>
      </c>
    </row>
    <row r="301" spans="1:9" x14ac:dyDescent="0.2">
      <c r="B301" s="188">
        <v>200</v>
      </c>
      <c r="C301" s="566">
        <f t="shared" ref="C301:C305" si="0">$C$299/B301/1.6*10000</f>
        <v>56.250000000000007</v>
      </c>
      <c r="D301" s="566">
        <f t="shared" ref="D301:D305" si="1">$D$299/B301/1.6*10000</f>
        <v>103.125</v>
      </c>
      <c r="E301" s="566">
        <f t="shared" ref="E301:E305" si="2">$E$299/B301/1.6*10000</f>
        <v>156.25</v>
      </c>
      <c r="F301" s="566">
        <f t="shared" ref="F301:F305" si="3">$F$299/B301/1.6*10000</f>
        <v>375</v>
      </c>
    </row>
    <row r="302" spans="1:9" x14ac:dyDescent="0.2">
      <c r="B302" s="188">
        <v>300</v>
      </c>
      <c r="C302" s="566">
        <f t="shared" si="0"/>
        <v>37.5</v>
      </c>
      <c r="D302" s="566">
        <f t="shared" si="1"/>
        <v>68.749999999999986</v>
      </c>
      <c r="E302" s="566">
        <f t="shared" si="2"/>
        <v>104.16666666666666</v>
      </c>
      <c r="F302" s="566">
        <f t="shared" si="3"/>
        <v>249.99999999999997</v>
      </c>
    </row>
    <row r="303" spans="1:9" x14ac:dyDescent="0.2">
      <c r="B303" s="188">
        <v>400</v>
      </c>
      <c r="C303" s="566">
        <f t="shared" si="0"/>
        <v>28.125000000000004</v>
      </c>
      <c r="D303" s="566">
        <f t="shared" si="1"/>
        <v>51.5625</v>
      </c>
      <c r="E303" s="566">
        <f t="shared" si="2"/>
        <v>78.125</v>
      </c>
      <c r="F303" s="566">
        <f t="shared" si="3"/>
        <v>187.5</v>
      </c>
    </row>
    <row r="304" spans="1:9" x14ac:dyDescent="0.2">
      <c r="B304" s="188">
        <v>500</v>
      </c>
      <c r="C304" s="566">
        <f t="shared" si="0"/>
        <v>22.5</v>
      </c>
      <c r="D304" s="566">
        <f t="shared" si="1"/>
        <v>41.249999999999993</v>
      </c>
      <c r="E304" s="566">
        <f t="shared" si="2"/>
        <v>62.499999999999993</v>
      </c>
      <c r="F304" s="566">
        <f t="shared" si="3"/>
        <v>150</v>
      </c>
    </row>
    <row r="305" spans="2:6" x14ac:dyDescent="0.2">
      <c r="B305" s="188">
        <v>600</v>
      </c>
      <c r="C305" s="566">
        <f t="shared" si="0"/>
        <v>18.75</v>
      </c>
      <c r="D305" s="566">
        <f t="shared" si="1"/>
        <v>34.374999999999993</v>
      </c>
      <c r="E305" s="566">
        <f t="shared" si="2"/>
        <v>52.083333333333329</v>
      </c>
      <c r="F305" s="566">
        <f t="shared" si="3"/>
        <v>124.99999999999999</v>
      </c>
    </row>
  </sheetData>
  <sheetProtection selectLockedCells="1"/>
  <mergeCells count="2">
    <mergeCell ref="E5:H5"/>
    <mergeCell ref="A1:I1"/>
  </mergeCells>
  <phoneticPr fontId="6" type="noConversion"/>
  <pageMargins left="0.75" right="0.75" top="1" bottom="1" header="0.5" footer="0.5"/>
  <pageSetup orientation="portrait" r:id="rId1"/>
  <headerFooter alignWithMargins="0"/>
  <ignoredErrors>
    <ignoredError sqref="R39:R43" numberStoredAsText="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tabColor rgb="FFFF0000"/>
  </sheetPr>
  <dimension ref="A2:T66"/>
  <sheetViews>
    <sheetView zoomScale="40" zoomScaleNormal="40" zoomScaleSheetLayoutView="145" workbookViewId="0">
      <selection activeCell="E3" sqref="E3"/>
    </sheetView>
  </sheetViews>
  <sheetFormatPr defaultRowHeight="12.75" x14ac:dyDescent="0.2"/>
  <cols>
    <col min="1" max="1" width="12.7109375" style="393" customWidth="1"/>
    <col min="2" max="2" width="124.85546875" customWidth="1"/>
    <col min="3" max="4" width="9.140625" style="393"/>
    <col min="5" max="5" width="124.85546875" customWidth="1"/>
    <col min="8" max="8" width="124.85546875" customWidth="1"/>
  </cols>
  <sheetData>
    <row r="2" spans="1:6" x14ac:dyDescent="0.2">
      <c r="A2" s="393" t="str">
        <f>'Variable Mgmt'!K27</f>
        <v>SCH_COT_VOUTfixed_UVLOInt_SSAdj_IlimGND</v>
      </c>
    </row>
    <row r="5" spans="1:6" s="393" customFormat="1" ht="13.5" customHeight="1" x14ac:dyDescent="0.2"/>
    <row r="6" spans="1:6" s="393" customFormat="1" ht="16.5" customHeight="1" x14ac:dyDescent="0.2"/>
    <row r="7" spans="1:6" ht="327.75" customHeight="1" x14ac:dyDescent="0.2">
      <c r="E7" s="84"/>
    </row>
    <row r="8" spans="1:6" s="393" customFormat="1" ht="17.25" customHeight="1" x14ac:dyDescent="0.2"/>
    <row r="9" spans="1:6" ht="327.75" customHeight="1" x14ac:dyDescent="0.2">
      <c r="B9" s="63"/>
      <c r="E9" s="84"/>
      <c r="F9" s="393"/>
    </row>
    <row r="10" spans="1:6" s="393" customFormat="1" x14ac:dyDescent="0.2"/>
    <row r="11" spans="1:6" ht="327.75" customHeight="1" x14ac:dyDescent="0.2">
      <c r="B11" s="84"/>
      <c r="E11" s="393"/>
      <c r="F11" s="393"/>
    </row>
    <row r="12" spans="1:6" x14ac:dyDescent="0.2">
      <c r="B12" s="393"/>
      <c r="E12" s="393"/>
      <c r="F12" s="393"/>
    </row>
    <row r="13" spans="1:6" ht="327.75" customHeight="1" x14ac:dyDescent="0.2">
      <c r="B13" s="84"/>
      <c r="E13" s="393"/>
      <c r="F13" s="393"/>
    </row>
    <row r="14" spans="1:6" x14ac:dyDescent="0.2">
      <c r="B14" s="393"/>
      <c r="E14" s="393"/>
      <c r="F14" s="393"/>
    </row>
    <row r="15" spans="1:6" ht="327.75" customHeight="1" x14ac:dyDescent="0.2">
      <c r="E15" s="393"/>
      <c r="F15" s="393"/>
    </row>
    <row r="16" spans="1:6" x14ac:dyDescent="0.2">
      <c r="B16" s="393"/>
      <c r="E16" s="393"/>
    </row>
    <row r="17" spans="2:6" ht="327.75" customHeight="1" x14ac:dyDescent="0.2">
      <c r="B17" s="84"/>
      <c r="E17" s="393"/>
      <c r="F17" s="393"/>
    </row>
    <row r="18" spans="2:6" ht="327.75" customHeight="1" x14ac:dyDescent="0.2">
      <c r="B18" s="393"/>
      <c r="E18" s="393"/>
    </row>
    <row r="19" spans="2:6" ht="327.75" customHeight="1" x14ac:dyDescent="0.2">
      <c r="B19" s="393"/>
      <c r="E19" s="393"/>
    </row>
    <row r="20" spans="2:6" ht="327.75" customHeight="1" x14ac:dyDescent="0.2">
      <c r="B20" s="393"/>
      <c r="E20" s="393"/>
    </row>
    <row r="21" spans="2:6" ht="327.75" customHeight="1" x14ac:dyDescent="0.2">
      <c r="B21" s="393"/>
      <c r="E21" s="393"/>
    </row>
    <row r="22" spans="2:6" x14ac:dyDescent="0.2">
      <c r="B22" s="393"/>
      <c r="E22" s="393"/>
    </row>
    <row r="23" spans="2:6" ht="327.75" customHeight="1" x14ac:dyDescent="0.2">
      <c r="B23" s="393"/>
      <c r="E23" s="393"/>
    </row>
    <row r="24" spans="2:6" x14ac:dyDescent="0.2">
      <c r="B24" s="393"/>
      <c r="E24" s="393"/>
    </row>
    <row r="25" spans="2:6" ht="327.75" customHeight="1" x14ac:dyDescent="0.2">
      <c r="B25" s="393"/>
      <c r="E25" s="393"/>
    </row>
    <row r="26" spans="2:6" x14ac:dyDescent="0.2">
      <c r="E26" s="393"/>
    </row>
    <row r="27" spans="2:6" ht="327.60000000000002" customHeight="1" x14ac:dyDescent="0.2">
      <c r="B27" s="393"/>
      <c r="E27" s="393"/>
    </row>
    <row r="28" spans="2:6" x14ac:dyDescent="0.2">
      <c r="B28" s="393"/>
      <c r="E28" s="393"/>
    </row>
    <row r="29" spans="2:6" ht="327.75" customHeight="1" x14ac:dyDescent="0.2">
      <c r="B29" s="393"/>
      <c r="E29" s="393"/>
    </row>
    <row r="30" spans="2:6" ht="13.5" customHeight="1" x14ac:dyDescent="0.2">
      <c r="B30" s="393"/>
      <c r="E30" s="393"/>
    </row>
    <row r="31" spans="2:6" ht="327.75" customHeight="1" x14ac:dyDescent="0.2">
      <c r="B31" s="393"/>
      <c r="E31" s="393"/>
    </row>
    <row r="32" spans="2:6" ht="13.5" customHeight="1" x14ac:dyDescent="0.2">
      <c r="B32" s="393"/>
      <c r="E32" s="393"/>
    </row>
    <row r="33" spans="2:20" ht="327.75" customHeight="1" x14ac:dyDescent="0.2">
      <c r="B33" s="393"/>
      <c r="E33" s="393"/>
    </row>
    <row r="34" spans="2:20" ht="13.5" customHeight="1" x14ac:dyDescent="0.2">
      <c r="B34" s="393"/>
      <c r="E34" s="393"/>
    </row>
    <row r="35" spans="2:20" ht="327.60000000000002" customHeight="1" x14ac:dyDescent="0.2">
      <c r="B35" s="393"/>
      <c r="E35" s="393"/>
    </row>
    <row r="36" spans="2:20" ht="13.5" customHeight="1" x14ac:dyDescent="0.2">
      <c r="B36" s="393"/>
      <c r="E36" s="393"/>
    </row>
    <row r="37" spans="2:20" ht="327.75" customHeight="1" x14ac:dyDescent="0.2">
      <c r="B37" s="393"/>
      <c r="E37" s="393"/>
    </row>
    <row r="38" spans="2:20" ht="13.5" customHeight="1" x14ac:dyDescent="0.35">
      <c r="B38" s="393"/>
      <c r="E38" s="393"/>
      <c r="G38" s="394"/>
    </row>
    <row r="39" spans="2:20" ht="327.75" customHeight="1" x14ac:dyDescent="0.2">
      <c r="B39" s="393"/>
      <c r="E39" s="393"/>
    </row>
    <row r="40" spans="2:20" x14ac:dyDescent="0.2">
      <c r="B40" s="393"/>
      <c r="E40" s="393"/>
      <c r="Q40" s="9"/>
      <c r="S40" s="9"/>
      <c r="T40" s="9"/>
    </row>
    <row r="41" spans="2:20" ht="327.75" customHeight="1" x14ac:dyDescent="0.2">
      <c r="B41" s="393"/>
      <c r="E41" s="393"/>
      <c r="Q41" s="9"/>
      <c r="S41" s="9"/>
    </row>
    <row r="42" spans="2:20" x14ac:dyDescent="0.2">
      <c r="B42" s="393"/>
      <c r="E42" s="393"/>
      <c r="Q42" s="9"/>
      <c r="S42" s="9"/>
    </row>
    <row r="43" spans="2:20" ht="327.75" customHeight="1" x14ac:dyDescent="0.2">
      <c r="B43" s="393"/>
      <c r="E43" s="393"/>
      <c r="Q43" s="9"/>
      <c r="S43" s="9"/>
    </row>
    <row r="44" spans="2:20" x14ac:dyDescent="0.2">
      <c r="B44" s="393"/>
      <c r="E44" s="393"/>
      <c r="Q44" s="9"/>
      <c r="S44" s="9"/>
    </row>
    <row r="45" spans="2:20" ht="327.75" customHeight="1" x14ac:dyDescent="0.2">
      <c r="B45" s="393"/>
      <c r="E45" s="393"/>
      <c r="Q45" s="9"/>
      <c r="S45" s="9"/>
    </row>
    <row r="46" spans="2:20" x14ac:dyDescent="0.2">
      <c r="B46" s="393"/>
      <c r="E46" s="393"/>
      <c r="Q46" s="9"/>
      <c r="S46" s="9"/>
    </row>
    <row r="47" spans="2:20" ht="327.75" customHeight="1" x14ac:dyDescent="0.2">
      <c r="B47" s="393"/>
      <c r="E47" s="393"/>
      <c r="Q47" s="9"/>
      <c r="S47" s="395"/>
    </row>
    <row r="48" spans="2:20" x14ac:dyDescent="0.2">
      <c r="B48" s="393"/>
      <c r="E48" s="393"/>
      <c r="Q48" s="9"/>
      <c r="S48" s="9"/>
    </row>
    <row r="49" spans="2:19" ht="327.75" customHeight="1" x14ac:dyDescent="0.2">
      <c r="B49" s="393"/>
      <c r="E49" s="393"/>
      <c r="Q49" s="9"/>
      <c r="S49" s="9"/>
    </row>
    <row r="50" spans="2:19" x14ac:dyDescent="0.2">
      <c r="B50" s="393"/>
      <c r="E50" s="393"/>
      <c r="Q50" s="9"/>
      <c r="S50" s="9"/>
    </row>
    <row r="51" spans="2:19" x14ac:dyDescent="0.2">
      <c r="B51" s="393"/>
      <c r="E51" s="393"/>
      <c r="Q51" s="9"/>
      <c r="S51" s="9"/>
    </row>
    <row r="52" spans="2:19" x14ac:dyDescent="0.2">
      <c r="B52" s="393"/>
      <c r="E52" s="393"/>
      <c r="Q52" s="9"/>
      <c r="S52" s="9"/>
    </row>
    <row r="53" spans="2:19" x14ac:dyDescent="0.2">
      <c r="B53" s="393"/>
      <c r="E53" s="393"/>
    </row>
    <row r="54" spans="2:19" x14ac:dyDescent="0.2">
      <c r="B54" s="393"/>
      <c r="E54" s="393"/>
    </row>
    <row r="55" spans="2:19" x14ac:dyDescent="0.2">
      <c r="B55" s="393"/>
      <c r="E55" s="393"/>
      <c r="R55" s="3"/>
    </row>
    <row r="56" spans="2:19" x14ac:dyDescent="0.2">
      <c r="B56" s="393"/>
      <c r="E56" s="393"/>
    </row>
    <row r="57" spans="2:19" x14ac:dyDescent="0.2">
      <c r="B57" s="393"/>
      <c r="E57" s="393"/>
    </row>
    <row r="66" spans="18:18" x14ac:dyDescent="0.2">
      <c r="R66" s="3"/>
    </row>
  </sheetData>
  <conditionalFormatting sqref="O6">
    <cfRule type="cellIs" dxfId="23" priority="1" stopIfTrue="1" operator="equal">
      <formula>"n"</formula>
    </cfRule>
  </conditionalFormatting>
  <pageMargins left="0.75" right="0.75" top="1" bottom="1" header="0.5" footer="0.5"/>
  <pageSetup scale="83" orientation="portrait"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dimension ref="A2:B7"/>
  <sheetViews>
    <sheetView topLeftCell="A13" zoomScaleNormal="100" workbookViewId="0">
      <selection activeCell="B15" sqref="B15"/>
    </sheetView>
  </sheetViews>
  <sheetFormatPr defaultRowHeight="12.75" x14ac:dyDescent="0.2"/>
  <cols>
    <col min="2" max="2" width="126.42578125" customWidth="1"/>
  </cols>
  <sheetData>
    <row r="2" spans="1:2" ht="17.25" customHeight="1" x14ac:dyDescent="0.2">
      <c r="A2" t="str">
        <f>IF(PLOT_TYPE=1, "EFF_LINEAR", "EFF_LOG")</f>
        <v>EFF_LINEAR</v>
      </c>
    </row>
    <row r="5" spans="1:2" ht="409.5" customHeight="1" x14ac:dyDescent="0.2">
      <c r="B5" s="393"/>
    </row>
    <row r="6" spans="1:2" ht="17.100000000000001" customHeight="1" x14ac:dyDescent="0.2"/>
    <row r="7" spans="1:2" ht="409.5" customHeight="1" x14ac:dyDescent="0.2">
      <c r="B7" s="393"/>
    </row>
  </sheetData>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BT138"/>
  <sheetViews>
    <sheetView showWhiteSpace="0" zoomScale="90" zoomScaleNormal="90" workbookViewId="0">
      <pane ySplit="5" topLeftCell="A6" activePane="bottomLeft" state="frozen"/>
      <selection pane="bottomLeft" activeCell="BF62" sqref="BF62"/>
    </sheetView>
  </sheetViews>
  <sheetFormatPr defaultColWidth="9.140625" defaultRowHeight="12.75" x14ac:dyDescent="0.2"/>
  <cols>
    <col min="1" max="1" width="16.7109375" style="173" customWidth="1"/>
    <col min="2" max="2" width="13.7109375" style="173" customWidth="1"/>
    <col min="3" max="3" width="9.140625" style="173"/>
    <col min="4" max="4" width="12.42578125" style="173" bestFit="1" customWidth="1"/>
    <col min="5" max="5" width="51.42578125" style="173" customWidth="1"/>
    <col min="6" max="6" width="13.42578125" style="173" customWidth="1"/>
    <col min="7" max="7" width="10" style="173" customWidth="1"/>
    <col min="8" max="8" width="6.85546875" style="173" customWidth="1"/>
    <col min="9" max="9" width="10.28515625" style="173" customWidth="1"/>
    <col min="10" max="10" width="9.140625" style="232" customWidth="1"/>
    <col min="11" max="11" width="8.7109375" style="232" customWidth="1"/>
    <col min="12" max="12" width="10" style="173" customWidth="1"/>
    <col min="13" max="13" width="12" style="232" customWidth="1"/>
    <col min="14" max="14" width="11.28515625" style="232" customWidth="1"/>
    <col min="15" max="15" width="10.42578125" style="232" customWidth="1"/>
    <col min="16" max="16" width="11.140625" style="208" customWidth="1"/>
    <col min="17" max="17" width="8.42578125" style="232" customWidth="1"/>
    <col min="18" max="18" width="9.28515625" style="232" customWidth="1"/>
    <col min="19" max="19" width="8.7109375" style="173" customWidth="1"/>
    <col min="20" max="20" width="9.140625" style="232" customWidth="1"/>
    <col min="21" max="21" width="8.28515625" style="233" customWidth="1"/>
    <col min="22" max="22" width="9.5703125" style="232" customWidth="1"/>
    <col min="23" max="23" width="9.42578125" style="232" bestFit="1" customWidth="1"/>
    <col min="24" max="24" width="8.5703125" style="232" customWidth="1"/>
    <col min="25" max="26" width="9.7109375" style="234" customWidth="1"/>
    <col min="27" max="27" width="8.140625" style="232" customWidth="1"/>
    <col min="28" max="28" width="10.28515625" style="232" customWidth="1"/>
    <col min="29" max="31" width="9.42578125" style="232" customWidth="1"/>
    <col min="32" max="32" width="10.140625" style="232" customWidth="1"/>
    <col min="33" max="33" width="8.42578125" style="232" customWidth="1"/>
    <col min="34" max="34" width="11.140625" style="232" customWidth="1"/>
    <col min="35" max="35" width="9.42578125" style="232" customWidth="1"/>
    <col min="36" max="36" width="10.28515625" style="232" customWidth="1"/>
    <col min="37" max="37" width="9.85546875" style="232" customWidth="1"/>
    <col min="38" max="38" width="9.7109375" style="232" customWidth="1"/>
    <col min="39" max="39" width="10.28515625" style="232" customWidth="1"/>
    <col min="40" max="40" width="10.140625" style="232" customWidth="1"/>
    <col min="41" max="41" width="15.28515625" style="232" customWidth="1"/>
    <col min="42" max="42" width="10.5703125" style="232" customWidth="1"/>
    <col min="43" max="43" width="10.140625" style="232" customWidth="1"/>
    <col min="44" max="44" width="10.7109375" style="232" customWidth="1"/>
    <col min="45" max="45" width="12.28515625" style="232" customWidth="1"/>
    <col min="46" max="46" width="10.140625" style="232" customWidth="1"/>
    <col min="47" max="47" width="10" style="175" bestFit="1" customWidth="1"/>
    <col min="48" max="48" width="10.85546875" style="235" customWidth="1"/>
    <col min="49" max="49" width="11.140625" style="235" customWidth="1"/>
    <col min="50" max="50" width="11.85546875" style="235" customWidth="1"/>
    <col min="51" max="51" width="12" style="173" customWidth="1"/>
    <col min="52" max="52" width="9.140625" style="173" customWidth="1"/>
    <col min="53" max="53" width="10.5703125" style="173" customWidth="1"/>
    <col min="54" max="54" width="9.28515625" style="235" customWidth="1"/>
    <col min="55" max="55" width="8.85546875" style="173" customWidth="1"/>
    <col min="56" max="56" width="9.42578125" style="173" customWidth="1"/>
    <col min="57" max="57" width="10.7109375" style="173" customWidth="1"/>
    <col min="58" max="58" width="8" style="173" customWidth="1"/>
    <col min="59" max="59" width="7.5703125" style="235" customWidth="1"/>
    <col min="60" max="60" width="9" style="233" customWidth="1"/>
    <col min="61" max="61" width="9.140625" style="173"/>
    <col min="62" max="62" width="12.5703125" style="173" customWidth="1"/>
    <col min="63" max="63" width="13.5703125" style="173" customWidth="1"/>
    <col min="64" max="64" width="12.7109375" style="208" customWidth="1"/>
    <col min="65" max="65" width="9.140625" style="173"/>
    <col min="66" max="66" width="12.42578125" style="175" bestFit="1" customWidth="1"/>
    <col min="67" max="68" width="9.140625" style="175"/>
    <col min="69" max="16384" width="9.140625" style="173"/>
  </cols>
  <sheetData>
    <row r="1" spans="1:72" x14ac:dyDescent="0.2">
      <c r="A1" s="596" t="s">
        <v>405</v>
      </c>
      <c r="B1" s="596"/>
      <c r="C1" s="596"/>
      <c r="D1" s="596"/>
      <c r="E1" s="596"/>
    </row>
    <row r="2" spans="1:72" ht="15.75" x14ac:dyDescent="0.2">
      <c r="A2" s="596"/>
      <c r="B2" s="596"/>
      <c r="C2" s="596"/>
      <c r="D2" s="596"/>
      <c r="E2" s="596"/>
      <c r="G2" s="597" t="s">
        <v>33</v>
      </c>
      <c r="H2" s="597"/>
      <c r="P2" s="232" t="e">
        <f>Iripple</f>
        <v>#NAME?</v>
      </c>
      <c r="AI2" s="371"/>
      <c r="AO2" s="371">
        <f>Ifb</f>
        <v>6.9999999999999999E-6</v>
      </c>
    </row>
    <row r="3" spans="1:72" ht="13.5" thickBot="1" x14ac:dyDescent="0.25">
      <c r="A3" s="596"/>
      <c r="B3" s="596"/>
      <c r="C3" s="596"/>
      <c r="D3" s="596"/>
      <c r="E3" s="596"/>
    </row>
    <row r="4" spans="1:72" ht="13.5" thickBot="1" x14ac:dyDescent="0.25">
      <c r="A4" s="598"/>
      <c r="B4" s="598"/>
      <c r="C4" s="598"/>
      <c r="D4" s="598"/>
      <c r="E4" s="598"/>
      <c r="H4" s="236" t="s">
        <v>34</v>
      </c>
      <c r="I4" s="244"/>
      <c r="J4" s="238"/>
      <c r="K4" s="372" t="s">
        <v>284</v>
      </c>
      <c r="L4" s="244"/>
      <c r="M4" s="240"/>
      <c r="N4" s="373"/>
      <c r="O4" s="240"/>
      <c r="P4" s="241"/>
      <c r="Q4" s="242" t="s">
        <v>406</v>
      </c>
      <c r="R4" s="243"/>
      <c r="S4" s="244"/>
      <c r="T4" s="245"/>
      <c r="U4" s="246" t="s">
        <v>21</v>
      </c>
      <c r="V4" s="247"/>
      <c r="W4" s="238"/>
      <c r="X4" s="242" t="s">
        <v>39</v>
      </c>
      <c r="Y4" s="248"/>
      <c r="Z4" s="249"/>
      <c r="AA4" s="242" t="s">
        <v>286</v>
      </c>
      <c r="AB4" s="243"/>
      <c r="AC4" s="243"/>
      <c r="AD4" s="504"/>
      <c r="AE4" s="504"/>
      <c r="AF4" s="243"/>
      <c r="AG4" s="243"/>
      <c r="AH4" s="238"/>
      <c r="AI4" s="250" t="s">
        <v>287</v>
      </c>
      <c r="AJ4" s="251"/>
      <c r="AK4" s="251"/>
      <c r="AL4" s="252" t="s">
        <v>288</v>
      </c>
      <c r="AM4" s="253"/>
      <c r="AN4" s="254"/>
      <c r="AO4" s="251"/>
      <c r="AP4" s="255"/>
      <c r="AQ4" s="256"/>
      <c r="AR4" s="257"/>
      <c r="AS4" s="242" t="s">
        <v>255</v>
      </c>
      <c r="AT4" s="243"/>
      <c r="AU4" s="244"/>
      <c r="AV4" s="244"/>
      <c r="AW4" s="244"/>
      <c r="AX4" s="244"/>
      <c r="AY4" s="244"/>
      <c r="AZ4" s="244"/>
      <c r="BA4" s="244"/>
      <c r="BB4" s="244"/>
      <c r="BC4" s="244"/>
      <c r="BD4" s="244"/>
      <c r="BE4" s="244"/>
      <c r="BF4" s="244"/>
      <c r="BG4" s="356"/>
      <c r="BH4" s="352"/>
      <c r="BI4" s="244"/>
      <c r="BJ4" s="244"/>
      <c r="BK4" s="258"/>
      <c r="BL4" s="239"/>
      <c r="BM4" s="239"/>
      <c r="BN4" s="239" t="s">
        <v>460</v>
      </c>
      <c r="BO4" s="244"/>
      <c r="BP4" s="258"/>
    </row>
    <row r="5" spans="1:72" ht="67.5" customHeight="1" thickBot="1" x14ac:dyDescent="0.45">
      <c r="A5" s="259" t="s">
        <v>61</v>
      </c>
      <c r="B5" s="260"/>
      <c r="C5" s="260"/>
      <c r="D5" s="261"/>
      <c r="E5" s="262"/>
      <c r="H5" s="263" t="s">
        <v>36</v>
      </c>
      <c r="I5" s="264" t="s">
        <v>289</v>
      </c>
      <c r="J5" s="265" t="s">
        <v>290</v>
      </c>
      <c r="K5" s="273" t="s">
        <v>407</v>
      </c>
      <c r="L5" s="264" t="s">
        <v>291</v>
      </c>
      <c r="M5" s="266" t="s">
        <v>408</v>
      </c>
      <c r="N5" s="266" t="s">
        <v>409</v>
      </c>
      <c r="O5" s="266" t="s">
        <v>410</v>
      </c>
      <c r="P5" s="267" t="s">
        <v>411</v>
      </c>
      <c r="Q5" s="269" t="s">
        <v>295</v>
      </c>
      <c r="R5" s="266" t="s">
        <v>296</v>
      </c>
      <c r="S5" s="264" t="s">
        <v>297</v>
      </c>
      <c r="T5" s="265" t="s">
        <v>412</v>
      </c>
      <c r="U5" s="270" t="s">
        <v>295</v>
      </c>
      <c r="V5" s="266" t="s">
        <v>299</v>
      </c>
      <c r="W5" s="265" t="s">
        <v>300</v>
      </c>
      <c r="X5" s="269" t="s">
        <v>295</v>
      </c>
      <c r="Y5" s="271" t="s">
        <v>301</v>
      </c>
      <c r="Z5" s="272" t="s">
        <v>302</v>
      </c>
      <c r="AA5" s="269" t="s">
        <v>295</v>
      </c>
      <c r="AB5" s="266" t="s">
        <v>303</v>
      </c>
      <c r="AC5" s="266" t="s">
        <v>304</v>
      </c>
      <c r="AD5" s="266" t="s">
        <v>555</v>
      </c>
      <c r="AE5" s="266" t="s">
        <v>552</v>
      </c>
      <c r="AF5" s="266" t="s">
        <v>305</v>
      </c>
      <c r="AG5" s="273" t="s">
        <v>306</v>
      </c>
      <c r="AH5" s="265" t="s">
        <v>307</v>
      </c>
      <c r="AI5" s="274" t="s">
        <v>295</v>
      </c>
      <c r="AJ5" s="275" t="s">
        <v>308</v>
      </c>
      <c r="AK5" s="275" t="s">
        <v>309</v>
      </c>
      <c r="AL5" s="275" t="s">
        <v>413</v>
      </c>
      <c r="AM5" s="275" t="s">
        <v>311</v>
      </c>
      <c r="AN5" s="276" t="s">
        <v>312</v>
      </c>
      <c r="AO5" s="274" t="s">
        <v>313</v>
      </c>
      <c r="AP5" s="274" t="s">
        <v>314</v>
      </c>
      <c r="AQ5" s="274" t="s">
        <v>315</v>
      </c>
      <c r="AR5" s="277" t="s">
        <v>316</v>
      </c>
      <c r="AS5" s="374" t="s">
        <v>317</v>
      </c>
      <c r="AT5" s="355" t="s">
        <v>318</v>
      </c>
      <c r="AU5" s="375" t="s">
        <v>319</v>
      </c>
      <c r="AV5" s="357" t="s">
        <v>320</v>
      </c>
      <c r="AW5" s="357" t="s">
        <v>321</v>
      </c>
      <c r="AX5" s="357" t="s">
        <v>322</v>
      </c>
      <c r="AY5" s="279" t="s">
        <v>323</v>
      </c>
      <c r="AZ5" s="279" t="s">
        <v>414</v>
      </c>
      <c r="BA5" s="279" t="s">
        <v>415</v>
      </c>
      <c r="BB5" s="357" t="s">
        <v>326</v>
      </c>
      <c r="BC5" s="279" t="s">
        <v>327</v>
      </c>
      <c r="BD5" s="280" t="s">
        <v>328</v>
      </c>
      <c r="BE5" s="279" t="s">
        <v>329</v>
      </c>
      <c r="BF5" s="280" t="s">
        <v>330</v>
      </c>
      <c r="BG5" s="357" t="s">
        <v>443</v>
      </c>
      <c r="BH5" s="353" t="s">
        <v>331</v>
      </c>
      <c r="BI5" s="280" t="s">
        <v>332</v>
      </c>
      <c r="BJ5" s="279" t="s">
        <v>333</v>
      </c>
      <c r="BK5" s="281" t="s">
        <v>333</v>
      </c>
      <c r="BL5" s="388" t="s">
        <v>416</v>
      </c>
      <c r="BM5" s="389"/>
      <c r="BN5" s="390" t="s">
        <v>402</v>
      </c>
      <c r="BO5" s="391" t="s">
        <v>403</v>
      </c>
      <c r="BP5" s="392" t="s">
        <v>401</v>
      </c>
      <c r="BQ5" s="283"/>
      <c r="BR5" s="283"/>
      <c r="BS5" s="283"/>
      <c r="BT5" s="283"/>
    </row>
    <row r="6" spans="1:72" x14ac:dyDescent="0.2">
      <c r="A6" s="285" t="s">
        <v>37</v>
      </c>
      <c r="B6" s="286" t="s">
        <v>62</v>
      </c>
      <c r="C6" s="287" t="s">
        <v>51</v>
      </c>
      <c r="D6" s="287" t="s">
        <v>118</v>
      </c>
      <c r="E6" s="288" t="s">
        <v>60</v>
      </c>
      <c r="F6" s="289"/>
      <c r="G6" s="289"/>
      <c r="H6" s="173">
        <v>0.1</v>
      </c>
      <c r="I6" s="513">
        <f t="shared" ref="I6:I37" si="0">IF(PLOT_TYPE=1, H6/100*Iout_maxload_PFM, min_I*EXP(H6*rr/100))</f>
        <v>1.2E-4</v>
      </c>
      <c r="J6" s="175" t="e">
        <f t="shared" ref="J6:J37" si="1">IripplePFM</f>
        <v>#NAME?</v>
      </c>
      <c r="K6" s="232" t="e">
        <f t="shared" ref="K6:K37" si="2">I6*D*P6</f>
        <v>#NAME?</v>
      </c>
      <c r="L6" s="290" t="e">
        <f t="shared" ref="L6:L38" si="3">OffTime</f>
        <v>#NAME?</v>
      </c>
      <c r="M6" s="208" t="e">
        <f>1/(N6+O6)</f>
        <v>#NAME?</v>
      </c>
      <c r="N6" s="291" t="e">
        <f t="shared" ref="N6:N37" si="4">Cout*Vout_hys/(Ioutmax-I6)</f>
        <v>#NAME?</v>
      </c>
      <c r="O6" s="291">
        <f t="shared" ref="O6:O37" si="5">Cout*Vout_hys/I6</f>
        <v>3.4069228672662849E-2</v>
      </c>
      <c r="P6" s="233" t="e">
        <f>N6/(N6+O6)</f>
        <v>#NAME?</v>
      </c>
      <c r="Q6" s="232" t="e">
        <f t="shared" ref="Q6:Q37" si="6">IripplePFM/SQRT(3)*SQRT(P6)</f>
        <v>#NAME?</v>
      </c>
      <c r="R6" s="232" t="e">
        <f t="shared" ref="R6:R38" si="7">Q6^2*Rdcr</f>
        <v>#NAME?</v>
      </c>
      <c r="S6" s="517" t="e">
        <f t="shared" ref="S6:S37" si="8">P6*Fsw^2.5*(IripplePFM/2)^2.5*k_core</f>
        <v>#NAME?</v>
      </c>
      <c r="T6" s="232" t="e">
        <f>R6+S6</f>
        <v>#NAME?</v>
      </c>
      <c r="U6" s="233" t="e">
        <f t="shared" ref="U6:U37" si="9">SQRT((((I6*(1-P6)/P6)^2+Ilim^2/12)*P6)+I6^2*(1-P6))</f>
        <v>#NAME?</v>
      </c>
      <c r="V6" s="232" t="e">
        <f t="shared" ref="V6:V70" si="10">RCoutEsr*U6^2</f>
        <v>#NAME?</v>
      </c>
      <c r="W6" s="232" t="e">
        <f>V6</f>
        <v>#NAME?</v>
      </c>
      <c r="X6" s="232" t="e">
        <f t="shared" ref="X6:X38" si="11">SQRT((K6^2*(1-D)+(K6-Ilim)^2*D/3))*P6+(K6^2*(1-P6))</f>
        <v>#NAME?</v>
      </c>
      <c r="Y6" s="234" t="e">
        <f t="shared" ref="Y6:Y70" si="12">RCinEsr*X6^2</f>
        <v>#NAME?</v>
      </c>
      <c r="Z6" s="234" t="e">
        <f>Y6</f>
        <v>#NAME?</v>
      </c>
      <c r="AA6" s="232" t="e">
        <f t="shared" ref="AA6:AA38" si="13">Ilim*SQRT(P6*D/3)</f>
        <v>#NAME?</v>
      </c>
      <c r="AB6" s="232" t="e">
        <f t="shared" ref="AB6:AB38" si="14">RdsonTop*AA6^2</f>
        <v>#NAME?</v>
      </c>
      <c r="AC6" s="232" t="e">
        <f t="shared" ref="AC6:AC38" si="15">QgTop*P6*Vdd*Fsw</f>
        <v>#NAME?</v>
      </c>
      <c r="AD6">
        <v>20</v>
      </c>
      <c r="AE6" s="208">
        <v>10</v>
      </c>
      <c r="AF6" s="232" t="e">
        <f t="shared" ref="AF6:AF38" si="16">Vin*Ilim*Tf/2*Fsw*P6</f>
        <v>#NAME?</v>
      </c>
      <c r="AG6" s="232" t="e">
        <f t="shared" ref="AG6:AG38" si="17">Coss*Vin^2*Fsw*P6/2</f>
        <v>#NAME?</v>
      </c>
      <c r="AH6" s="232" t="e">
        <f>AB6+AF6+AG6</f>
        <v>#NAME?</v>
      </c>
      <c r="AI6" s="232" t="e">
        <f t="shared" ref="AI6:AI38" si="18">Ilim*SQRT(P6*(1-D)/3)</f>
        <v>#NAME?</v>
      </c>
      <c r="AJ6" s="232" t="e">
        <f t="shared" ref="AJ6:AJ38" si="19">RdsonBot*AI6^2</f>
        <v>#NAME?</v>
      </c>
      <c r="AK6" s="232" t="e">
        <f t="shared" ref="AK6:AK38" si="20">QgBot*P6*Vdd*Fsw</f>
        <v>#NAME?</v>
      </c>
      <c r="AL6" s="232">
        <f t="shared" ref="AL6:AL38" si="21">Vin*Idss</f>
        <v>0</v>
      </c>
      <c r="AM6" s="232" t="e">
        <f t="shared" ref="AM6:AM38" si="22">dead1*P6*Ilim*((Ilim)*BDserR+VSD)*Fsw</f>
        <v>#NAME?</v>
      </c>
      <c r="AN6" s="232" t="e">
        <f>AJ6+AL6+AM6</f>
        <v>#NAME?</v>
      </c>
      <c r="AO6" s="232" t="e">
        <f t="shared" ref="AO6:AO37" si="23">Vin*(Iq_active*(N6+Tsleep)+Iq_sleep*(O6-Tsleep))/(N6+O6)+Vout*Ifb/0.7</f>
        <v>#NAME?</v>
      </c>
      <c r="AP6" s="232" t="e">
        <f t="shared" ref="AP6:AP38" si="24">(Vin-Vdd)*Fsw*(QgBot+QgTop)*P6+AO6</f>
        <v>#NAME?</v>
      </c>
      <c r="AQ6" s="232" t="e">
        <f>AC6+AK6</f>
        <v>#NAME?</v>
      </c>
      <c r="AR6" s="232" t="e">
        <f>AH6+AN6+AP6+AQ6</f>
        <v>#NAME?</v>
      </c>
      <c r="AS6" s="232" t="e">
        <f t="shared" ref="AS6:AS70" si="25">SUM(T6,W6,Z6,AR6)</f>
        <v>#NAME?</v>
      </c>
      <c r="AT6" s="232">
        <f t="shared" ref="AT6:AT37" si="26">Vout*I6</f>
        <v>6.0000000000000006E-4</v>
      </c>
      <c r="AU6" s="292" t="e">
        <f>100*AT6/(AT6+AS6)</f>
        <v>#NAME?</v>
      </c>
      <c r="AV6" s="235" t="e">
        <f>AB6/($AT6+$AS6)</f>
        <v>#NAME?</v>
      </c>
      <c r="AW6" s="235" t="e">
        <f>AJ6/($AT6+$AS6)</f>
        <v>#NAME?</v>
      </c>
      <c r="AX6" s="235" t="e">
        <f t="shared" ref="AX6:AX38" si="27">Vin*Fsw*P6*(QgBot+QgTop)/($AT6+$AS6)</f>
        <v>#NAME?</v>
      </c>
      <c r="AY6" s="235" t="e">
        <f>(AF6+AG6)/($AT6+$AS6)</f>
        <v>#NAME?</v>
      </c>
      <c r="AZ6" s="235" t="e">
        <f t="shared" ref="AZ6:AZ70" si="28">AL6/(AS6+AT6)</f>
        <v>#NAME?</v>
      </c>
      <c r="BA6" s="235" t="e">
        <f t="shared" ref="BA6:BA70" si="29">AM6/($AT6+$AS6)</f>
        <v>#NAME?</v>
      </c>
      <c r="BB6" s="235" t="e">
        <f t="shared" ref="BB6:BB37" si="30">R6/($AT6+$AS6)</f>
        <v>#NAME?</v>
      </c>
      <c r="BC6" s="235" t="e">
        <f t="shared" ref="BC6:BC37" si="31">S6/($AT6+$AS6)</f>
        <v>#NAME?</v>
      </c>
      <c r="BD6" s="235" t="e">
        <f t="shared" ref="BD6:BD70" si="32">(W6+Z6)/($AT6+$AS6)</f>
        <v>#NAME?</v>
      </c>
      <c r="BE6" s="235" t="e">
        <f>AO6/($AT6+$AS6)</f>
        <v>#NAME?</v>
      </c>
      <c r="BF6" s="235" t="e">
        <f>SUM(AV6:BE6)</f>
        <v>#NAME?</v>
      </c>
      <c r="BG6" s="235" t="e">
        <f t="shared" ref="BG6:BG70" si="33">AU6/100</f>
        <v>#NAME?</v>
      </c>
      <c r="BH6" s="233" t="e">
        <f>BG6*100</f>
        <v>#NAME?</v>
      </c>
      <c r="BI6" s="175">
        <f t="shared" ref="BI6:BI37" si="34">I6*1000</f>
        <v>0.12000000000000001</v>
      </c>
      <c r="BJ6" s="292">
        <v>47.143854993629823</v>
      </c>
      <c r="BK6" s="235">
        <f>BJ6/100</f>
        <v>0.47143854993629825</v>
      </c>
      <c r="BL6" s="376">
        <v>17.13727728426694</v>
      </c>
      <c r="BM6" s="294"/>
      <c r="BN6" s="387" t="e">
        <f>1000*AR6</f>
        <v>#NAME?</v>
      </c>
      <c r="BO6" s="387" t="e">
        <f>1000*AP6</f>
        <v>#NAME?</v>
      </c>
      <c r="BP6" s="175" t="e">
        <f>1000*T6</f>
        <v>#NAME?</v>
      </c>
      <c r="BQ6" s="235"/>
      <c r="BR6" s="235"/>
      <c r="BS6" s="235"/>
      <c r="BT6" s="235"/>
    </row>
    <row r="7" spans="1:72" x14ac:dyDescent="0.2">
      <c r="A7" s="455"/>
      <c r="B7" s="286"/>
      <c r="C7" s="287"/>
      <c r="D7" s="287"/>
      <c r="E7" s="288"/>
      <c r="F7" s="289"/>
      <c r="G7" s="289"/>
      <c r="H7" s="173">
        <v>1</v>
      </c>
      <c r="I7" s="513">
        <f t="shared" si="0"/>
        <v>1.1999999999999999E-3</v>
      </c>
      <c r="J7" s="175" t="e">
        <f t="shared" si="1"/>
        <v>#NAME?</v>
      </c>
      <c r="K7" s="232" t="e">
        <f t="shared" si="2"/>
        <v>#NAME?</v>
      </c>
      <c r="L7" s="290" t="e">
        <f t="shared" si="3"/>
        <v>#NAME?</v>
      </c>
      <c r="M7" s="208" t="e">
        <f>1/(N7+O7)</f>
        <v>#NAME?</v>
      </c>
      <c r="N7" s="291" t="e">
        <f t="shared" si="4"/>
        <v>#NAME?</v>
      </c>
      <c r="O7" s="291">
        <f t="shared" si="5"/>
        <v>3.4069228672662854E-3</v>
      </c>
      <c r="P7" s="233" t="e">
        <f>N7/(N7+O7)</f>
        <v>#NAME?</v>
      </c>
      <c r="Q7" s="232" t="e">
        <f t="shared" si="6"/>
        <v>#NAME?</v>
      </c>
      <c r="R7" s="232" t="e">
        <f t="shared" ref="R7" si="35">Q7^2*Rdcr</f>
        <v>#NAME?</v>
      </c>
      <c r="S7" s="517" t="e">
        <f t="shared" si="8"/>
        <v>#NAME?</v>
      </c>
      <c r="T7" s="232" t="e">
        <f>R7+S7</f>
        <v>#NAME?</v>
      </c>
      <c r="U7" s="233" t="e">
        <f t="shared" si="9"/>
        <v>#NAME?</v>
      </c>
      <c r="V7" s="232" t="e">
        <f t="shared" ref="V7" si="36">RCoutEsr*U7^2</f>
        <v>#NAME?</v>
      </c>
      <c r="W7" s="232" t="e">
        <f>V7</f>
        <v>#NAME?</v>
      </c>
      <c r="X7" s="232" t="e">
        <f t="shared" ref="X7" si="37">SQRT((K7^2*(1-D)+(K7-Ilim)^2*D/3))*P7+(K7^2*(1-P7))</f>
        <v>#NAME?</v>
      </c>
      <c r="Y7" s="234" t="e">
        <f t="shared" ref="Y7" si="38">RCinEsr*X7^2</f>
        <v>#NAME?</v>
      </c>
      <c r="Z7" s="234" t="e">
        <f>Y7</f>
        <v>#NAME?</v>
      </c>
      <c r="AA7" s="232" t="e">
        <f t="shared" ref="AA7" si="39">Ilim*SQRT(P7*D/3)</f>
        <v>#NAME?</v>
      </c>
      <c r="AB7" s="232" t="e">
        <f t="shared" ref="AB7" si="40">RdsonTop*AA7^2</f>
        <v>#NAME?</v>
      </c>
      <c r="AC7" s="232" t="e">
        <f t="shared" ref="AC7" si="41">QgTop*P7*Vdd*Fsw</f>
        <v>#NAME?</v>
      </c>
      <c r="AD7">
        <v>20</v>
      </c>
      <c r="AE7" s="208">
        <v>10</v>
      </c>
      <c r="AF7" s="232" t="e">
        <f t="shared" ref="AF7" si="42">Vin*Ilim*Tf/2*Fsw*P7</f>
        <v>#NAME?</v>
      </c>
      <c r="AG7" s="232" t="e">
        <f t="shared" ref="AG7" si="43">Coss*Vin^2*Fsw*P7/2</f>
        <v>#NAME?</v>
      </c>
      <c r="AH7" s="232" t="e">
        <f>AB7+AF7+AG7</f>
        <v>#NAME?</v>
      </c>
      <c r="AI7" s="232" t="e">
        <f t="shared" ref="AI7" si="44">Ilim*SQRT(P7*(1-D)/3)</f>
        <v>#NAME?</v>
      </c>
      <c r="AJ7" s="232" t="e">
        <f t="shared" ref="AJ7" si="45">RdsonBot*AI7^2</f>
        <v>#NAME?</v>
      </c>
      <c r="AK7" s="232" t="e">
        <f t="shared" ref="AK7" si="46">QgBot*P7*Vdd*Fsw</f>
        <v>#NAME?</v>
      </c>
      <c r="AL7" s="232">
        <f t="shared" si="21"/>
        <v>0</v>
      </c>
      <c r="AM7" s="232" t="e">
        <f t="shared" ref="AM7" si="47">dead1*P7*Ilim*((Ilim)*BDserR+VSD)*Fsw</f>
        <v>#NAME?</v>
      </c>
      <c r="AN7" s="232" t="e">
        <f>AJ7+AL7+AM7</f>
        <v>#NAME?</v>
      </c>
      <c r="AO7" s="232" t="e">
        <f t="shared" si="23"/>
        <v>#NAME?</v>
      </c>
      <c r="AP7" s="232" t="e">
        <f t="shared" ref="AP7" si="48">(Vin-Vdd)*Fsw*(QgBot+QgTop)*P7+AO7</f>
        <v>#NAME?</v>
      </c>
      <c r="AQ7" s="232" t="e">
        <f>AC7+AK7</f>
        <v>#NAME?</v>
      </c>
      <c r="AR7" s="232" t="e">
        <f>AH7+AN7+AP7+AQ7</f>
        <v>#NAME?</v>
      </c>
      <c r="AS7" s="232" t="e">
        <f t="shared" ref="AS7" si="49">SUM(T7,W7,Z7,AR7)</f>
        <v>#NAME?</v>
      </c>
      <c r="AT7" s="232">
        <f t="shared" si="26"/>
        <v>5.9999999999999993E-3</v>
      </c>
      <c r="AU7" s="292" t="e">
        <f>100*AT7/(AT7+AS7)</f>
        <v>#NAME?</v>
      </c>
      <c r="AV7" s="235" t="e">
        <f>AB7/($AT7+$AS7)</f>
        <v>#NAME?</v>
      </c>
      <c r="AW7" s="235" t="e">
        <f>AJ7/($AT7+$AS7)</f>
        <v>#NAME?</v>
      </c>
      <c r="AX7" s="235" t="e">
        <f t="shared" ref="AX7" si="50">Vin*Fsw*P7*(QgBot+QgTop)/($AT7+$AS7)</f>
        <v>#NAME?</v>
      </c>
      <c r="AY7" s="235" t="e">
        <f>(AF7+AG7)/($AT7+$AS7)</f>
        <v>#NAME?</v>
      </c>
      <c r="AZ7" s="235" t="e">
        <f t="shared" ref="AZ7" si="51">AL7/(AS7+AT7)</f>
        <v>#NAME?</v>
      </c>
      <c r="BA7" s="235" t="e">
        <f t="shared" ref="BA7" si="52">AM7/($AT7+$AS7)</f>
        <v>#NAME?</v>
      </c>
      <c r="BB7" s="235" t="e">
        <f t="shared" si="30"/>
        <v>#NAME?</v>
      </c>
      <c r="BC7" s="235" t="e">
        <f t="shared" si="31"/>
        <v>#NAME?</v>
      </c>
      <c r="BD7" s="235" t="e">
        <f t="shared" ref="BD7" si="53">(W7+Z7)/($AT7+$AS7)</f>
        <v>#NAME?</v>
      </c>
      <c r="BE7" s="235" t="e">
        <f>AO7/($AT7+$AS7)</f>
        <v>#NAME?</v>
      </c>
      <c r="BF7" s="235" t="e">
        <f>SUM(AV7:BE7)</f>
        <v>#NAME?</v>
      </c>
      <c r="BG7" s="235" t="e">
        <f t="shared" ref="BG7" si="54">AU7/100</f>
        <v>#NAME?</v>
      </c>
      <c r="BH7" s="233" t="e">
        <f>BG7*100</f>
        <v>#NAME?</v>
      </c>
      <c r="BI7" s="175">
        <f t="shared" si="34"/>
        <v>1.2</v>
      </c>
      <c r="BJ7" s="292">
        <v>84.462030988011534</v>
      </c>
      <c r="BK7" s="235">
        <f>BJ7/100</f>
        <v>0.84462030988011538</v>
      </c>
      <c r="BL7" s="376">
        <v>18.137277284266901</v>
      </c>
      <c r="BM7" s="294"/>
      <c r="BN7" s="387" t="e">
        <f>1000*AR7</f>
        <v>#NAME?</v>
      </c>
      <c r="BO7" s="387" t="e">
        <f>1000*AP7</f>
        <v>#NAME?</v>
      </c>
      <c r="BP7" s="175" t="e">
        <f>1000*T7</f>
        <v>#NAME?</v>
      </c>
      <c r="BQ7" s="235"/>
      <c r="BR7" s="235"/>
      <c r="BS7" s="235"/>
      <c r="BT7" s="235"/>
    </row>
    <row r="8" spans="1:72" x14ac:dyDescent="0.2">
      <c r="A8" s="295" t="s">
        <v>4</v>
      </c>
      <c r="B8" s="296">
        <f>Vin</f>
        <v>43</v>
      </c>
      <c r="C8" s="174" t="s">
        <v>0</v>
      </c>
      <c r="D8" s="202">
        <f>B8</f>
        <v>43</v>
      </c>
      <c r="E8" s="174" t="s">
        <v>4</v>
      </c>
      <c r="F8" s="289"/>
      <c r="G8" s="289"/>
      <c r="H8" s="173">
        <v>2</v>
      </c>
      <c r="I8" s="513">
        <f t="shared" si="0"/>
        <v>2.3999999999999998E-3</v>
      </c>
      <c r="J8" s="175" t="e">
        <f t="shared" si="1"/>
        <v>#NAME?</v>
      </c>
      <c r="K8" s="232" t="e">
        <f t="shared" si="2"/>
        <v>#NAME?</v>
      </c>
      <c r="L8" s="290" t="e">
        <f t="shared" si="3"/>
        <v>#NAME?</v>
      </c>
      <c r="M8" s="208" t="e">
        <f t="shared" ref="M8:M71" si="55">1/(N8+O8)</f>
        <v>#NAME?</v>
      </c>
      <c r="N8" s="291" t="e">
        <f t="shared" si="4"/>
        <v>#NAME?</v>
      </c>
      <c r="O8" s="291">
        <f t="shared" si="5"/>
        <v>1.7034614336331427E-3</v>
      </c>
      <c r="P8" s="233" t="e">
        <f t="shared" ref="P8:P71" si="56">N8/(N8+O8)</f>
        <v>#NAME?</v>
      </c>
      <c r="Q8" s="232" t="e">
        <f t="shared" si="6"/>
        <v>#NAME?</v>
      </c>
      <c r="R8" s="232" t="e">
        <f t="shared" si="7"/>
        <v>#NAME?</v>
      </c>
      <c r="S8" s="517" t="e">
        <f t="shared" si="8"/>
        <v>#NAME?</v>
      </c>
      <c r="T8" s="232" t="e">
        <f t="shared" ref="T8:T71" si="57">R8+S8</f>
        <v>#NAME?</v>
      </c>
      <c r="U8" s="233" t="e">
        <f t="shared" si="9"/>
        <v>#NAME?</v>
      </c>
      <c r="V8" s="232" t="e">
        <f t="shared" si="10"/>
        <v>#NAME?</v>
      </c>
      <c r="W8" s="232" t="e">
        <f t="shared" ref="W8:W71" si="58">V8</f>
        <v>#NAME?</v>
      </c>
      <c r="X8" s="232" t="e">
        <f t="shared" si="11"/>
        <v>#NAME?</v>
      </c>
      <c r="Y8" s="234" t="e">
        <f t="shared" si="12"/>
        <v>#NAME?</v>
      </c>
      <c r="Z8" s="234" t="e">
        <f t="shared" ref="Z8:Z71" si="59">Y8</f>
        <v>#NAME?</v>
      </c>
      <c r="AA8" s="232" t="e">
        <f t="shared" si="13"/>
        <v>#NAME?</v>
      </c>
      <c r="AB8" s="232" t="e">
        <f t="shared" si="14"/>
        <v>#NAME?</v>
      </c>
      <c r="AC8" s="232" t="e">
        <f t="shared" si="15"/>
        <v>#NAME?</v>
      </c>
      <c r="AD8">
        <v>20</v>
      </c>
      <c r="AE8" s="208">
        <v>10</v>
      </c>
      <c r="AF8" s="232" t="e">
        <f t="shared" si="16"/>
        <v>#NAME?</v>
      </c>
      <c r="AG8" s="232" t="e">
        <f t="shared" si="17"/>
        <v>#NAME?</v>
      </c>
      <c r="AH8" s="232" t="e">
        <f t="shared" ref="AH8:AH71" si="60">AB8+AF8+AG8</f>
        <v>#NAME?</v>
      </c>
      <c r="AI8" s="232" t="e">
        <f t="shared" si="18"/>
        <v>#NAME?</v>
      </c>
      <c r="AJ8" s="232" t="e">
        <f t="shared" si="19"/>
        <v>#NAME?</v>
      </c>
      <c r="AK8" s="232" t="e">
        <f t="shared" si="20"/>
        <v>#NAME?</v>
      </c>
      <c r="AL8" s="232">
        <f t="shared" si="21"/>
        <v>0</v>
      </c>
      <c r="AM8" s="232" t="e">
        <f t="shared" si="22"/>
        <v>#NAME?</v>
      </c>
      <c r="AN8" s="232" t="e">
        <f t="shared" ref="AN8:AN71" si="61">AJ8+AL8+AM8</f>
        <v>#NAME?</v>
      </c>
      <c r="AO8" s="232" t="e">
        <f t="shared" si="23"/>
        <v>#NAME?</v>
      </c>
      <c r="AP8" s="232" t="e">
        <f t="shared" si="24"/>
        <v>#NAME?</v>
      </c>
      <c r="AQ8" s="232" t="e">
        <f t="shared" ref="AQ8:AQ71" si="62">AC8+AK8</f>
        <v>#NAME?</v>
      </c>
      <c r="AR8" s="232" t="e">
        <f t="shared" ref="AR8:AR71" si="63">AH8+AN8+AP8+AQ8</f>
        <v>#NAME?</v>
      </c>
      <c r="AS8" s="232" t="e">
        <f t="shared" si="25"/>
        <v>#NAME?</v>
      </c>
      <c r="AT8" s="232">
        <f t="shared" si="26"/>
        <v>1.1999999999999999E-2</v>
      </c>
      <c r="AU8" s="292" t="e">
        <f t="shared" ref="AU8:AU71" si="64">100*AT8/(AT8+AS8)</f>
        <v>#NAME?</v>
      </c>
      <c r="AV8" s="235" t="e">
        <f t="shared" ref="AV8:AV71" si="65">AB8/($AT8+$AS8)</f>
        <v>#NAME?</v>
      </c>
      <c r="AW8" s="235" t="e">
        <f t="shared" ref="AW8:AW71" si="66">AJ8/($AT8+$AS8)</f>
        <v>#NAME?</v>
      </c>
      <c r="AX8" s="235" t="e">
        <f t="shared" si="27"/>
        <v>#NAME?</v>
      </c>
      <c r="AY8" s="235" t="e">
        <f t="shared" ref="AY8:AY71" si="67">(AF8+AG8)/($AT8+$AS8)</f>
        <v>#NAME?</v>
      </c>
      <c r="AZ8" s="235" t="e">
        <f t="shared" si="28"/>
        <v>#NAME?</v>
      </c>
      <c r="BA8" s="235" t="e">
        <f t="shared" si="29"/>
        <v>#NAME?</v>
      </c>
      <c r="BB8" s="235" t="e">
        <f t="shared" si="30"/>
        <v>#NAME?</v>
      </c>
      <c r="BC8" s="235" t="e">
        <f t="shared" si="31"/>
        <v>#NAME?</v>
      </c>
      <c r="BD8" s="235" t="e">
        <f t="shared" si="32"/>
        <v>#NAME?</v>
      </c>
      <c r="BE8" s="235" t="e">
        <f t="shared" ref="BE8:BE71" si="68">AO8/($AT8+$AS8)</f>
        <v>#NAME?</v>
      </c>
      <c r="BF8" s="235" t="e">
        <f t="shared" ref="BF8:BF71" si="69">SUM(AV8:BE8)</f>
        <v>#NAME?</v>
      </c>
      <c r="BG8" s="235" t="e">
        <f t="shared" si="33"/>
        <v>#NAME?</v>
      </c>
      <c r="BH8" s="233" t="e">
        <f t="shared" ref="BH8:BH71" si="70">BG8*100</f>
        <v>#NAME?</v>
      </c>
      <c r="BI8" s="175">
        <f t="shared" si="34"/>
        <v>2.4</v>
      </c>
      <c r="BJ8" s="292">
        <v>88.347522731946256</v>
      </c>
      <c r="BK8" s="235">
        <f t="shared" ref="BK8:BK71" si="71">BJ8/100</f>
        <v>0.8834752273194626</v>
      </c>
      <c r="BL8" s="376">
        <v>19.841529281164359</v>
      </c>
      <c r="BM8" s="294"/>
      <c r="BN8" s="387" t="e">
        <f t="shared" ref="BN8:BN71" si="72">1000*AR8</f>
        <v>#NAME?</v>
      </c>
      <c r="BO8" s="387" t="e">
        <f t="shared" ref="BO8:BO71" si="73">1000*AP8</f>
        <v>#NAME?</v>
      </c>
      <c r="BP8" s="175" t="e">
        <f t="shared" ref="BP8:BP71" si="74">1000*T8</f>
        <v>#NAME?</v>
      </c>
      <c r="BQ8" s="235"/>
      <c r="BR8" s="235"/>
      <c r="BS8" s="235"/>
      <c r="BT8" s="235"/>
    </row>
    <row r="9" spans="1:72" x14ac:dyDescent="0.2">
      <c r="A9" s="297" t="s">
        <v>5</v>
      </c>
      <c r="B9" s="296">
        <f>Vout</f>
        <v>5</v>
      </c>
      <c r="C9" s="174" t="s">
        <v>0</v>
      </c>
      <c r="D9" s="202">
        <f>B9</f>
        <v>5</v>
      </c>
      <c r="E9" s="174" t="s">
        <v>5</v>
      </c>
      <c r="F9" s="289"/>
      <c r="G9" s="289"/>
      <c r="H9" s="173">
        <v>3</v>
      </c>
      <c r="I9" s="513">
        <f t="shared" si="0"/>
        <v>3.5999999999999999E-3</v>
      </c>
      <c r="J9" s="175" t="e">
        <f t="shared" si="1"/>
        <v>#NAME?</v>
      </c>
      <c r="K9" s="232" t="e">
        <f t="shared" si="2"/>
        <v>#NAME?</v>
      </c>
      <c r="L9" s="290" t="e">
        <f t="shared" si="3"/>
        <v>#NAME?</v>
      </c>
      <c r="M9" s="208" t="e">
        <f t="shared" si="55"/>
        <v>#NAME?</v>
      </c>
      <c r="N9" s="291" t="e">
        <f t="shared" si="4"/>
        <v>#NAME?</v>
      </c>
      <c r="O9" s="291">
        <f t="shared" si="5"/>
        <v>1.1356409557554284E-3</v>
      </c>
      <c r="P9" s="233" t="e">
        <f t="shared" si="56"/>
        <v>#NAME?</v>
      </c>
      <c r="Q9" s="232" t="e">
        <f t="shared" si="6"/>
        <v>#NAME?</v>
      </c>
      <c r="R9" s="232" t="e">
        <f t="shared" si="7"/>
        <v>#NAME?</v>
      </c>
      <c r="S9" s="517" t="e">
        <f t="shared" si="8"/>
        <v>#NAME?</v>
      </c>
      <c r="T9" s="232" t="e">
        <f t="shared" si="57"/>
        <v>#NAME?</v>
      </c>
      <c r="U9" s="233" t="e">
        <f t="shared" si="9"/>
        <v>#NAME?</v>
      </c>
      <c r="V9" s="232" t="e">
        <f t="shared" si="10"/>
        <v>#NAME?</v>
      </c>
      <c r="W9" s="232" t="e">
        <f t="shared" si="58"/>
        <v>#NAME?</v>
      </c>
      <c r="X9" s="232" t="e">
        <f t="shared" si="11"/>
        <v>#NAME?</v>
      </c>
      <c r="Y9" s="234" t="e">
        <f t="shared" si="12"/>
        <v>#NAME?</v>
      </c>
      <c r="Z9" s="234" t="e">
        <f t="shared" si="59"/>
        <v>#NAME?</v>
      </c>
      <c r="AA9" s="232" t="e">
        <f t="shared" si="13"/>
        <v>#NAME?</v>
      </c>
      <c r="AB9" s="232" t="e">
        <f t="shared" si="14"/>
        <v>#NAME?</v>
      </c>
      <c r="AC9" s="232" t="e">
        <f t="shared" si="15"/>
        <v>#NAME?</v>
      </c>
      <c r="AD9">
        <v>20</v>
      </c>
      <c r="AE9" s="208">
        <v>10</v>
      </c>
      <c r="AF9" s="232" t="e">
        <f t="shared" si="16"/>
        <v>#NAME?</v>
      </c>
      <c r="AG9" s="232" t="e">
        <f t="shared" si="17"/>
        <v>#NAME?</v>
      </c>
      <c r="AH9" s="232" t="e">
        <f t="shared" si="60"/>
        <v>#NAME?</v>
      </c>
      <c r="AI9" s="232" t="e">
        <f t="shared" si="18"/>
        <v>#NAME?</v>
      </c>
      <c r="AJ9" s="232" t="e">
        <f t="shared" si="19"/>
        <v>#NAME?</v>
      </c>
      <c r="AK9" s="232" t="e">
        <f t="shared" si="20"/>
        <v>#NAME?</v>
      </c>
      <c r="AL9" s="232">
        <f t="shared" si="21"/>
        <v>0</v>
      </c>
      <c r="AM9" s="232" t="e">
        <f t="shared" si="22"/>
        <v>#NAME?</v>
      </c>
      <c r="AN9" s="232" t="e">
        <f t="shared" si="61"/>
        <v>#NAME?</v>
      </c>
      <c r="AO9" s="232" t="e">
        <f t="shared" si="23"/>
        <v>#NAME?</v>
      </c>
      <c r="AP9" s="232" t="e">
        <f t="shared" si="24"/>
        <v>#NAME?</v>
      </c>
      <c r="AQ9" s="232" t="e">
        <f t="shared" si="62"/>
        <v>#NAME?</v>
      </c>
      <c r="AR9" s="232" t="e">
        <f t="shared" si="63"/>
        <v>#NAME?</v>
      </c>
      <c r="AS9" s="232" t="e">
        <f t="shared" si="25"/>
        <v>#NAME?</v>
      </c>
      <c r="AT9" s="232">
        <f t="shared" si="26"/>
        <v>1.7999999999999999E-2</v>
      </c>
      <c r="AU9" s="292" t="e">
        <f t="shared" si="64"/>
        <v>#NAME?</v>
      </c>
      <c r="AV9" s="235" t="e">
        <f t="shared" si="65"/>
        <v>#NAME?</v>
      </c>
      <c r="AW9" s="235" t="e">
        <f t="shared" si="66"/>
        <v>#NAME?</v>
      </c>
      <c r="AX9" s="235" t="e">
        <f t="shared" si="27"/>
        <v>#NAME?</v>
      </c>
      <c r="AY9" s="235" t="e">
        <f t="shared" si="67"/>
        <v>#NAME?</v>
      </c>
      <c r="AZ9" s="235" t="e">
        <f t="shared" si="28"/>
        <v>#NAME?</v>
      </c>
      <c r="BA9" s="235" t="e">
        <f t="shared" si="29"/>
        <v>#NAME?</v>
      </c>
      <c r="BB9" s="235" t="e">
        <f t="shared" si="30"/>
        <v>#NAME?</v>
      </c>
      <c r="BC9" s="235" t="e">
        <f t="shared" si="31"/>
        <v>#NAME?</v>
      </c>
      <c r="BD9" s="235" t="e">
        <f t="shared" si="32"/>
        <v>#NAME?</v>
      </c>
      <c r="BE9" s="235" t="e">
        <f t="shared" si="68"/>
        <v>#NAME?</v>
      </c>
      <c r="BF9" s="235" t="e">
        <f t="shared" si="69"/>
        <v>#NAME?</v>
      </c>
      <c r="BG9" s="235" t="e">
        <f t="shared" si="33"/>
        <v>#NAME?</v>
      </c>
      <c r="BH9" s="233" t="e">
        <f t="shared" si="70"/>
        <v>#NAME?</v>
      </c>
      <c r="BI9" s="175">
        <f t="shared" si="34"/>
        <v>3.6</v>
      </c>
      <c r="BJ9" s="292">
        <v>89.723560477667675</v>
      </c>
      <c r="BK9" s="235">
        <f t="shared" si="71"/>
        <v>0.89723560477667674</v>
      </c>
      <c r="BL9" s="376">
        <v>21.303960092010822</v>
      </c>
      <c r="BM9" s="294"/>
      <c r="BN9" s="387" t="e">
        <f t="shared" si="72"/>
        <v>#NAME?</v>
      </c>
      <c r="BO9" s="387" t="e">
        <f t="shared" si="73"/>
        <v>#NAME?</v>
      </c>
      <c r="BP9" s="175" t="e">
        <f t="shared" si="74"/>
        <v>#NAME?</v>
      </c>
      <c r="BQ9" s="235"/>
      <c r="BR9" s="235"/>
      <c r="BS9" s="235"/>
      <c r="BT9" s="235"/>
    </row>
    <row r="10" spans="1:72" x14ac:dyDescent="0.2">
      <c r="A10" s="297" t="s">
        <v>581</v>
      </c>
      <c r="B10" s="296">
        <f>MIN(Iout, ROUND(Ilim/2,3))</f>
        <v>0.12</v>
      </c>
      <c r="C10" s="174" t="s">
        <v>2</v>
      </c>
      <c r="D10" s="202">
        <f>B10</f>
        <v>0.12</v>
      </c>
      <c r="E10" s="174" t="s">
        <v>417</v>
      </c>
      <c r="F10" s="289"/>
      <c r="G10" s="289"/>
      <c r="H10" s="173">
        <v>4</v>
      </c>
      <c r="I10" s="513">
        <f t="shared" si="0"/>
        <v>4.7999999999999996E-3</v>
      </c>
      <c r="J10" s="175" t="e">
        <f t="shared" si="1"/>
        <v>#NAME?</v>
      </c>
      <c r="K10" s="232" t="e">
        <f t="shared" si="2"/>
        <v>#NAME?</v>
      </c>
      <c r="L10" s="290" t="e">
        <f t="shared" si="3"/>
        <v>#NAME?</v>
      </c>
      <c r="M10" s="208" t="e">
        <f t="shared" si="55"/>
        <v>#NAME?</v>
      </c>
      <c r="N10" s="291" t="e">
        <f t="shared" si="4"/>
        <v>#NAME?</v>
      </c>
      <c r="O10" s="291">
        <f t="shared" si="5"/>
        <v>8.5173071681657136E-4</v>
      </c>
      <c r="P10" s="233" t="e">
        <f t="shared" si="56"/>
        <v>#NAME?</v>
      </c>
      <c r="Q10" s="232" t="e">
        <f t="shared" si="6"/>
        <v>#NAME?</v>
      </c>
      <c r="R10" s="232" t="e">
        <f t="shared" si="7"/>
        <v>#NAME?</v>
      </c>
      <c r="S10" s="517" t="e">
        <f t="shared" si="8"/>
        <v>#NAME?</v>
      </c>
      <c r="T10" s="232" t="e">
        <f t="shared" si="57"/>
        <v>#NAME?</v>
      </c>
      <c r="U10" s="233" t="e">
        <f t="shared" si="9"/>
        <v>#NAME?</v>
      </c>
      <c r="V10" s="232" t="e">
        <f t="shared" si="10"/>
        <v>#NAME?</v>
      </c>
      <c r="W10" s="232" t="e">
        <f t="shared" si="58"/>
        <v>#NAME?</v>
      </c>
      <c r="X10" s="232" t="e">
        <f t="shared" si="11"/>
        <v>#NAME?</v>
      </c>
      <c r="Y10" s="234" t="e">
        <f t="shared" si="12"/>
        <v>#NAME?</v>
      </c>
      <c r="Z10" s="234" t="e">
        <f t="shared" si="59"/>
        <v>#NAME?</v>
      </c>
      <c r="AA10" s="232" t="e">
        <f t="shared" si="13"/>
        <v>#NAME?</v>
      </c>
      <c r="AB10" s="232" t="e">
        <f t="shared" si="14"/>
        <v>#NAME?</v>
      </c>
      <c r="AC10" s="232" t="e">
        <f t="shared" si="15"/>
        <v>#NAME?</v>
      </c>
      <c r="AD10">
        <v>20</v>
      </c>
      <c r="AE10" s="208">
        <v>10</v>
      </c>
      <c r="AF10" s="232" t="e">
        <f t="shared" si="16"/>
        <v>#NAME?</v>
      </c>
      <c r="AG10" s="232" t="e">
        <f t="shared" si="17"/>
        <v>#NAME?</v>
      </c>
      <c r="AH10" s="232" t="e">
        <f t="shared" si="60"/>
        <v>#NAME?</v>
      </c>
      <c r="AI10" s="232" t="e">
        <f t="shared" si="18"/>
        <v>#NAME?</v>
      </c>
      <c r="AJ10" s="232" t="e">
        <f t="shared" si="19"/>
        <v>#NAME?</v>
      </c>
      <c r="AK10" s="232" t="e">
        <f t="shared" si="20"/>
        <v>#NAME?</v>
      </c>
      <c r="AL10" s="232">
        <f t="shared" si="21"/>
        <v>0</v>
      </c>
      <c r="AM10" s="232" t="e">
        <f t="shared" si="22"/>
        <v>#NAME?</v>
      </c>
      <c r="AN10" s="232" t="e">
        <f t="shared" si="61"/>
        <v>#NAME?</v>
      </c>
      <c r="AO10" s="232" t="e">
        <f t="shared" si="23"/>
        <v>#NAME?</v>
      </c>
      <c r="AP10" s="232" t="e">
        <f t="shared" si="24"/>
        <v>#NAME?</v>
      </c>
      <c r="AQ10" s="232" t="e">
        <f t="shared" si="62"/>
        <v>#NAME?</v>
      </c>
      <c r="AR10" s="232" t="e">
        <f t="shared" si="63"/>
        <v>#NAME?</v>
      </c>
      <c r="AS10" s="232" t="e">
        <f t="shared" si="25"/>
        <v>#NAME?</v>
      </c>
      <c r="AT10" s="232">
        <f t="shared" si="26"/>
        <v>2.3999999999999997E-2</v>
      </c>
      <c r="AU10" s="292" t="e">
        <f t="shared" si="64"/>
        <v>#NAME?</v>
      </c>
      <c r="AV10" s="235" t="e">
        <f t="shared" si="65"/>
        <v>#NAME?</v>
      </c>
      <c r="AW10" s="235" t="e">
        <f t="shared" si="66"/>
        <v>#NAME?</v>
      </c>
      <c r="AX10" s="235" t="e">
        <f t="shared" si="27"/>
        <v>#NAME?</v>
      </c>
      <c r="AY10" s="235" t="e">
        <f t="shared" si="67"/>
        <v>#NAME?</v>
      </c>
      <c r="AZ10" s="235" t="e">
        <f t="shared" si="28"/>
        <v>#NAME?</v>
      </c>
      <c r="BA10" s="235" t="e">
        <f t="shared" si="29"/>
        <v>#NAME?</v>
      </c>
      <c r="BB10" s="235" t="e">
        <f t="shared" si="30"/>
        <v>#NAME?</v>
      </c>
      <c r="BC10" s="235" t="e">
        <f t="shared" si="31"/>
        <v>#NAME?</v>
      </c>
      <c r="BD10" s="235" t="e">
        <f t="shared" si="32"/>
        <v>#NAME?</v>
      </c>
      <c r="BE10" s="235" t="e">
        <f t="shared" si="68"/>
        <v>#NAME?</v>
      </c>
      <c r="BF10" s="235" t="e">
        <f t="shared" si="69"/>
        <v>#NAME?</v>
      </c>
      <c r="BG10" s="235" t="e">
        <f t="shared" si="33"/>
        <v>#NAME?</v>
      </c>
      <c r="BH10" s="233" t="e">
        <f t="shared" si="70"/>
        <v>#NAME?</v>
      </c>
      <c r="BI10" s="175">
        <f t="shared" si="34"/>
        <v>4.8</v>
      </c>
      <c r="BJ10" s="292">
        <v>90.427928272599317</v>
      </c>
      <c r="BK10" s="235">
        <f t="shared" si="71"/>
        <v>0.90427928272599312</v>
      </c>
      <c r="BL10" s="376">
        <v>22.839218285921966</v>
      </c>
      <c r="BM10" s="294"/>
      <c r="BN10" s="387" t="e">
        <f t="shared" si="72"/>
        <v>#NAME?</v>
      </c>
      <c r="BO10" s="387" t="e">
        <f t="shared" si="73"/>
        <v>#NAME?</v>
      </c>
      <c r="BP10" s="175" t="e">
        <f t="shared" si="74"/>
        <v>#NAME?</v>
      </c>
      <c r="BQ10" s="235"/>
      <c r="BR10" s="235"/>
      <c r="BS10" s="235"/>
      <c r="BT10" s="235"/>
    </row>
    <row r="11" spans="1:72" x14ac:dyDescent="0.2">
      <c r="A11" s="297" t="s">
        <v>418</v>
      </c>
      <c r="B11" s="296">
        <v>10</v>
      </c>
      <c r="C11" s="174" t="s">
        <v>195</v>
      </c>
      <c r="D11" s="202">
        <f>B11/1000</f>
        <v>0.01</v>
      </c>
      <c r="E11" s="174" t="s">
        <v>419</v>
      </c>
      <c r="F11" s="289"/>
      <c r="G11" s="289"/>
      <c r="H11" s="173">
        <v>5</v>
      </c>
      <c r="I11" s="513">
        <f t="shared" si="0"/>
        <v>6.0000000000000001E-3</v>
      </c>
      <c r="J11" s="175" t="e">
        <f t="shared" si="1"/>
        <v>#NAME?</v>
      </c>
      <c r="K11" s="232" t="e">
        <f t="shared" si="2"/>
        <v>#NAME?</v>
      </c>
      <c r="L11" s="290" t="e">
        <f t="shared" si="3"/>
        <v>#NAME?</v>
      </c>
      <c r="M11" s="208" t="e">
        <f t="shared" si="55"/>
        <v>#NAME?</v>
      </c>
      <c r="N11" s="291" t="e">
        <f t="shared" si="4"/>
        <v>#NAME?</v>
      </c>
      <c r="O11" s="291">
        <f t="shared" si="5"/>
        <v>6.8138457345325693E-4</v>
      </c>
      <c r="P11" s="233" t="e">
        <f t="shared" si="56"/>
        <v>#NAME?</v>
      </c>
      <c r="Q11" s="232" t="e">
        <f t="shared" si="6"/>
        <v>#NAME?</v>
      </c>
      <c r="R11" s="232" t="e">
        <f t="shared" si="7"/>
        <v>#NAME?</v>
      </c>
      <c r="S11" s="517" t="e">
        <f t="shared" si="8"/>
        <v>#NAME?</v>
      </c>
      <c r="T11" s="232" t="e">
        <f t="shared" si="57"/>
        <v>#NAME?</v>
      </c>
      <c r="U11" s="233" t="e">
        <f t="shared" si="9"/>
        <v>#NAME?</v>
      </c>
      <c r="V11" s="232" t="e">
        <f t="shared" si="10"/>
        <v>#NAME?</v>
      </c>
      <c r="W11" s="232" t="e">
        <f t="shared" si="58"/>
        <v>#NAME?</v>
      </c>
      <c r="X11" s="232" t="e">
        <f t="shared" si="11"/>
        <v>#NAME?</v>
      </c>
      <c r="Y11" s="234" t="e">
        <f t="shared" si="12"/>
        <v>#NAME?</v>
      </c>
      <c r="Z11" s="234" t="e">
        <f t="shared" si="59"/>
        <v>#NAME?</v>
      </c>
      <c r="AA11" s="232" t="e">
        <f t="shared" si="13"/>
        <v>#NAME?</v>
      </c>
      <c r="AB11" s="232" t="e">
        <f t="shared" si="14"/>
        <v>#NAME?</v>
      </c>
      <c r="AC11" s="232" t="e">
        <f t="shared" si="15"/>
        <v>#NAME?</v>
      </c>
      <c r="AD11">
        <v>20</v>
      </c>
      <c r="AE11" s="208">
        <v>10</v>
      </c>
      <c r="AF11" s="232" t="e">
        <f t="shared" si="16"/>
        <v>#NAME?</v>
      </c>
      <c r="AG11" s="232" t="e">
        <f t="shared" si="17"/>
        <v>#NAME?</v>
      </c>
      <c r="AH11" s="232" t="e">
        <f t="shared" si="60"/>
        <v>#NAME?</v>
      </c>
      <c r="AI11" s="232" t="e">
        <f t="shared" si="18"/>
        <v>#NAME?</v>
      </c>
      <c r="AJ11" s="232" t="e">
        <f t="shared" si="19"/>
        <v>#NAME?</v>
      </c>
      <c r="AK11" s="232" t="e">
        <f t="shared" si="20"/>
        <v>#NAME?</v>
      </c>
      <c r="AL11" s="232">
        <f t="shared" si="21"/>
        <v>0</v>
      </c>
      <c r="AM11" s="232" t="e">
        <f t="shared" si="22"/>
        <v>#NAME?</v>
      </c>
      <c r="AN11" s="232" t="e">
        <f t="shared" si="61"/>
        <v>#NAME?</v>
      </c>
      <c r="AO11" s="232" t="e">
        <f t="shared" si="23"/>
        <v>#NAME?</v>
      </c>
      <c r="AP11" s="232" t="e">
        <f t="shared" si="24"/>
        <v>#NAME?</v>
      </c>
      <c r="AQ11" s="232" t="e">
        <f t="shared" si="62"/>
        <v>#NAME?</v>
      </c>
      <c r="AR11" s="232" t="e">
        <f t="shared" si="63"/>
        <v>#NAME?</v>
      </c>
      <c r="AS11" s="232" t="e">
        <f t="shared" si="25"/>
        <v>#NAME?</v>
      </c>
      <c r="AT11" s="232">
        <f t="shared" si="26"/>
        <v>0.03</v>
      </c>
      <c r="AU11" s="292" t="e">
        <f t="shared" si="64"/>
        <v>#NAME?</v>
      </c>
      <c r="AV11" s="235" t="e">
        <f t="shared" si="65"/>
        <v>#NAME?</v>
      </c>
      <c r="AW11" s="235" t="e">
        <f t="shared" si="66"/>
        <v>#NAME?</v>
      </c>
      <c r="AX11" s="235" t="e">
        <f t="shared" si="27"/>
        <v>#NAME?</v>
      </c>
      <c r="AY11" s="235" t="e">
        <f t="shared" si="67"/>
        <v>#NAME?</v>
      </c>
      <c r="AZ11" s="235" t="e">
        <f t="shared" si="28"/>
        <v>#NAME?</v>
      </c>
      <c r="BA11" s="235" t="e">
        <f t="shared" si="29"/>
        <v>#NAME?</v>
      </c>
      <c r="BB11" s="235" t="e">
        <f t="shared" si="30"/>
        <v>#NAME?</v>
      </c>
      <c r="BC11" s="235" t="e">
        <f t="shared" si="31"/>
        <v>#NAME?</v>
      </c>
      <c r="BD11" s="235" t="e">
        <f t="shared" si="32"/>
        <v>#NAME?</v>
      </c>
      <c r="BE11" s="235" t="e">
        <f t="shared" si="68"/>
        <v>#NAME?</v>
      </c>
      <c r="BF11" s="235" t="e">
        <f t="shared" si="69"/>
        <v>#NAME?</v>
      </c>
      <c r="BG11" s="235" t="e">
        <f t="shared" si="33"/>
        <v>#NAME?</v>
      </c>
      <c r="BH11" s="233" t="e">
        <f t="shared" si="70"/>
        <v>#NAME?</v>
      </c>
      <c r="BI11" s="175">
        <f t="shared" si="34"/>
        <v>6</v>
      </c>
      <c r="BJ11" s="292">
        <v>90.856002505810849</v>
      </c>
      <c r="BK11" s="235">
        <f t="shared" si="71"/>
        <v>0.90856002505810851</v>
      </c>
      <c r="BL11" s="376">
        <v>24.445889178539353</v>
      </c>
      <c r="BM11" s="294"/>
      <c r="BN11" s="387" t="e">
        <f t="shared" si="72"/>
        <v>#NAME?</v>
      </c>
      <c r="BO11" s="387" t="e">
        <f t="shared" si="73"/>
        <v>#NAME?</v>
      </c>
      <c r="BP11" s="175" t="e">
        <f t="shared" si="74"/>
        <v>#NAME?</v>
      </c>
      <c r="BQ11" s="235"/>
      <c r="BR11" s="235"/>
      <c r="BS11" s="235"/>
      <c r="BT11" s="235"/>
    </row>
    <row r="12" spans="1:72" ht="14.25" x14ac:dyDescent="0.25">
      <c r="A12" s="297" t="s">
        <v>420</v>
      </c>
      <c r="B12" s="296">
        <f>'Variable Mgmt'!B39</f>
        <v>240.1</v>
      </c>
      <c r="C12" s="174" t="s">
        <v>42</v>
      </c>
      <c r="D12" s="202">
        <f>B12/1000</f>
        <v>0.24010000000000001</v>
      </c>
      <c r="E12" s="174" t="s">
        <v>454</v>
      </c>
      <c r="F12" s="289"/>
      <c r="G12" s="289"/>
      <c r="H12" s="173">
        <v>6</v>
      </c>
      <c r="I12" s="513">
        <f t="shared" si="0"/>
        <v>7.1999999999999998E-3</v>
      </c>
      <c r="J12" s="175" t="e">
        <f t="shared" si="1"/>
        <v>#NAME?</v>
      </c>
      <c r="K12" s="232" t="e">
        <f t="shared" si="2"/>
        <v>#NAME?</v>
      </c>
      <c r="L12" s="290" t="e">
        <f t="shared" si="3"/>
        <v>#NAME?</v>
      </c>
      <c r="M12" s="208" t="e">
        <f t="shared" si="55"/>
        <v>#NAME?</v>
      </c>
      <c r="N12" s="291" t="e">
        <f t="shared" si="4"/>
        <v>#NAME?</v>
      </c>
      <c r="O12" s="291">
        <f t="shared" si="5"/>
        <v>5.678204778777142E-4</v>
      </c>
      <c r="P12" s="233" t="e">
        <f t="shared" si="56"/>
        <v>#NAME?</v>
      </c>
      <c r="Q12" s="232" t="e">
        <f t="shared" si="6"/>
        <v>#NAME?</v>
      </c>
      <c r="R12" s="232" t="e">
        <f t="shared" si="7"/>
        <v>#NAME?</v>
      </c>
      <c r="S12" s="517" t="e">
        <f t="shared" si="8"/>
        <v>#NAME?</v>
      </c>
      <c r="T12" s="232" t="e">
        <f t="shared" si="57"/>
        <v>#NAME?</v>
      </c>
      <c r="U12" s="233" t="e">
        <f t="shared" si="9"/>
        <v>#NAME?</v>
      </c>
      <c r="V12" s="232" t="e">
        <f t="shared" si="10"/>
        <v>#NAME?</v>
      </c>
      <c r="W12" s="232" t="e">
        <f t="shared" si="58"/>
        <v>#NAME?</v>
      </c>
      <c r="X12" s="232" t="e">
        <f t="shared" si="11"/>
        <v>#NAME?</v>
      </c>
      <c r="Y12" s="234" t="e">
        <f t="shared" si="12"/>
        <v>#NAME?</v>
      </c>
      <c r="Z12" s="234" t="e">
        <f t="shared" si="59"/>
        <v>#NAME?</v>
      </c>
      <c r="AA12" s="232" t="e">
        <f t="shared" si="13"/>
        <v>#NAME?</v>
      </c>
      <c r="AB12" s="232" t="e">
        <f t="shared" si="14"/>
        <v>#NAME?</v>
      </c>
      <c r="AC12" s="232" t="e">
        <f t="shared" si="15"/>
        <v>#NAME?</v>
      </c>
      <c r="AD12">
        <v>20</v>
      </c>
      <c r="AE12" s="208">
        <v>10</v>
      </c>
      <c r="AF12" s="232" t="e">
        <f t="shared" si="16"/>
        <v>#NAME?</v>
      </c>
      <c r="AG12" s="232" t="e">
        <f t="shared" si="17"/>
        <v>#NAME?</v>
      </c>
      <c r="AH12" s="232" t="e">
        <f t="shared" si="60"/>
        <v>#NAME?</v>
      </c>
      <c r="AI12" s="232" t="e">
        <f t="shared" si="18"/>
        <v>#NAME?</v>
      </c>
      <c r="AJ12" s="232" t="e">
        <f t="shared" si="19"/>
        <v>#NAME?</v>
      </c>
      <c r="AK12" s="232" t="e">
        <f t="shared" si="20"/>
        <v>#NAME?</v>
      </c>
      <c r="AL12" s="232">
        <f t="shared" si="21"/>
        <v>0</v>
      </c>
      <c r="AM12" s="232" t="e">
        <f t="shared" si="22"/>
        <v>#NAME?</v>
      </c>
      <c r="AN12" s="232" t="e">
        <f t="shared" si="61"/>
        <v>#NAME?</v>
      </c>
      <c r="AO12" s="232" t="e">
        <f t="shared" si="23"/>
        <v>#NAME?</v>
      </c>
      <c r="AP12" s="232" t="e">
        <f t="shared" si="24"/>
        <v>#NAME?</v>
      </c>
      <c r="AQ12" s="232" t="e">
        <f t="shared" si="62"/>
        <v>#NAME?</v>
      </c>
      <c r="AR12" s="232" t="e">
        <f t="shared" si="63"/>
        <v>#NAME?</v>
      </c>
      <c r="AS12" s="232" t="e">
        <f t="shared" si="25"/>
        <v>#NAME?</v>
      </c>
      <c r="AT12" s="232">
        <f t="shared" si="26"/>
        <v>3.5999999999999997E-2</v>
      </c>
      <c r="AU12" s="292" t="e">
        <f t="shared" si="64"/>
        <v>#NAME?</v>
      </c>
      <c r="AV12" s="235" t="e">
        <f t="shared" si="65"/>
        <v>#NAME?</v>
      </c>
      <c r="AW12" s="235" t="e">
        <f t="shared" si="66"/>
        <v>#NAME?</v>
      </c>
      <c r="AX12" s="235" t="e">
        <f t="shared" si="27"/>
        <v>#NAME?</v>
      </c>
      <c r="AY12" s="235" t="e">
        <f t="shared" si="67"/>
        <v>#NAME?</v>
      </c>
      <c r="AZ12" s="235" t="e">
        <f t="shared" si="28"/>
        <v>#NAME?</v>
      </c>
      <c r="BA12" s="235" t="e">
        <f t="shared" si="29"/>
        <v>#NAME?</v>
      </c>
      <c r="BB12" s="235" t="e">
        <f t="shared" si="30"/>
        <v>#NAME?</v>
      </c>
      <c r="BC12" s="235" t="e">
        <f t="shared" si="31"/>
        <v>#NAME?</v>
      </c>
      <c r="BD12" s="235" t="e">
        <f t="shared" si="32"/>
        <v>#NAME?</v>
      </c>
      <c r="BE12" s="235" t="e">
        <f t="shared" si="68"/>
        <v>#NAME?</v>
      </c>
      <c r="BF12" s="235" t="e">
        <f t="shared" si="69"/>
        <v>#NAME?</v>
      </c>
      <c r="BG12" s="235" t="e">
        <f t="shared" si="33"/>
        <v>#NAME?</v>
      </c>
      <c r="BH12" s="233" t="e">
        <f t="shared" si="70"/>
        <v>#NAME?</v>
      </c>
      <c r="BI12" s="175">
        <f t="shared" si="34"/>
        <v>7.2</v>
      </c>
      <c r="BJ12" s="292">
        <v>91.143744732156421</v>
      </c>
      <c r="BK12" s="235">
        <f t="shared" si="71"/>
        <v>0.91143744732156418</v>
      </c>
      <c r="BL12" s="376">
        <v>26.121791295441582</v>
      </c>
      <c r="BM12" s="294"/>
      <c r="BN12" s="387" t="e">
        <f t="shared" si="72"/>
        <v>#NAME?</v>
      </c>
      <c r="BO12" s="387" t="e">
        <f t="shared" si="73"/>
        <v>#NAME?</v>
      </c>
      <c r="BP12" s="175" t="e">
        <f t="shared" si="74"/>
        <v>#NAME?</v>
      </c>
      <c r="BQ12" s="235"/>
      <c r="BR12" s="235"/>
      <c r="BS12" s="235"/>
      <c r="BT12" s="235"/>
    </row>
    <row r="13" spans="1:72" x14ac:dyDescent="0.2">
      <c r="A13" s="297" t="s">
        <v>338</v>
      </c>
      <c r="B13" s="296">
        <v>25</v>
      </c>
      <c r="C13" s="174" t="s">
        <v>137</v>
      </c>
      <c r="D13" s="202">
        <f>B13</f>
        <v>25</v>
      </c>
      <c r="E13" s="174" t="s">
        <v>339</v>
      </c>
      <c r="F13" s="289"/>
      <c r="G13" s="289"/>
      <c r="H13" s="173">
        <v>7</v>
      </c>
      <c r="I13" s="513">
        <f t="shared" si="0"/>
        <v>8.4000000000000012E-3</v>
      </c>
      <c r="J13" s="175" t="e">
        <f t="shared" si="1"/>
        <v>#NAME?</v>
      </c>
      <c r="K13" s="232" t="e">
        <f t="shared" si="2"/>
        <v>#NAME?</v>
      </c>
      <c r="L13" s="290" t="e">
        <f t="shared" si="3"/>
        <v>#NAME?</v>
      </c>
      <c r="M13" s="208" t="e">
        <f t="shared" si="55"/>
        <v>#NAME?</v>
      </c>
      <c r="N13" s="291" t="e">
        <f t="shared" si="4"/>
        <v>#NAME?</v>
      </c>
      <c r="O13" s="291">
        <f t="shared" si="5"/>
        <v>4.8670326675232634E-4</v>
      </c>
      <c r="P13" s="233" t="e">
        <f t="shared" si="56"/>
        <v>#NAME?</v>
      </c>
      <c r="Q13" s="232" t="e">
        <f t="shared" si="6"/>
        <v>#NAME?</v>
      </c>
      <c r="R13" s="232" t="e">
        <f t="shared" si="7"/>
        <v>#NAME?</v>
      </c>
      <c r="S13" s="517" t="e">
        <f t="shared" si="8"/>
        <v>#NAME?</v>
      </c>
      <c r="T13" s="232" t="e">
        <f t="shared" si="57"/>
        <v>#NAME?</v>
      </c>
      <c r="U13" s="233" t="e">
        <f t="shared" si="9"/>
        <v>#NAME?</v>
      </c>
      <c r="V13" s="232" t="e">
        <f t="shared" si="10"/>
        <v>#NAME?</v>
      </c>
      <c r="W13" s="232" t="e">
        <f t="shared" si="58"/>
        <v>#NAME?</v>
      </c>
      <c r="X13" s="232" t="e">
        <f t="shared" si="11"/>
        <v>#NAME?</v>
      </c>
      <c r="Y13" s="234" t="e">
        <f t="shared" si="12"/>
        <v>#NAME?</v>
      </c>
      <c r="Z13" s="234" t="e">
        <f t="shared" si="59"/>
        <v>#NAME?</v>
      </c>
      <c r="AA13" s="232" t="e">
        <f t="shared" si="13"/>
        <v>#NAME?</v>
      </c>
      <c r="AB13" s="232" t="e">
        <f t="shared" si="14"/>
        <v>#NAME?</v>
      </c>
      <c r="AC13" s="232" t="e">
        <f t="shared" si="15"/>
        <v>#NAME?</v>
      </c>
      <c r="AD13">
        <v>20</v>
      </c>
      <c r="AE13" s="208">
        <v>10</v>
      </c>
      <c r="AF13" s="232" t="e">
        <f t="shared" si="16"/>
        <v>#NAME?</v>
      </c>
      <c r="AG13" s="232" t="e">
        <f t="shared" si="17"/>
        <v>#NAME?</v>
      </c>
      <c r="AH13" s="232" t="e">
        <f t="shared" si="60"/>
        <v>#NAME?</v>
      </c>
      <c r="AI13" s="232" t="e">
        <f t="shared" si="18"/>
        <v>#NAME?</v>
      </c>
      <c r="AJ13" s="232" t="e">
        <f t="shared" si="19"/>
        <v>#NAME?</v>
      </c>
      <c r="AK13" s="232" t="e">
        <f t="shared" si="20"/>
        <v>#NAME?</v>
      </c>
      <c r="AL13" s="232">
        <f t="shared" si="21"/>
        <v>0</v>
      </c>
      <c r="AM13" s="232" t="e">
        <f t="shared" si="22"/>
        <v>#NAME?</v>
      </c>
      <c r="AN13" s="232" t="e">
        <f t="shared" si="61"/>
        <v>#NAME?</v>
      </c>
      <c r="AO13" s="232" t="e">
        <f t="shared" si="23"/>
        <v>#NAME?</v>
      </c>
      <c r="AP13" s="232" t="e">
        <f t="shared" si="24"/>
        <v>#NAME?</v>
      </c>
      <c r="AQ13" s="232" t="e">
        <f t="shared" si="62"/>
        <v>#NAME?</v>
      </c>
      <c r="AR13" s="232" t="e">
        <f t="shared" si="63"/>
        <v>#NAME?</v>
      </c>
      <c r="AS13" s="232" t="e">
        <f t="shared" si="25"/>
        <v>#NAME?</v>
      </c>
      <c r="AT13" s="232">
        <f t="shared" si="26"/>
        <v>4.200000000000001E-2</v>
      </c>
      <c r="AU13" s="292" t="e">
        <f t="shared" si="64"/>
        <v>#NAME?</v>
      </c>
      <c r="AV13" s="235" t="e">
        <f t="shared" si="65"/>
        <v>#NAME?</v>
      </c>
      <c r="AW13" s="235" t="e">
        <f t="shared" si="66"/>
        <v>#NAME?</v>
      </c>
      <c r="AX13" s="235" t="e">
        <f t="shared" si="27"/>
        <v>#NAME?</v>
      </c>
      <c r="AY13" s="235" t="e">
        <f t="shared" si="67"/>
        <v>#NAME?</v>
      </c>
      <c r="AZ13" s="235" t="e">
        <f t="shared" si="28"/>
        <v>#NAME?</v>
      </c>
      <c r="BA13" s="235" t="e">
        <f t="shared" si="29"/>
        <v>#NAME?</v>
      </c>
      <c r="BB13" s="235" t="e">
        <f t="shared" si="30"/>
        <v>#NAME?</v>
      </c>
      <c r="BC13" s="235" t="e">
        <f t="shared" si="31"/>
        <v>#NAME?</v>
      </c>
      <c r="BD13" s="235" t="e">
        <f t="shared" si="32"/>
        <v>#NAME?</v>
      </c>
      <c r="BE13" s="235" t="e">
        <f t="shared" si="68"/>
        <v>#NAME?</v>
      </c>
      <c r="BF13" s="235" t="e">
        <f t="shared" si="69"/>
        <v>#NAME?</v>
      </c>
      <c r="BG13" s="235" t="e">
        <f t="shared" si="33"/>
        <v>#NAME?</v>
      </c>
      <c r="BH13" s="233" t="e">
        <f t="shared" si="70"/>
        <v>#NAME?</v>
      </c>
      <c r="BI13" s="175">
        <f t="shared" si="34"/>
        <v>8.4</v>
      </c>
      <c r="BJ13" s="292">
        <v>91.350479962854209</v>
      </c>
      <c r="BK13" s="235">
        <f t="shared" si="71"/>
        <v>0.91350479962854214</v>
      </c>
      <c r="BL13" s="376">
        <v>27.863940510836141</v>
      </c>
      <c r="BM13" s="294"/>
      <c r="BN13" s="387" t="e">
        <f t="shared" si="72"/>
        <v>#NAME?</v>
      </c>
      <c r="BO13" s="387" t="e">
        <f t="shared" si="73"/>
        <v>#NAME?</v>
      </c>
      <c r="BP13" s="175" t="e">
        <f t="shared" si="74"/>
        <v>#NAME?</v>
      </c>
      <c r="BQ13" s="235"/>
      <c r="BR13" s="235"/>
      <c r="BS13" s="235"/>
      <c r="BT13" s="235"/>
    </row>
    <row r="14" spans="1:72" x14ac:dyDescent="0.2">
      <c r="A14" s="299" t="s">
        <v>421</v>
      </c>
      <c r="B14" s="300">
        <v>5</v>
      </c>
      <c r="C14" s="174" t="s">
        <v>0</v>
      </c>
      <c r="D14" s="202">
        <f>B14</f>
        <v>5</v>
      </c>
      <c r="E14" s="174" t="s">
        <v>341</v>
      </c>
      <c r="F14" s="289"/>
      <c r="G14" s="289"/>
      <c r="H14" s="173">
        <v>8</v>
      </c>
      <c r="I14" s="513">
        <f t="shared" si="0"/>
        <v>9.5999999999999992E-3</v>
      </c>
      <c r="J14" s="175" t="e">
        <f t="shared" si="1"/>
        <v>#NAME?</v>
      </c>
      <c r="K14" s="232" t="e">
        <f t="shared" si="2"/>
        <v>#NAME?</v>
      </c>
      <c r="L14" s="290" t="e">
        <f t="shared" si="3"/>
        <v>#NAME?</v>
      </c>
      <c r="M14" s="208" t="e">
        <f t="shared" si="55"/>
        <v>#NAME?</v>
      </c>
      <c r="N14" s="291" t="e">
        <f t="shared" si="4"/>
        <v>#NAME?</v>
      </c>
      <c r="O14" s="291">
        <f t="shared" si="5"/>
        <v>4.2586535840828568E-4</v>
      </c>
      <c r="P14" s="233" t="e">
        <f t="shared" si="56"/>
        <v>#NAME?</v>
      </c>
      <c r="Q14" s="232" t="e">
        <f t="shared" si="6"/>
        <v>#NAME?</v>
      </c>
      <c r="R14" s="232" t="e">
        <f t="shared" si="7"/>
        <v>#NAME?</v>
      </c>
      <c r="S14" s="517" t="e">
        <f t="shared" si="8"/>
        <v>#NAME?</v>
      </c>
      <c r="T14" s="232" t="e">
        <f t="shared" si="57"/>
        <v>#NAME?</v>
      </c>
      <c r="U14" s="233" t="e">
        <f t="shared" si="9"/>
        <v>#NAME?</v>
      </c>
      <c r="V14" s="232" t="e">
        <f t="shared" si="10"/>
        <v>#NAME?</v>
      </c>
      <c r="W14" s="232" t="e">
        <f t="shared" si="58"/>
        <v>#NAME?</v>
      </c>
      <c r="X14" s="232" t="e">
        <f t="shared" si="11"/>
        <v>#NAME?</v>
      </c>
      <c r="Y14" s="234" t="e">
        <f t="shared" si="12"/>
        <v>#NAME?</v>
      </c>
      <c r="Z14" s="234" t="e">
        <f t="shared" si="59"/>
        <v>#NAME?</v>
      </c>
      <c r="AA14" s="232" t="e">
        <f t="shared" si="13"/>
        <v>#NAME?</v>
      </c>
      <c r="AB14" s="232" t="e">
        <f t="shared" si="14"/>
        <v>#NAME?</v>
      </c>
      <c r="AC14" s="232" t="e">
        <f t="shared" si="15"/>
        <v>#NAME?</v>
      </c>
      <c r="AD14">
        <v>20</v>
      </c>
      <c r="AE14" s="208">
        <v>10</v>
      </c>
      <c r="AF14" s="232" t="e">
        <f t="shared" si="16"/>
        <v>#NAME?</v>
      </c>
      <c r="AG14" s="232" t="e">
        <f t="shared" si="17"/>
        <v>#NAME?</v>
      </c>
      <c r="AH14" s="232" t="e">
        <f t="shared" si="60"/>
        <v>#NAME?</v>
      </c>
      <c r="AI14" s="232" t="e">
        <f t="shared" si="18"/>
        <v>#NAME?</v>
      </c>
      <c r="AJ14" s="232" t="e">
        <f t="shared" si="19"/>
        <v>#NAME?</v>
      </c>
      <c r="AK14" s="232" t="e">
        <f t="shared" si="20"/>
        <v>#NAME?</v>
      </c>
      <c r="AL14" s="232">
        <f t="shared" si="21"/>
        <v>0</v>
      </c>
      <c r="AM14" s="232" t="e">
        <f t="shared" si="22"/>
        <v>#NAME?</v>
      </c>
      <c r="AN14" s="232" t="e">
        <f t="shared" si="61"/>
        <v>#NAME?</v>
      </c>
      <c r="AO14" s="232" t="e">
        <f t="shared" si="23"/>
        <v>#NAME?</v>
      </c>
      <c r="AP14" s="232" t="e">
        <f t="shared" si="24"/>
        <v>#NAME?</v>
      </c>
      <c r="AQ14" s="232" t="e">
        <f t="shared" si="62"/>
        <v>#NAME?</v>
      </c>
      <c r="AR14" s="232" t="e">
        <f t="shared" si="63"/>
        <v>#NAME?</v>
      </c>
      <c r="AS14" s="232" t="e">
        <f t="shared" si="25"/>
        <v>#NAME?</v>
      </c>
      <c r="AT14" s="232">
        <f t="shared" si="26"/>
        <v>4.7999999999999994E-2</v>
      </c>
      <c r="AU14" s="292" t="e">
        <f t="shared" si="64"/>
        <v>#NAME?</v>
      </c>
      <c r="AV14" s="235" t="e">
        <f t="shared" si="65"/>
        <v>#NAME?</v>
      </c>
      <c r="AW14" s="235" t="e">
        <f t="shared" si="66"/>
        <v>#NAME?</v>
      </c>
      <c r="AX14" s="235" t="e">
        <f t="shared" si="27"/>
        <v>#NAME?</v>
      </c>
      <c r="AY14" s="235" t="e">
        <f t="shared" si="67"/>
        <v>#NAME?</v>
      </c>
      <c r="AZ14" s="235" t="e">
        <f t="shared" si="28"/>
        <v>#NAME?</v>
      </c>
      <c r="BA14" s="235" t="e">
        <f t="shared" si="29"/>
        <v>#NAME?</v>
      </c>
      <c r="BB14" s="235" t="e">
        <f t="shared" si="30"/>
        <v>#NAME?</v>
      </c>
      <c r="BC14" s="235" t="e">
        <f t="shared" si="31"/>
        <v>#NAME?</v>
      </c>
      <c r="BD14" s="235" t="e">
        <f t="shared" si="32"/>
        <v>#NAME?</v>
      </c>
      <c r="BE14" s="235" t="e">
        <f t="shared" si="68"/>
        <v>#NAME?</v>
      </c>
      <c r="BF14" s="235" t="e">
        <f t="shared" si="69"/>
        <v>#NAME?</v>
      </c>
      <c r="BG14" s="235" t="e">
        <f t="shared" si="33"/>
        <v>#NAME?</v>
      </c>
      <c r="BH14" s="233" t="e">
        <f t="shared" si="70"/>
        <v>#NAME?</v>
      </c>
      <c r="BI14" s="175">
        <f t="shared" si="34"/>
        <v>9.6</v>
      </c>
      <c r="BJ14" s="292">
        <v>91.506224006568289</v>
      </c>
      <c r="BK14" s="235">
        <f t="shared" si="71"/>
        <v>0.91506224006568293</v>
      </c>
      <c r="BL14" s="376">
        <v>29.668530022158009</v>
      </c>
      <c r="BM14" s="294"/>
      <c r="BN14" s="387" t="e">
        <f t="shared" si="72"/>
        <v>#NAME?</v>
      </c>
      <c r="BO14" s="387" t="e">
        <f t="shared" si="73"/>
        <v>#NAME?</v>
      </c>
      <c r="BP14" s="175" t="e">
        <f t="shared" si="74"/>
        <v>#NAME?</v>
      </c>
      <c r="BQ14" s="235"/>
      <c r="BR14" s="235"/>
      <c r="BS14" s="235"/>
      <c r="BT14" s="235"/>
    </row>
    <row r="15" spans="1:72" x14ac:dyDescent="0.2">
      <c r="A15" s="519" t="s">
        <v>574</v>
      </c>
      <c r="B15" s="518">
        <v>4</v>
      </c>
      <c r="C15" s="173" t="s">
        <v>42</v>
      </c>
      <c r="D15" s="173">
        <f>B15/1000</f>
        <v>4.0000000000000001E-3</v>
      </c>
      <c r="E15" s="173" t="s">
        <v>576</v>
      </c>
      <c r="F15" s="289"/>
      <c r="G15" s="289"/>
      <c r="H15" s="173">
        <v>9</v>
      </c>
      <c r="I15" s="513">
        <f t="shared" si="0"/>
        <v>1.0799999999999999E-2</v>
      </c>
      <c r="J15" s="175" t="e">
        <f t="shared" si="1"/>
        <v>#NAME?</v>
      </c>
      <c r="K15" s="232" t="e">
        <f t="shared" si="2"/>
        <v>#NAME?</v>
      </c>
      <c r="L15" s="290" t="e">
        <f t="shared" si="3"/>
        <v>#NAME?</v>
      </c>
      <c r="M15" s="208" t="e">
        <f t="shared" si="55"/>
        <v>#NAME?</v>
      </c>
      <c r="N15" s="291" t="e">
        <f t="shared" si="4"/>
        <v>#NAME?</v>
      </c>
      <c r="O15" s="291">
        <f t="shared" si="5"/>
        <v>3.785469852518095E-4</v>
      </c>
      <c r="P15" s="233" t="e">
        <f t="shared" si="56"/>
        <v>#NAME?</v>
      </c>
      <c r="Q15" s="232" t="e">
        <f t="shared" si="6"/>
        <v>#NAME?</v>
      </c>
      <c r="R15" s="232" t="e">
        <f t="shared" si="7"/>
        <v>#NAME?</v>
      </c>
      <c r="S15" s="517" t="e">
        <f t="shared" si="8"/>
        <v>#NAME?</v>
      </c>
      <c r="T15" s="232" t="e">
        <f t="shared" si="57"/>
        <v>#NAME?</v>
      </c>
      <c r="U15" s="233" t="e">
        <f t="shared" si="9"/>
        <v>#NAME?</v>
      </c>
      <c r="V15" s="232" t="e">
        <f t="shared" si="10"/>
        <v>#NAME?</v>
      </c>
      <c r="W15" s="232" t="e">
        <f t="shared" si="58"/>
        <v>#NAME?</v>
      </c>
      <c r="X15" s="232" t="e">
        <f t="shared" si="11"/>
        <v>#NAME?</v>
      </c>
      <c r="Y15" s="234" t="e">
        <f t="shared" si="12"/>
        <v>#NAME?</v>
      </c>
      <c r="Z15" s="234" t="e">
        <f t="shared" si="59"/>
        <v>#NAME?</v>
      </c>
      <c r="AA15" s="232" t="e">
        <f t="shared" si="13"/>
        <v>#NAME?</v>
      </c>
      <c r="AB15" s="232" t="e">
        <f t="shared" si="14"/>
        <v>#NAME?</v>
      </c>
      <c r="AC15" s="232" t="e">
        <f t="shared" si="15"/>
        <v>#NAME?</v>
      </c>
      <c r="AD15">
        <v>20</v>
      </c>
      <c r="AE15" s="208">
        <v>10</v>
      </c>
      <c r="AF15" s="232" t="e">
        <f t="shared" si="16"/>
        <v>#NAME?</v>
      </c>
      <c r="AG15" s="232" t="e">
        <f t="shared" si="17"/>
        <v>#NAME?</v>
      </c>
      <c r="AH15" s="232" t="e">
        <f t="shared" si="60"/>
        <v>#NAME?</v>
      </c>
      <c r="AI15" s="232" t="e">
        <f t="shared" si="18"/>
        <v>#NAME?</v>
      </c>
      <c r="AJ15" s="232" t="e">
        <f t="shared" si="19"/>
        <v>#NAME?</v>
      </c>
      <c r="AK15" s="232" t="e">
        <f t="shared" si="20"/>
        <v>#NAME?</v>
      </c>
      <c r="AL15" s="232">
        <f t="shared" si="21"/>
        <v>0</v>
      </c>
      <c r="AM15" s="232" t="e">
        <f t="shared" si="22"/>
        <v>#NAME?</v>
      </c>
      <c r="AN15" s="232" t="e">
        <f t="shared" si="61"/>
        <v>#NAME?</v>
      </c>
      <c r="AO15" s="232" t="e">
        <f t="shared" si="23"/>
        <v>#NAME?</v>
      </c>
      <c r="AP15" s="232" t="e">
        <f t="shared" si="24"/>
        <v>#NAME?</v>
      </c>
      <c r="AQ15" s="232" t="e">
        <f t="shared" si="62"/>
        <v>#NAME?</v>
      </c>
      <c r="AR15" s="232" t="e">
        <f t="shared" si="63"/>
        <v>#NAME?</v>
      </c>
      <c r="AS15" s="232" t="e">
        <f t="shared" si="25"/>
        <v>#NAME?</v>
      </c>
      <c r="AT15" s="232">
        <f t="shared" si="26"/>
        <v>5.3999999999999992E-2</v>
      </c>
      <c r="AU15" s="292" t="e">
        <f t="shared" si="64"/>
        <v>#NAME?</v>
      </c>
      <c r="AV15" s="235" t="e">
        <f t="shared" si="65"/>
        <v>#NAME?</v>
      </c>
      <c r="AW15" s="235" t="e">
        <f t="shared" si="66"/>
        <v>#NAME?</v>
      </c>
      <c r="AX15" s="235" t="e">
        <f t="shared" si="27"/>
        <v>#NAME?</v>
      </c>
      <c r="AY15" s="235" t="e">
        <f t="shared" si="67"/>
        <v>#NAME?</v>
      </c>
      <c r="AZ15" s="235" t="e">
        <f t="shared" si="28"/>
        <v>#NAME?</v>
      </c>
      <c r="BA15" s="235" t="e">
        <f t="shared" si="29"/>
        <v>#NAME?</v>
      </c>
      <c r="BB15" s="235" t="e">
        <f t="shared" si="30"/>
        <v>#NAME?</v>
      </c>
      <c r="BC15" s="235" t="e">
        <f t="shared" si="31"/>
        <v>#NAME?</v>
      </c>
      <c r="BD15" s="235" t="e">
        <f t="shared" si="32"/>
        <v>#NAME?</v>
      </c>
      <c r="BE15" s="235" t="e">
        <f t="shared" si="68"/>
        <v>#NAME?</v>
      </c>
      <c r="BF15" s="235" t="e">
        <f t="shared" si="69"/>
        <v>#NAME?</v>
      </c>
      <c r="BG15" s="235" t="e">
        <f t="shared" si="33"/>
        <v>#NAME?</v>
      </c>
      <c r="BH15" s="233" t="e">
        <f t="shared" si="70"/>
        <v>#NAME?</v>
      </c>
      <c r="BI15" s="175">
        <f t="shared" si="34"/>
        <v>10.799999999999999</v>
      </c>
      <c r="BJ15" s="292">
        <v>91.627793739029357</v>
      </c>
      <c r="BK15" s="235">
        <f t="shared" si="71"/>
        <v>0.91627793739029362</v>
      </c>
      <c r="BL15" s="376">
        <v>31.530928740731923</v>
      </c>
      <c r="BM15" s="294"/>
      <c r="BN15" s="387" t="e">
        <f t="shared" si="72"/>
        <v>#NAME?</v>
      </c>
      <c r="BO15" s="387" t="e">
        <f t="shared" si="73"/>
        <v>#NAME?</v>
      </c>
      <c r="BP15" s="175" t="e">
        <f t="shared" si="74"/>
        <v>#NAME?</v>
      </c>
      <c r="BQ15" s="235"/>
      <c r="BR15" s="235"/>
      <c r="BS15" s="235"/>
      <c r="BT15" s="235"/>
    </row>
    <row r="16" spans="1:72" x14ac:dyDescent="0.2">
      <c r="A16" s="301" t="s">
        <v>52</v>
      </c>
      <c r="B16" s="261"/>
      <c r="C16" s="261"/>
      <c r="D16" s="261"/>
      <c r="E16" s="262"/>
      <c r="F16" s="289"/>
      <c r="G16" s="289"/>
      <c r="H16" s="173">
        <v>10</v>
      </c>
      <c r="I16" s="513">
        <f t="shared" si="0"/>
        <v>1.2E-2</v>
      </c>
      <c r="J16" s="175" t="e">
        <f t="shared" si="1"/>
        <v>#NAME?</v>
      </c>
      <c r="K16" s="232" t="e">
        <f t="shared" si="2"/>
        <v>#NAME?</v>
      </c>
      <c r="L16" s="290" t="e">
        <f t="shared" si="3"/>
        <v>#NAME?</v>
      </c>
      <c r="M16" s="208" t="e">
        <f t="shared" si="55"/>
        <v>#NAME?</v>
      </c>
      <c r="N16" s="291" t="e">
        <f t="shared" si="4"/>
        <v>#NAME?</v>
      </c>
      <c r="O16" s="291">
        <f t="shared" si="5"/>
        <v>3.4069228672662847E-4</v>
      </c>
      <c r="P16" s="233" t="e">
        <f t="shared" si="56"/>
        <v>#NAME?</v>
      </c>
      <c r="Q16" s="232" t="e">
        <f t="shared" si="6"/>
        <v>#NAME?</v>
      </c>
      <c r="R16" s="232" t="e">
        <f t="shared" si="7"/>
        <v>#NAME?</v>
      </c>
      <c r="S16" s="517" t="e">
        <f t="shared" si="8"/>
        <v>#NAME?</v>
      </c>
      <c r="T16" s="232" t="e">
        <f t="shared" si="57"/>
        <v>#NAME?</v>
      </c>
      <c r="U16" s="233" t="e">
        <f t="shared" si="9"/>
        <v>#NAME?</v>
      </c>
      <c r="V16" s="232" t="e">
        <f t="shared" si="10"/>
        <v>#NAME?</v>
      </c>
      <c r="W16" s="232" t="e">
        <f t="shared" si="58"/>
        <v>#NAME?</v>
      </c>
      <c r="X16" s="232" t="e">
        <f t="shared" si="11"/>
        <v>#NAME?</v>
      </c>
      <c r="Y16" s="234" t="e">
        <f t="shared" si="12"/>
        <v>#NAME?</v>
      </c>
      <c r="Z16" s="234" t="e">
        <f t="shared" si="59"/>
        <v>#NAME?</v>
      </c>
      <c r="AA16" s="232" t="e">
        <f t="shared" si="13"/>
        <v>#NAME?</v>
      </c>
      <c r="AB16" s="232" t="e">
        <f t="shared" si="14"/>
        <v>#NAME?</v>
      </c>
      <c r="AC16" s="232" t="e">
        <f t="shared" si="15"/>
        <v>#NAME?</v>
      </c>
      <c r="AD16">
        <v>20</v>
      </c>
      <c r="AE16" s="208">
        <v>10</v>
      </c>
      <c r="AF16" s="232" t="e">
        <f t="shared" si="16"/>
        <v>#NAME?</v>
      </c>
      <c r="AG16" s="232" t="e">
        <f t="shared" si="17"/>
        <v>#NAME?</v>
      </c>
      <c r="AH16" s="232" t="e">
        <f t="shared" si="60"/>
        <v>#NAME?</v>
      </c>
      <c r="AI16" s="232" t="e">
        <f t="shared" si="18"/>
        <v>#NAME?</v>
      </c>
      <c r="AJ16" s="232" t="e">
        <f t="shared" si="19"/>
        <v>#NAME?</v>
      </c>
      <c r="AK16" s="232" t="e">
        <f t="shared" si="20"/>
        <v>#NAME?</v>
      </c>
      <c r="AL16" s="232">
        <f t="shared" si="21"/>
        <v>0</v>
      </c>
      <c r="AM16" s="232" t="e">
        <f t="shared" si="22"/>
        <v>#NAME?</v>
      </c>
      <c r="AN16" s="232" t="e">
        <f t="shared" si="61"/>
        <v>#NAME?</v>
      </c>
      <c r="AO16" s="232" t="e">
        <f t="shared" si="23"/>
        <v>#NAME?</v>
      </c>
      <c r="AP16" s="232" t="e">
        <f t="shared" si="24"/>
        <v>#NAME?</v>
      </c>
      <c r="AQ16" s="232" t="e">
        <f t="shared" si="62"/>
        <v>#NAME?</v>
      </c>
      <c r="AR16" s="232" t="e">
        <f t="shared" si="63"/>
        <v>#NAME?</v>
      </c>
      <c r="AS16" s="232" t="e">
        <f t="shared" si="25"/>
        <v>#NAME?</v>
      </c>
      <c r="AT16" s="232">
        <f t="shared" si="26"/>
        <v>0.06</v>
      </c>
      <c r="AU16" s="292" t="e">
        <f t="shared" si="64"/>
        <v>#NAME?</v>
      </c>
      <c r="AV16" s="235" t="e">
        <f t="shared" si="65"/>
        <v>#NAME?</v>
      </c>
      <c r="AW16" s="235" t="e">
        <f t="shared" si="66"/>
        <v>#NAME?</v>
      </c>
      <c r="AX16" s="235" t="e">
        <f t="shared" si="27"/>
        <v>#NAME?</v>
      </c>
      <c r="AY16" s="235" t="e">
        <f t="shared" si="67"/>
        <v>#NAME?</v>
      </c>
      <c r="AZ16" s="235" t="e">
        <f t="shared" si="28"/>
        <v>#NAME?</v>
      </c>
      <c r="BA16" s="235" t="e">
        <f t="shared" si="29"/>
        <v>#NAME?</v>
      </c>
      <c r="BB16" s="235" t="e">
        <f t="shared" si="30"/>
        <v>#NAME?</v>
      </c>
      <c r="BC16" s="235" t="e">
        <f t="shared" si="31"/>
        <v>#NAME?</v>
      </c>
      <c r="BD16" s="235" t="e">
        <f t="shared" si="32"/>
        <v>#NAME?</v>
      </c>
      <c r="BE16" s="235" t="e">
        <f t="shared" si="68"/>
        <v>#NAME?</v>
      </c>
      <c r="BF16" s="235" t="e">
        <f t="shared" si="69"/>
        <v>#NAME?</v>
      </c>
      <c r="BG16" s="235" t="e">
        <f t="shared" si="33"/>
        <v>#NAME?</v>
      </c>
      <c r="BH16" s="233" t="e">
        <f t="shared" si="70"/>
        <v>#NAME?</v>
      </c>
      <c r="BI16" s="175">
        <f t="shared" si="34"/>
        <v>12</v>
      </c>
      <c r="BJ16" s="292">
        <v>91.725343535721109</v>
      </c>
      <c r="BK16" s="235">
        <f t="shared" si="71"/>
        <v>0.91725343535721104</v>
      </c>
      <c r="BL16" s="376">
        <v>33.445700153587367</v>
      </c>
      <c r="BM16" s="294"/>
      <c r="BN16" s="387" t="e">
        <f t="shared" si="72"/>
        <v>#NAME?</v>
      </c>
      <c r="BO16" s="387" t="e">
        <f t="shared" si="73"/>
        <v>#NAME?</v>
      </c>
      <c r="BP16" s="175" t="e">
        <f t="shared" si="74"/>
        <v>#NAME?</v>
      </c>
      <c r="BQ16" s="235"/>
      <c r="BR16" s="235"/>
      <c r="BS16" s="235"/>
      <c r="BT16" s="235"/>
    </row>
    <row r="17" spans="1:72" x14ac:dyDescent="0.2">
      <c r="A17" s="285" t="s">
        <v>37</v>
      </c>
      <c r="B17" s="286" t="s">
        <v>8</v>
      </c>
      <c r="C17" s="286" t="s">
        <v>51</v>
      </c>
      <c r="D17" s="302" t="s">
        <v>118</v>
      </c>
      <c r="E17" s="288" t="s">
        <v>60</v>
      </c>
      <c r="F17" s="289"/>
      <c r="G17" s="289"/>
      <c r="H17" s="173">
        <v>11</v>
      </c>
      <c r="I17" s="513">
        <f t="shared" si="0"/>
        <v>1.32E-2</v>
      </c>
      <c r="J17" s="175" t="e">
        <f t="shared" si="1"/>
        <v>#NAME?</v>
      </c>
      <c r="K17" s="232" t="e">
        <f t="shared" si="2"/>
        <v>#NAME?</v>
      </c>
      <c r="L17" s="290" t="e">
        <f t="shared" si="3"/>
        <v>#NAME?</v>
      </c>
      <c r="M17" s="208" t="e">
        <f t="shared" si="55"/>
        <v>#NAME?</v>
      </c>
      <c r="N17" s="291" t="e">
        <f t="shared" si="4"/>
        <v>#NAME?</v>
      </c>
      <c r="O17" s="291">
        <f t="shared" si="5"/>
        <v>3.0972026066057134E-4</v>
      </c>
      <c r="P17" s="233" t="e">
        <f t="shared" si="56"/>
        <v>#NAME?</v>
      </c>
      <c r="Q17" s="232" t="e">
        <f t="shared" si="6"/>
        <v>#NAME?</v>
      </c>
      <c r="R17" s="232" t="e">
        <f t="shared" si="7"/>
        <v>#NAME?</v>
      </c>
      <c r="S17" s="517" t="e">
        <f t="shared" si="8"/>
        <v>#NAME?</v>
      </c>
      <c r="T17" s="232" t="e">
        <f t="shared" si="57"/>
        <v>#NAME?</v>
      </c>
      <c r="U17" s="233" t="e">
        <f t="shared" si="9"/>
        <v>#NAME?</v>
      </c>
      <c r="V17" s="232" t="e">
        <f t="shared" si="10"/>
        <v>#NAME?</v>
      </c>
      <c r="W17" s="232" t="e">
        <f t="shared" si="58"/>
        <v>#NAME?</v>
      </c>
      <c r="X17" s="232" t="e">
        <f t="shared" si="11"/>
        <v>#NAME?</v>
      </c>
      <c r="Y17" s="234" t="e">
        <f t="shared" si="12"/>
        <v>#NAME?</v>
      </c>
      <c r="Z17" s="234" t="e">
        <f t="shared" si="59"/>
        <v>#NAME?</v>
      </c>
      <c r="AA17" s="232" t="e">
        <f t="shared" si="13"/>
        <v>#NAME?</v>
      </c>
      <c r="AB17" s="232" t="e">
        <f t="shared" si="14"/>
        <v>#NAME?</v>
      </c>
      <c r="AC17" s="232" t="e">
        <f t="shared" si="15"/>
        <v>#NAME?</v>
      </c>
      <c r="AD17">
        <v>20</v>
      </c>
      <c r="AE17" s="208">
        <v>10</v>
      </c>
      <c r="AF17" s="232" t="e">
        <f t="shared" si="16"/>
        <v>#NAME?</v>
      </c>
      <c r="AG17" s="232" t="e">
        <f t="shared" si="17"/>
        <v>#NAME?</v>
      </c>
      <c r="AH17" s="232" t="e">
        <f t="shared" si="60"/>
        <v>#NAME?</v>
      </c>
      <c r="AI17" s="232" t="e">
        <f t="shared" si="18"/>
        <v>#NAME?</v>
      </c>
      <c r="AJ17" s="232" t="e">
        <f t="shared" si="19"/>
        <v>#NAME?</v>
      </c>
      <c r="AK17" s="232" t="e">
        <f t="shared" si="20"/>
        <v>#NAME?</v>
      </c>
      <c r="AL17" s="232">
        <f t="shared" si="21"/>
        <v>0</v>
      </c>
      <c r="AM17" s="232" t="e">
        <f t="shared" si="22"/>
        <v>#NAME?</v>
      </c>
      <c r="AN17" s="232" t="e">
        <f t="shared" si="61"/>
        <v>#NAME?</v>
      </c>
      <c r="AO17" s="232" t="e">
        <f t="shared" si="23"/>
        <v>#NAME?</v>
      </c>
      <c r="AP17" s="232" t="e">
        <f t="shared" si="24"/>
        <v>#NAME?</v>
      </c>
      <c r="AQ17" s="232" t="e">
        <f t="shared" si="62"/>
        <v>#NAME?</v>
      </c>
      <c r="AR17" s="232" t="e">
        <f t="shared" si="63"/>
        <v>#NAME?</v>
      </c>
      <c r="AS17" s="232" t="e">
        <f t="shared" si="25"/>
        <v>#NAME?</v>
      </c>
      <c r="AT17" s="232">
        <f t="shared" si="26"/>
        <v>6.6000000000000003E-2</v>
      </c>
      <c r="AU17" s="292" t="e">
        <f t="shared" si="64"/>
        <v>#NAME?</v>
      </c>
      <c r="AV17" s="235" t="e">
        <f t="shared" si="65"/>
        <v>#NAME?</v>
      </c>
      <c r="AW17" s="235" t="e">
        <f t="shared" si="66"/>
        <v>#NAME?</v>
      </c>
      <c r="AX17" s="235" t="e">
        <f t="shared" si="27"/>
        <v>#NAME?</v>
      </c>
      <c r="AY17" s="235" t="e">
        <f t="shared" si="67"/>
        <v>#NAME?</v>
      </c>
      <c r="AZ17" s="235" t="e">
        <f t="shared" si="28"/>
        <v>#NAME?</v>
      </c>
      <c r="BA17" s="235" t="e">
        <f t="shared" si="29"/>
        <v>#NAME?</v>
      </c>
      <c r="BB17" s="235" t="e">
        <f t="shared" si="30"/>
        <v>#NAME?</v>
      </c>
      <c r="BC17" s="235" t="e">
        <f t="shared" si="31"/>
        <v>#NAME?</v>
      </c>
      <c r="BD17" s="235" t="e">
        <f t="shared" si="32"/>
        <v>#NAME?</v>
      </c>
      <c r="BE17" s="235" t="e">
        <f t="shared" si="68"/>
        <v>#NAME?</v>
      </c>
      <c r="BF17" s="235" t="e">
        <f t="shared" si="69"/>
        <v>#NAME?</v>
      </c>
      <c r="BG17" s="235" t="e">
        <f t="shared" si="33"/>
        <v>#NAME?</v>
      </c>
      <c r="BH17" s="233" t="e">
        <f t="shared" si="70"/>
        <v>#NAME?</v>
      </c>
      <c r="BI17" s="175">
        <f t="shared" si="34"/>
        <v>13.2</v>
      </c>
      <c r="BJ17" s="292">
        <v>91.805367362427361</v>
      </c>
      <c r="BK17" s="235">
        <f t="shared" si="71"/>
        <v>0.91805367362427359</v>
      </c>
      <c r="BL17" s="376">
        <v>35.406642987935072</v>
      </c>
      <c r="BM17" s="294"/>
      <c r="BN17" s="387" t="e">
        <f t="shared" si="72"/>
        <v>#NAME?</v>
      </c>
      <c r="BO17" s="387" t="e">
        <f t="shared" si="73"/>
        <v>#NAME?</v>
      </c>
      <c r="BP17" s="175" t="e">
        <f t="shared" si="74"/>
        <v>#NAME?</v>
      </c>
      <c r="BQ17" s="235"/>
      <c r="BR17" s="235"/>
      <c r="BS17" s="235"/>
      <c r="BT17" s="235"/>
    </row>
    <row r="18" spans="1:72" x14ac:dyDescent="0.2">
      <c r="A18" s="299" t="s">
        <v>342</v>
      </c>
      <c r="B18" s="377" t="e">
        <f>L*IripplePFM/(Vin-(Rdcr+RdsonTop)*Ioutmax-Vout)*10^6</f>
        <v>#NAME?</v>
      </c>
      <c r="C18" s="304" t="s">
        <v>343</v>
      </c>
      <c r="D18" s="305" t="e">
        <f>B18/1000000</f>
        <v>#NAME?</v>
      </c>
      <c r="E18" s="174" t="s">
        <v>422</v>
      </c>
      <c r="F18" s="289"/>
      <c r="G18" s="289"/>
      <c r="H18" s="173">
        <v>12</v>
      </c>
      <c r="I18" s="513">
        <f t="shared" si="0"/>
        <v>1.44E-2</v>
      </c>
      <c r="J18" s="175" t="e">
        <f t="shared" si="1"/>
        <v>#NAME?</v>
      </c>
      <c r="K18" s="232" t="e">
        <f t="shared" si="2"/>
        <v>#NAME?</v>
      </c>
      <c r="L18" s="290" t="e">
        <f t="shared" si="3"/>
        <v>#NAME?</v>
      </c>
      <c r="M18" s="208" t="e">
        <f t="shared" si="55"/>
        <v>#NAME?</v>
      </c>
      <c r="N18" s="291" t="e">
        <f t="shared" si="4"/>
        <v>#NAME?</v>
      </c>
      <c r="O18" s="291">
        <f t="shared" si="5"/>
        <v>2.839102389388571E-4</v>
      </c>
      <c r="P18" s="233" t="e">
        <f t="shared" si="56"/>
        <v>#NAME?</v>
      </c>
      <c r="Q18" s="232" t="e">
        <f t="shared" si="6"/>
        <v>#NAME?</v>
      </c>
      <c r="R18" s="232" t="e">
        <f t="shared" si="7"/>
        <v>#NAME?</v>
      </c>
      <c r="S18" s="517" t="e">
        <f t="shared" si="8"/>
        <v>#NAME?</v>
      </c>
      <c r="T18" s="232" t="e">
        <f t="shared" si="57"/>
        <v>#NAME?</v>
      </c>
      <c r="U18" s="233" t="e">
        <f t="shared" si="9"/>
        <v>#NAME?</v>
      </c>
      <c r="V18" s="232" t="e">
        <f t="shared" si="10"/>
        <v>#NAME?</v>
      </c>
      <c r="W18" s="232" t="e">
        <f t="shared" si="58"/>
        <v>#NAME?</v>
      </c>
      <c r="X18" s="232" t="e">
        <f t="shared" si="11"/>
        <v>#NAME?</v>
      </c>
      <c r="Y18" s="234" t="e">
        <f t="shared" si="12"/>
        <v>#NAME?</v>
      </c>
      <c r="Z18" s="234" t="e">
        <f t="shared" si="59"/>
        <v>#NAME?</v>
      </c>
      <c r="AA18" s="232" t="e">
        <f t="shared" si="13"/>
        <v>#NAME?</v>
      </c>
      <c r="AB18" s="232" t="e">
        <f t="shared" si="14"/>
        <v>#NAME?</v>
      </c>
      <c r="AC18" s="232" t="e">
        <f t="shared" si="15"/>
        <v>#NAME?</v>
      </c>
      <c r="AD18">
        <v>20</v>
      </c>
      <c r="AE18" s="208">
        <v>10</v>
      </c>
      <c r="AF18" s="232" t="e">
        <f t="shared" si="16"/>
        <v>#NAME?</v>
      </c>
      <c r="AG18" s="232" t="e">
        <f t="shared" si="17"/>
        <v>#NAME?</v>
      </c>
      <c r="AH18" s="232" t="e">
        <f t="shared" si="60"/>
        <v>#NAME?</v>
      </c>
      <c r="AI18" s="232" t="e">
        <f t="shared" si="18"/>
        <v>#NAME?</v>
      </c>
      <c r="AJ18" s="232" t="e">
        <f t="shared" si="19"/>
        <v>#NAME?</v>
      </c>
      <c r="AK18" s="232" t="e">
        <f t="shared" si="20"/>
        <v>#NAME?</v>
      </c>
      <c r="AL18" s="232">
        <f t="shared" si="21"/>
        <v>0</v>
      </c>
      <c r="AM18" s="232" t="e">
        <f t="shared" si="22"/>
        <v>#NAME?</v>
      </c>
      <c r="AN18" s="232" t="e">
        <f t="shared" si="61"/>
        <v>#NAME?</v>
      </c>
      <c r="AO18" s="232" t="e">
        <f t="shared" si="23"/>
        <v>#NAME?</v>
      </c>
      <c r="AP18" s="232" t="e">
        <f t="shared" si="24"/>
        <v>#NAME?</v>
      </c>
      <c r="AQ18" s="232" t="e">
        <f t="shared" si="62"/>
        <v>#NAME?</v>
      </c>
      <c r="AR18" s="232" t="e">
        <f t="shared" si="63"/>
        <v>#NAME?</v>
      </c>
      <c r="AS18" s="232" t="e">
        <f t="shared" si="25"/>
        <v>#NAME?</v>
      </c>
      <c r="AT18" s="232">
        <f t="shared" si="26"/>
        <v>7.1999999999999995E-2</v>
      </c>
      <c r="AU18" s="292" t="e">
        <f t="shared" si="64"/>
        <v>#NAME?</v>
      </c>
      <c r="AV18" s="235" t="e">
        <f t="shared" si="65"/>
        <v>#NAME?</v>
      </c>
      <c r="AW18" s="235" t="e">
        <f t="shared" si="66"/>
        <v>#NAME?</v>
      </c>
      <c r="AX18" s="235" t="e">
        <f t="shared" si="27"/>
        <v>#NAME?</v>
      </c>
      <c r="AY18" s="235" t="e">
        <f t="shared" si="67"/>
        <v>#NAME?</v>
      </c>
      <c r="AZ18" s="235" t="e">
        <f t="shared" si="28"/>
        <v>#NAME?</v>
      </c>
      <c r="BA18" s="235" t="e">
        <f t="shared" si="29"/>
        <v>#NAME?</v>
      </c>
      <c r="BB18" s="235" t="e">
        <f t="shared" si="30"/>
        <v>#NAME?</v>
      </c>
      <c r="BC18" s="235" t="e">
        <f t="shared" si="31"/>
        <v>#NAME?</v>
      </c>
      <c r="BD18" s="235" t="e">
        <f t="shared" si="32"/>
        <v>#NAME?</v>
      </c>
      <c r="BE18" s="235" t="e">
        <f t="shared" si="68"/>
        <v>#NAME?</v>
      </c>
      <c r="BF18" s="235" t="e">
        <f t="shared" si="69"/>
        <v>#NAME?</v>
      </c>
      <c r="BG18" s="235" t="e">
        <f t="shared" si="33"/>
        <v>#NAME?</v>
      </c>
      <c r="BH18" s="233" t="e">
        <f t="shared" si="70"/>
        <v>#NAME?</v>
      </c>
      <c r="BI18" s="175">
        <f t="shared" si="34"/>
        <v>14.4</v>
      </c>
      <c r="BJ18" s="292">
        <v>91.872211787054709</v>
      </c>
      <c r="BK18" s="235">
        <f t="shared" si="71"/>
        <v>0.91872211787054714</v>
      </c>
      <c r="BL18" s="376">
        <v>37.406854113512679</v>
      </c>
      <c r="BM18" s="294"/>
      <c r="BN18" s="387" t="e">
        <f t="shared" si="72"/>
        <v>#NAME?</v>
      </c>
      <c r="BO18" s="387" t="e">
        <f t="shared" si="73"/>
        <v>#NAME?</v>
      </c>
      <c r="BP18" s="175" t="e">
        <f t="shared" si="74"/>
        <v>#NAME?</v>
      </c>
      <c r="BQ18" s="235"/>
      <c r="BR18" s="235"/>
      <c r="BS18" s="235"/>
      <c r="BT18" s="235"/>
    </row>
    <row r="19" spans="1:72" x14ac:dyDescent="0.2">
      <c r="A19" s="299" t="s">
        <v>345</v>
      </c>
      <c r="B19" s="377" t="e">
        <f>L/(Vout+(Rdcr+RdsonBot)*Ioutmax)*IripplePFM*1000000</f>
        <v>#NAME?</v>
      </c>
      <c r="C19" s="304" t="s">
        <v>343</v>
      </c>
      <c r="D19" s="306" t="e">
        <f>B19/1000000</f>
        <v>#NAME?</v>
      </c>
      <c r="E19" s="174" t="s">
        <v>423</v>
      </c>
      <c r="F19" s="289"/>
      <c r="G19" s="289"/>
      <c r="H19" s="173">
        <v>13</v>
      </c>
      <c r="I19" s="513">
        <f t="shared" si="0"/>
        <v>1.5599999999999999E-2</v>
      </c>
      <c r="J19" s="175" t="e">
        <f t="shared" si="1"/>
        <v>#NAME?</v>
      </c>
      <c r="K19" s="232" t="e">
        <f t="shared" si="2"/>
        <v>#NAME?</v>
      </c>
      <c r="L19" s="290" t="e">
        <f t="shared" si="3"/>
        <v>#NAME?</v>
      </c>
      <c r="M19" s="208" t="e">
        <f t="shared" si="55"/>
        <v>#NAME?</v>
      </c>
      <c r="N19" s="291" t="e">
        <f t="shared" si="4"/>
        <v>#NAME?</v>
      </c>
      <c r="O19" s="291">
        <f t="shared" si="5"/>
        <v>2.6207098978971426E-4</v>
      </c>
      <c r="P19" s="233" t="e">
        <f t="shared" si="56"/>
        <v>#NAME?</v>
      </c>
      <c r="Q19" s="232" t="e">
        <f t="shared" si="6"/>
        <v>#NAME?</v>
      </c>
      <c r="R19" s="232" t="e">
        <f t="shared" si="7"/>
        <v>#NAME?</v>
      </c>
      <c r="S19" s="517" t="e">
        <f t="shared" si="8"/>
        <v>#NAME?</v>
      </c>
      <c r="T19" s="232" t="e">
        <f t="shared" si="57"/>
        <v>#NAME?</v>
      </c>
      <c r="U19" s="233" t="e">
        <f t="shared" si="9"/>
        <v>#NAME?</v>
      </c>
      <c r="V19" s="232" t="e">
        <f t="shared" si="10"/>
        <v>#NAME?</v>
      </c>
      <c r="W19" s="232" t="e">
        <f t="shared" si="58"/>
        <v>#NAME?</v>
      </c>
      <c r="X19" s="232" t="e">
        <f t="shared" si="11"/>
        <v>#NAME?</v>
      </c>
      <c r="Y19" s="234" t="e">
        <f t="shared" si="12"/>
        <v>#NAME?</v>
      </c>
      <c r="Z19" s="234" t="e">
        <f t="shared" si="59"/>
        <v>#NAME?</v>
      </c>
      <c r="AA19" s="232" t="e">
        <f t="shared" si="13"/>
        <v>#NAME?</v>
      </c>
      <c r="AB19" s="232" t="e">
        <f t="shared" si="14"/>
        <v>#NAME?</v>
      </c>
      <c r="AC19" s="232" t="e">
        <f t="shared" si="15"/>
        <v>#NAME?</v>
      </c>
      <c r="AD19">
        <v>20</v>
      </c>
      <c r="AE19" s="208">
        <v>10</v>
      </c>
      <c r="AF19" s="232" t="e">
        <f t="shared" si="16"/>
        <v>#NAME?</v>
      </c>
      <c r="AG19" s="232" t="e">
        <f t="shared" si="17"/>
        <v>#NAME?</v>
      </c>
      <c r="AH19" s="232" t="e">
        <f t="shared" si="60"/>
        <v>#NAME?</v>
      </c>
      <c r="AI19" s="232" t="e">
        <f t="shared" si="18"/>
        <v>#NAME?</v>
      </c>
      <c r="AJ19" s="232" t="e">
        <f t="shared" si="19"/>
        <v>#NAME?</v>
      </c>
      <c r="AK19" s="232" t="e">
        <f t="shared" si="20"/>
        <v>#NAME?</v>
      </c>
      <c r="AL19" s="232">
        <f t="shared" si="21"/>
        <v>0</v>
      </c>
      <c r="AM19" s="232" t="e">
        <f t="shared" si="22"/>
        <v>#NAME?</v>
      </c>
      <c r="AN19" s="232" t="e">
        <f t="shared" si="61"/>
        <v>#NAME?</v>
      </c>
      <c r="AO19" s="232" t="e">
        <f t="shared" si="23"/>
        <v>#NAME?</v>
      </c>
      <c r="AP19" s="232" t="e">
        <f t="shared" si="24"/>
        <v>#NAME?</v>
      </c>
      <c r="AQ19" s="232" t="e">
        <f t="shared" si="62"/>
        <v>#NAME?</v>
      </c>
      <c r="AR19" s="232" t="e">
        <f t="shared" si="63"/>
        <v>#NAME?</v>
      </c>
      <c r="AS19" s="232" t="e">
        <f t="shared" si="25"/>
        <v>#NAME?</v>
      </c>
      <c r="AT19" s="232">
        <f t="shared" si="26"/>
        <v>7.8E-2</v>
      </c>
      <c r="AU19" s="292" t="e">
        <f t="shared" si="64"/>
        <v>#NAME?</v>
      </c>
      <c r="AV19" s="235" t="e">
        <f t="shared" si="65"/>
        <v>#NAME?</v>
      </c>
      <c r="AW19" s="235" t="e">
        <f t="shared" si="66"/>
        <v>#NAME?</v>
      </c>
      <c r="AX19" s="235" t="e">
        <f t="shared" si="27"/>
        <v>#NAME?</v>
      </c>
      <c r="AY19" s="235" t="e">
        <f t="shared" si="67"/>
        <v>#NAME?</v>
      </c>
      <c r="AZ19" s="235" t="e">
        <f t="shared" si="28"/>
        <v>#NAME?</v>
      </c>
      <c r="BA19" s="235" t="e">
        <f t="shared" si="29"/>
        <v>#NAME?</v>
      </c>
      <c r="BB19" s="235" t="e">
        <f t="shared" si="30"/>
        <v>#NAME?</v>
      </c>
      <c r="BC19" s="235" t="e">
        <f t="shared" si="31"/>
        <v>#NAME?</v>
      </c>
      <c r="BD19" s="235" t="e">
        <f t="shared" si="32"/>
        <v>#NAME?</v>
      </c>
      <c r="BE19" s="235" t="e">
        <f t="shared" si="68"/>
        <v>#NAME?</v>
      </c>
      <c r="BF19" s="235" t="e">
        <f t="shared" si="69"/>
        <v>#NAME?</v>
      </c>
      <c r="BG19" s="235" t="e">
        <f t="shared" si="33"/>
        <v>#NAME?</v>
      </c>
      <c r="BH19" s="233" t="e">
        <f t="shared" si="70"/>
        <v>#NAME?</v>
      </c>
      <c r="BI19" s="175">
        <f t="shared" si="34"/>
        <v>15.6</v>
      </c>
      <c r="BJ19" s="292">
        <v>91.928895820277532</v>
      </c>
      <c r="BK19" s="235">
        <f t="shared" si="71"/>
        <v>0.91928895820277534</v>
      </c>
      <c r="BL19" s="376">
        <v>39.43881309499821</v>
      </c>
      <c r="BM19" s="294"/>
      <c r="BN19" s="387" t="e">
        <f t="shared" si="72"/>
        <v>#NAME?</v>
      </c>
      <c r="BO19" s="387" t="e">
        <f t="shared" si="73"/>
        <v>#NAME?</v>
      </c>
      <c r="BP19" s="175" t="e">
        <f t="shared" si="74"/>
        <v>#NAME?</v>
      </c>
      <c r="BQ19" s="235"/>
      <c r="BR19" s="235"/>
      <c r="BS19" s="235"/>
      <c r="BT19" s="235"/>
    </row>
    <row r="20" spans="1:72" x14ac:dyDescent="0.2">
      <c r="A20" s="299" t="s">
        <v>68</v>
      </c>
      <c r="B20" s="303" t="e">
        <f>B18/(B18+B19)</f>
        <v>#NAME?</v>
      </c>
      <c r="C20" s="304"/>
      <c r="D20" s="306"/>
      <c r="E20" s="174" t="s">
        <v>424</v>
      </c>
      <c r="F20" s="289"/>
      <c r="G20" s="289"/>
      <c r="H20" s="173">
        <v>14</v>
      </c>
      <c r="I20" s="513">
        <f t="shared" si="0"/>
        <v>1.6800000000000002E-2</v>
      </c>
      <c r="J20" s="175" t="e">
        <f t="shared" si="1"/>
        <v>#NAME?</v>
      </c>
      <c r="K20" s="232" t="e">
        <f t="shared" si="2"/>
        <v>#NAME?</v>
      </c>
      <c r="L20" s="290" t="e">
        <f t="shared" si="3"/>
        <v>#NAME?</v>
      </c>
      <c r="M20" s="208" t="e">
        <f t="shared" si="55"/>
        <v>#NAME?</v>
      </c>
      <c r="N20" s="291" t="e">
        <f t="shared" si="4"/>
        <v>#NAME?</v>
      </c>
      <c r="O20" s="291">
        <f t="shared" si="5"/>
        <v>2.4335163337616317E-4</v>
      </c>
      <c r="P20" s="233" t="e">
        <f t="shared" si="56"/>
        <v>#NAME?</v>
      </c>
      <c r="Q20" s="232" t="e">
        <f t="shared" si="6"/>
        <v>#NAME?</v>
      </c>
      <c r="R20" s="232" t="e">
        <f t="shared" si="7"/>
        <v>#NAME?</v>
      </c>
      <c r="S20" s="517" t="e">
        <f t="shared" si="8"/>
        <v>#NAME?</v>
      </c>
      <c r="T20" s="232" t="e">
        <f t="shared" si="57"/>
        <v>#NAME?</v>
      </c>
      <c r="U20" s="233" t="e">
        <f t="shared" si="9"/>
        <v>#NAME?</v>
      </c>
      <c r="V20" s="232" t="e">
        <f t="shared" si="10"/>
        <v>#NAME?</v>
      </c>
      <c r="W20" s="232" t="e">
        <f t="shared" si="58"/>
        <v>#NAME?</v>
      </c>
      <c r="X20" s="232" t="e">
        <f t="shared" si="11"/>
        <v>#NAME?</v>
      </c>
      <c r="Y20" s="234" t="e">
        <f t="shared" si="12"/>
        <v>#NAME?</v>
      </c>
      <c r="Z20" s="234" t="e">
        <f t="shared" si="59"/>
        <v>#NAME?</v>
      </c>
      <c r="AA20" s="232" t="e">
        <f t="shared" si="13"/>
        <v>#NAME?</v>
      </c>
      <c r="AB20" s="232" t="e">
        <f t="shared" si="14"/>
        <v>#NAME?</v>
      </c>
      <c r="AC20" s="232" t="e">
        <f t="shared" si="15"/>
        <v>#NAME?</v>
      </c>
      <c r="AD20">
        <v>20</v>
      </c>
      <c r="AE20" s="208">
        <v>10</v>
      </c>
      <c r="AF20" s="232" t="e">
        <f t="shared" si="16"/>
        <v>#NAME?</v>
      </c>
      <c r="AG20" s="232" t="e">
        <f t="shared" si="17"/>
        <v>#NAME?</v>
      </c>
      <c r="AH20" s="232" t="e">
        <f t="shared" si="60"/>
        <v>#NAME?</v>
      </c>
      <c r="AI20" s="232" t="e">
        <f t="shared" si="18"/>
        <v>#NAME?</v>
      </c>
      <c r="AJ20" s="232" t="e">
        <f t="shared" si="19"/>
        <v>#NAME?</v>
      </c>
      <c r="AK20" s="232" t="e">
        <f t="shared" si="20"/>
        <v>#NAME?</v>
      </c>
      <c r="AL20" s="232">
        <f t="shared" si="21"/>
        <v>0</v>
      </c>
      <c r="AM20" s="232" t="e">
        <f t="shared" si="22"/>
        <v>#NAME?</v>
      </c>
      <c r="AN20" s="232" t="e">
        <f t="shared" si="61"/>
        <v>#NAME?</v>
      </c>
      <c r="AO20" s="232" t="e">
        <f t="shared" si="23"/>
        <v>#NAME?</v>
      </c>
      <c r="AP20" s="232" t="e">
        <f t="shared" si="24"/>
        <v>#NAME?</v>
      </c>
      <c r="AQ20" s="232" t="e">
        <f t="shared" si="62"/>
        <v>#NAME?</v>
      </c>
      <c r="AR20" s="232" t="e">
        <f t="shared" si="63"/>
        <v>#NAME?</v>
      </c>
      <c r="AS20" s="232" t="e">
        <f t="shared" si="25"/>
        <v>#NAME?</v>
      </c>
      <c r="AT20" s="232">
        <f t="shared" si="26"/>
        <v>8.4000000000000019E-2</v>
      </c>
      <c r="AU20" s="292" t="e">
        <f t="shared" si="64"/>
        <v>#NAME?</v>
      </c>
      <c r="AV20" s="235" t="e">
        <f t="shared" si="65"/>
        <v>#NAME?</v>
      </c>
      <c r="AW20" s="235" t="e">
        <f t="shared" si="66"/>
        <v>#NAME?</v>
      </c>
      <c r="AX20" s="235" t="e">
        <f t="shared" si="27"/>
        <v>#NAME?</v>
      </c>
      <c r="AY20" s="235" t="e">
        <f t="shared" si="67"/>
        <v>#NAME?</v>
      </c>
      <c r="AZ20" s="235" t="e">
        <f t="shared" si="28"/>
        <v>#NAME?</v>
      </c>
      <c r="BA20" s="235" t="e">
        <f t="shared" si="29"/>
        <v>#NAME?</v>
      </c>
      <c r="BB20" s="235" t="e">
        <f t="shared" si="30"/>
        <v>#NAME?</v>
      </c>
      <c r="BC20" s="235" t="e">
        <f t="shared" si="31"/>
        <v>#NAME?</v>
      </c>
      <c r="BD20" s="235" t="e">
        <f t="shared" si="32"/>
        <v>#NAME?</v>
      </c>
      <c r="BE20" s="235" t="e">
        <f t="shared" si="68"/>
        <v>#NAME?</v>
      </c>
      <c r="BF20" s="235" t="e">
        <f t="shared" si="69"/>
        <v>#NAME?</v>
      </c>
      <c r="BG20" s="235" t="e">
        <f t="shared" si="33"/>
        <v>#NAME?</v>
      </c>
      <c r="BH20" s="233" t="e">
        <f t="shared" si="70"/>
        <v>#NAME?</v>
      </c>
      <c r="BI20" s="175">
        <f t="shared" si="34"/>
        <v>16.8</v>
      </c>
      <c r="BJ20" s="292">
        <v>91.977581799582111</v>
      </c>
      <c r="BK20" s="235">
        <f t="shared" si="71"/>
        <v>0.91977581799582109</v>
      </c>
      <c r="BL20" s="376">
        <v>41.494486721232725</v>
      </c>
      <c r="BM20" s="294"/>
      <c r="BN20" s="387" t="e">
        <f t="shared" si="72"/>
        <v>#NAME?</v>
      </c>
      <c r="BO20" s="387" t="e">
        <f t="shared" si="73"/>
        <v>#NAME?</v>
      </c>
      <c r="BP20" s="175" t="e">
        <f t="shared" si="74"/>
        <v>#NAME?</v>
      </c>
      <c r="BQ20" s="235"/>
      <c r="BR20" s="235"/>
      <c r="BS20" s="235"/>
      <c r="BT20" s="235"/>
    </row>
    <row r="21" spans="1:72" ht="15.75" x14ac:dyDescent="0.3">
      <c r="A21" s="299" t="s">
        <v>347</v>
      </c>
      <c r="B21" s="307" t="e">
        <f>Ilim*1000+(Vin-Vout)/L*0.0001-Izx*1000+Vout/L*0.0002</f>
        <v>#NAME?</v>
      </c>
      <c r="C21" s="174" t="s">
        <v>42</v>
      </c>
      <c r="D21" s="196" t="e">
        <f>B21/1000</f>
        <v>#NAME?</v>
      </c>
      <c r="E21" s="174" t="s">
        <v>425</v>
      </c>
      <c r="F21" s="289"/>
      <c r="G21" s="289"/>
      <c r="H21" s="173">
        <v>15</v>
      </c>
      <c r="I21" s="513">
        <f t="shared" si="0"/>
        <v>1.7999999999999999E-2</v>
      </c>
      <c r="J21" s="175" t="e">
        <f t="shared" si="1"/>
        <v>#NAME?</v>
      </c>
      <c r="K21" s="232" t="e">
        <f t="shared" si="2"/>
        <v>#NAME?</v>
      </c>
      <c r="L21" s="290" t="e">
        <f t="shared" si="3"/>
        <v>#NAME?</v>
      </c>
      <c r="M21" s="208" t="e">
        <f t="shared" si="55"/>
        <v>#NAME?</v>
      </c>
      <c r="N21" s="291" t="e">
        <f t="shared" si="4"/>
        <v>#NAME?</v>
      </c>
      <c r="O21" s="291">
        <f t="shared" si="5"/>
        <v>2.2712819115108568E-4</v>
      </c>
      <c r="P21" s="233" t="e">
        <f t="shared" si="56"/>
        <v>#NAME?</v>
      </c>
      <c r="Q21" s="232" t="e">
        <f t="shared" si="6"/>
        <v>#NAME?</v>
      </c>
      <c r="R21" s="232" t="e">
        <f t="shared" si="7"/>
        <v>#NAME?</v>
      </c>
      <c r="S21" s="517" t="e">
        <f t="shared" si="8"/>
        <v>#NAME?</v>
      </c>
      <c r="T21" s="232" t="e">
        <f t="shared" si="57"/>
        <v>#NAME?</v>
      </c>
      <c r="U21" s="233" t="e">
        <f t="shared" si="9"/>
        <v>#NAME?</v>
      </c>
      <c r="V21" s="232" t="e">
        <f t="shared" si="10"/>
        <v>#NAME?</v>
      </c>
      <c r="W21" s="232" t="e">
        <f t="shared" si="58"/>
        <v>#NAME?</v>
      </c>
      <c r="X21" s="232" t="e">
        <f t="shared" si="11"/>
        <v>#NAME?</v>
      </c>
      <c r="Y21" s="234" t="e">
        <f t="shared" si="12"/>
        <v>#NAME?</v>
      </c>
      <c r="Z21" s="234" t="e">
        <f t="shared" si="59"/>
        <v>#NAME?</v>
      </c>
      <c r="AA21" s="232" t="e">
        <f t="shared" si="13"/>
        <v>#NAME?</v>
      </c>
      <c r="AB21" s="232" t="e">
        <f t="shared" si="14"/>
        <v>#NAME?</v>
      </c>
      <c r="AC21" s="232" t="e">
        <f t="shared" si="15"/>
        <v>#NAME?</v>
      </c>
      <c r="AD21">
        <v>20</v>
      </c>
      <c r="AE21" s="208">
        <v>10</v>
      </c>
      <c r="AF21" s="232" t="e">
        <f t="shared" si="16"/>
        <v>#NAME?</v>
      </c>
      <c r="AG21" s="232" t="e">
        <f t="shared" si="17"/>
        <v>#NAME?</v>
      </c>
      <c r="AH21" s="232" t="e">
        <f t="shared" si="60"/>
        <v>#NAME?</v>
      </c>
      <c r="AI21" s="232" t="e">
        <f t="shared" si="18"/>
        <v>#NAME?</v>
      </c>
      <c r="AJ21" s="232" t="e">
        <f t="shared" si="19"/>
        <v>#NAME?</v>
      </c>
      <c r="AK21" s="232" t="e">
        <f t="shared" si="20"/>
        <v>#NAME?</v>
      </c>
      <c r="AL21" s="232">
        <f t="shared" si="21"/>
        <v>0</v>
      </c>
      <c r="AM21" s="232" t="e">
        <f t="shared" si="22"/>
        <v>#NAME?</v>
      </c>
      <c r="AN21" s="232" t="e">
        <f t="shared" si="61"/>
        <v>#NAME?</v>
      </c>
      <c r="AO21" s="232" t="e">
        <f t="shared" si="23"/>
        <v>#NAME?</v>
      </c>
      <c r="AP21" s="232" t="e">
        <f t="shared" si="24"/>
        <v>#NAME?</v>
      </c>
      <c r="AQ21" s="232" t="e">
        <f t="shared" si="62"/>
        <v>#NAME?</v>
      </c>
      <c r="AR21" s="232" t="e">
        <f t="shared" si="63"/>
        <v>#NAME?</v>
      </c>
      <c r="AS21" s="232" t="e">
        <f t="shared" si="25"/>
        <v>#NAME?</v>
      </c>
      <c r="AT21" s="232">
        <f t="shared" si="26"/>
        <v>0.09</v>
      </c>
      <c r="AU21" s="292" t="e">
        <f t="shared" si="64"/>
        <v>#NAME?</v>
      </c>
      <c r="AV21" s="235" t="e">
        <f t="shared" si="65"/>
        <v>#NAME?</v>
      </c>
      <c r="AW21" s="235" t="e">
        <f t="shared" si="66"/>
        <v>#NAME?</v>
      </c>
      <c r="AX21" s="235" t="e">
        <f t="shared" si="27"/>
        <v>#NAME?</v>
      </c>
      <c r="AY21" s="235" t="e">
        <f t="shared" si="67"/>
        <v>#NAME?</v>
      </c>
      <c r="AZ21" s="235" t="e">
        <f t="shared" si="28"/>
        <v>#NAME?</v>
      </c>
      <c r="BA21" s="235" t="e">
        <f t="shared" si="29"/>
        <v>#NAME?</v>
      </c>
      <c r="BB21" s="235" t="e">
        <f t="shared" si="30"/>
        <v>#NAME?</v>
      </c>
      <c r="BC21" s="235" t="e">
        <f t="shared" si="31"/>
        <v>#NAME?</v>
      </c>
      <c r="BD21" s="235" t="e">
        <f t="shared" si="32"/>
        <v>#NAME?</v>
      </c>
      <c r="BE21" s="235" t="e">
        <f t="shared" si="68"/>
        <v>#NAME?</v>
      </c>
      <c r="BF21" s="235" t="e">
        <f t="shared" si="69"/>
        <v>#NAME?</v>
      </c>
      <c r="BG21" s="235" t="e">
        <f t="shared" si="33"/>
        <v>#NAME?</v>
      </c>
      <c r="BH21" s="233" t="e">
        <f t="shared" si="70"/>
        <v>#NAME?</v>
      </c>
      <c r="BI21" s="175">
        <f t="shared" si="34"/>
        <v>18</v>
      </c>
      <c r="BJ21" s="292">
        <v>92.019859122876866</v>
      </c>
      <c r="BK21" s="235">
        <f t="shared" si="71"/>
        <v>0.92019859122876868</v>
      </c>
      <c r="BL21" s="376">
        <v>43.565450767835173</v>
      </c>
      <c r="BM21" s="294"/>
      <c r="BN21" s="387" t="e">
        <f t="shared" si="72"/>
        <v>#NAME?</v>
      </c>
      <c r="BO21" s="387" t="e">
        <f t="shared" si="73"/>
        <v>#NAME?</v>
      </c>
      <c r="BP21" s="175" t="e">
        <f t="shared" si="74"/>
        <v>#NAME?</v>
      </c>
      <c r="BQ21" s="235"/>
      <c r="BR21" s="235"/>
      <c r="BS21" s="235"/>
      <c r="BT21" s="235"/>
    </row>
    <row r="22" spans="1:72" ht="15.75" x14ac:dyDescent="0.3">
      <c r="A22" s="299" t="s">
        <v>426</v>
      </c>
      <c r="B22" s="307" t="e">
        <f>Ilim*1000+(Vin-Vout)/L*0.00012</f>
        <v>#NAME?</v>
      </c>
      <c r="C22" s="174" t="s">
        <v>42</v>
      </c>
      <c r="D22" s="196" t="e">
        <f>B22/1000</f>
        <v>#NAME?</v>
      </c>
      <c r="E22" s="202" t="s">
        <v>575</v>
      </c>
      <c r="F22" s="521" t="e">
        <f>Izx-Vout/L*0.0000002</f>
        <v>#NAME?</v>
      </c>
      <c r="G22" s="304" t="s">
        <v>2</v>
      </c>
      <c r="H22" s="173">
        <v>16</v>
      </c>
      <c r="I22" s="513">
        <f t="shared" si="0"/>
        <v>1.9199999999999998E-2</v>
      </c>
      <c r="J22" s="175" t="e">
        <f t="shared" si="1"/>
        <v>#NAME?</v>
      </c>
      <c r="K22" s="232" t="e">
        <f t="shared" si="2"/>
        <v>#NAME?</v>
      </c>
      <c r="L22" s="290" t="e">
        <f t="shared" si="3"/>
        <v>#NAME?</v>
      </c>
      <c r="M22" s="208" t="e">
        <f t="shared" si="55"/>
        <v>#NAME?</v>
      </c>
      <c r="N22" s="291" t="e">
        <f t="shared" si="4"/>
        <v>#NAME?</v>
      </c>
      <c r="O22" s="291">
        <f t="shared" si="5"/>
        <v>2.1293267920414284E-4</v>
      </c>
      <c r="P22" s="233" t="e">
        <f t="shared" si="56"/>
        <v>#NAME?</v>
      </c>
      <c r="Q22" s="232" t="e">
        <f t="shared" si="6"/>
        <v>#NAME?</v>
      </c>
      <c r="R22" s="232" t="e">
        <f t="shared" si="7"/>
        <v>#NAME?</v>
      </c>
      <c r="S22" s="517" t="e">
        <f t="shared" si="8"/>
        <v>#NAME?</v>
      </c>
      <c r="T22" s="232" t="e">
        <f t="shared" si="57"/>
        <v>#NAME?</v>
      </c>
      <c r="U22" s="233" t="e">
        <f t="shared" si="9"/>
        <v>#NAME?</v>
      </c>
      <c r="V22" s="232" t="e">
        <f t="shared" si="10"/>
        <v>#NAME?</v>
      </c>
      <c r="W22" s="232" t="e">
        <f t="shared" si="58"/>
        <v>#NAME?</v>
      </c>
      <c r="X22" s="232" t="e">
        <f t="shared" si="11"/>
        <v>#NAME?</v>
      </c>
      <c r="Y22" s="234" t="e">
        <f t="shared" si="12"/>
        <v>#NAME?</v>
      </c>
      <c r="Z22" s="234" t="e">
        <f t="shared" si="59"/>
        <v>#NAME?</v>
      </c>
      <c r="AA22" s="232" t="e">
        <f t="shared" si="13"/>
        <v>#NAME?</v>
      </c>
      <c r="AB22" s="232" t="e">
        <f t="shared" si="14"/>
        <v>#NAME?</v>
      </c>
      <c r="AC22" s="232" t="e">
        <f t="shared" si="15"/>
        <v>#NAME?</v>
      </c>
      <c r="AD22">
        <v>20</v>
      </c>
      <c r="AE22" s="208">
        <v>10</v>
      </c>
      <c r="AF22" s="232" t="e">
        <f t="shared" si="16"/>
        <v>#NAME?</v>
      </c>
      <c r="AG22" s="232" t="e">
        <f t="shared" si="17"/>
        <v>#NAME?</v>
      </c>
      <c r="AH22" s="232" t="e">
        <f t="shared" si="60"/>
        <v>#NAME?</v>
      </c>
      <c r="AI22" s="232" t="e">
        <f t="shared" si="18"/>
        <v>#NAME?</v>
      </c>
      <c r="AJ22" s="232" t="e">
        <f t="shared" si="19"/>
        <v>#NAME?</v>
      </c>
      <c r="AK22" s="232" t="e">
        <f t="shared" si="20"/>
        <v>#NAME?</v>
      </c>
      <c r="AL22" s="232">
        <f t="shared" si="21"/>
        <v>0</v>
      </c>
      <c r="AM22" s="232" t="e">
        <f t="shared" si="22"/>
        <v>#NAME?</v>
      </c>
      <c r="AN22" s="232" t="e">
        <f t="shared" si="61"/>
        <v>#NAME?</v>
      </c>
      <c r="AO22" s="232" t="e">
        <f t="shared" si="23"/>
        <v>#NAME?</v>
      </c>
      <c r="AP22" s="232" t="e">
        <f t="shared" si="24"/>
        <v>#NAME?</v>
      </c>
      <c r="AQ22" s="232" t="e">
        <f t="shared" si="62"/>
        <v>#NAME?</v>
      </c>
      <c r="AR22" s="232" t="e">
        <f t="shared" si="63"/>
        <v>#NAME?</v>
      </c>
      <c r="AS22" s="232" t="e">
        <f t="shared" si="25"/>
        <v>#NAME?</v>
      </c>
      <c r="AT22" s="232">
        <f t="shared" si="26"/>
        <v>9.5999999999999988E-2</v>
      </c>
      <c r="AU22" s="292" t="e">
        <f t="shared" si="64"/>
        <v>#NAME?</v>
      </c>
      <c r="AV22" s="235" t="e">
        <f t="shared" si="65"/>
        <v>#NAME?</v>
      </c>
      <c r="AW22" s="235" t="e">
        <f t="shared" si="66"/>
        <v>#NAME?</v>
      </c>
      <c r="AX22" s="235" t="e">
        <f t="shared" si="27"/>
        <v>#NAME?</v>
      </c>
      <c r="AY22" s="235" t="e">
        <f t="shared" si="67"/>
        <v>#NAME?</v>
      </c>
      <c r="AZ22" s="235" t="e">
        <f t="shared" si="28"/>
        <v>#NAME?</v>
      </c>
      <c r="BA22" s="235" t="e">
        <f t="shared" si="29"/>
        <v>#NAME?</v>
      </c>
      <c r="BB22" s="235" t="e">
        <f t="shared" si="30"/>
        <v>#NAME?</v>
      </c>
      <c r="BC22" s="235" t="e">
        <f t="shared" si="31"/>
        <v>#NAME?</v>
      </c>
      <c r="BD22" s="235" t="e">
        <f t="shared" si="32"/>
        <v>#NAME?</v>
      </c>
      <c r="BE22" s="235" t="e">
        <f t="shared" si="68"/>
        <v>#NAME?</v>
      </c>
      <c r="BF22" s="235" t="e">
        <f t="shared" si="69"/>
        <v>#NAME?</v>
      </c>
      <c r="BG22" s="235" t="e">
        <f t="shared" si="33"/>
        <v>#NAME?</v>
      </c>
      <c r="BH22" s="233" t="e">
        <f t="shared" si="70"/>
        <v>#NAME?</v>
      </c>
      <c r="BI22" s="175">
        <f t="shared" si="34"/>
        <v>19.2</v>
      </c>
      <c r="BJ22" s="292">
        <v>92.056922219446761</v>
      </c>
      <c r="BK22" s="235">
        <f t="shared" si="71"/>
        <v>0.92056922219446757</v>
      </c>
      <c r="BL22" s="376">
        <v>45.643025278963023</v>
      </c>
      <c r="BM22" s="294"/>
      <c r="BN22" s="387" t="e">
        <f t="shared" si="72"/>
        <v>#NAME?</v>
      </c>
      <c r="BO22" s="387" t="e">
        <f t="shared" si="73"/>
        <v>#NAME?</v>
      </c>
      <c r="BP22" s="175" t="e">
        <f t="shared" si="74"/>
        <v>#NAME?</v>
      </c>
      <c r="BQ22" s="235"/>
      <c r="BR22" s="235"/>
      <c r="BS22" s="235"/>
      <c r="BT22" s="235"/>
    </row>
    <row r="23" spans="1:72" x14ac:dyDescent="0.2">
      <c r="A23" s="299" t="s">
        <v>427</v>
      </c>
      <c r="B23" s="308" t="e">
        <f>1/((OnTime+OffTime)*1000)</f>
        <v>#NAME?</v>
      </c>
      <c r="C23" s="174" t="s">
        <v>3</v>
      </c>
      <c r="D23" s="309" t="e">
        <f>B23*1000</f>
        <v>#NAME?</v>
      </c>
      <c r="E23" s="174" t="s">
        <v>428</v>
      </c>
      <c r="F23" s="289"/>
      <c r="G23" s="289"/>
      <c r="H23" s="173">
        <v>17</v>
      </c>
      <c r="I23" s="513">
        <f t="shared" si="0"/>
        <v>2.0400000000000001E-2</v>
      </c>
      <c r="J23" s="175" t="e">
        <f t="shared" si="1"/>
        <v>#NAME?</v>
      </c>
      <c r="K23" s="232" t="e">
        <f t="shared" si="2"/>
        <v>#NAME?</v>
      </c>
      <c r="L23" s="290" t="e">
        <f t="shared" si="3"/>
        <v>#NAME?</v>
      </c>
      <c r="M23" s="208" t="e">
        <f t="shared" si="55"/>
        <v>#NAME?</v>
      </c>
      <c r="N23" s="291" t="e">
        <f t="shared" si="4"/>
        <v>#NAME?</v>
      </c>
      <c r="O23" s="291">
        <f t="shared" si="5"/>
        <v>2.0040722748625205E-4</v>
      </c>
      <c r="P23" s="233" t="e">
        <f t="shared" si="56"/>
        <v>#NAME?</v>
      </c>
      <c r="Q23" s="232" t="e">
        <f t="shared" si="6"/>
        <v>#NAME?</v>
      </c>
      <c r="R23" s="232" t="e">
        <f t="shared" si="7"/>
        <v>#NAME?</v>
      </c>
      <c r="S23" s="517" t="e">
        <f t="shared" si="8"/>
        <v>#NAME?</v>
      </c>
      <c r="T23" s="232" t="e">
        <f t="shared" si="57"/>
        <v>#NAME?</v>
      </c>
      <c r="U23" s="233" t="e">
        <f t="shared" si="9"/>
        <v>#NAME?</v>
      </c>
      <c r="V23" s="232" t="e">
        <f t="shared" si="10"/>
        <v>#NAME?</v>
      </c>
      <c r="W23" s="232" t="e">
        <f t="shared" si="58"/>
        <v>#NAME?</v>
      </c>
      <c r="X23" s="232" t="e">
        <f t="shared" si="11"/>
        <v>#NAME?</v>
      </c>
      <c r="Y23" s="234" t="e">
        <f t="shared" si="12"/>
        <v>#NAME?</v>
      </c>
      <c r="Z23" s="234" t="e">
        <f t="shared" si="59"/>
        <v>#NAME?</v>
      </c>
      <c r="AA23" s="232" t="e">
        <f t="shared" si="13"/>
        <v>#NAME?</v>
      </c>
      <c r="AB23" s="232" t="e">
        <f t="shared" si="14"/>
        <v>#NAME?</v>
      </c>
      <c r="AC23" s="232" t="e">
        <f t="shared" si="15"/>
        <v>#NAME?</v>
      </c>
      <c r="AD23">
        <v>20</v>
      </c>
      <c r="AE23" s="208">
        <v>10</v>
      </c>
      <c r="AF23" s="232" t="e">
        <f t="shared" si="16"/>
        <v>#NAME?</v>
      </c>
      <c r="AG23" s="232" t="e">
        <f t="shared" si="17"/>
        <v>#NAME?</v>
      </c>
      <c r="AH23" s="232" t="e">
        <f t="shared" si="60"/>
        <v>#NAME?</v>
      </c>
      <c r="AI23" s="232" t="e">
        <f t="shared" si="18"/>
        <v>#NAME?</v>
      </c>
      <c r="AJ23" s="232" t="e">
        <f t="shared" si="19"/>
        <v>#NAME?</v>
      </c>
      <c r="AK23" s="232" t="e">
        <f t="shared" si="20"/>
        <v>#NAME?</v>
      </c>
      <c r="AL23" s="232">
        <f t="shared" si="21"/>
        <v>0</v>
      </c>
      <c r="AM23" s="232" t="e">
        <f t="shared" si="22"/>
        <v>#NAME?</v>
      </c>
      <c r="AN23" s="232" t="e">
        <f t="shared" si="61"/>
        <v>#NAME?</v>
      </c>
      <c r="AO23" s="232" t="e">
        <f t="shared" si="23"/>
        <v>#NAME?</v>
      </c>
      <c r="AP23" s="232" t="e">
        <f t="shared" si="24"/>
        <v>#NAME?</v>
      </c>
      <c r="AQ23" s="232" t="e">
        <f t="shared" si="62"/>
        <v>#NAME?</v>
      </c>
      <c r="AR23" s="232" t="e">
        <f t="shared" si="63"/>
        <v>#NAME?</v>
      </c>
      <c r="AS23" s="232" t="e">
        <f t="shared" si="25"/>
        <v>#NAME?</v>
      </c>
      <c r="AT23" s="232">
        <f t="shared" si="26"/>
        <v>0.10200000000000001</v>
      </c>
      <c r="AU23" s="292" t="e">
        <f t="shared" si="64"/>
        <v>#NAME?</v>
      </c>
      <c r="AV23" s="235" t="e">
        <f t="shared" si="65"/>
        <v>#NAME?</v>
      </c>
      <c r="AW23" s="235" t="e">
        <f t="shared" si="66"/>
        <v>#NAME?</v>
      </c>
      <c r="AX23" s="235" t="e">
        <f t="shared" si="27"/>
        <v>#NAME?</v>
      </c>
      <c r="AY23" s="235" t="e">
        <f t="shared" si="67"/>
        <v>#NAME?</v>
      </c>
      <c r="AZ23" s="235" t="e">
        <f t="shared" si="28"/>
        <v>#NAME?</v>
      </c>
      <c r="BA23" s="235" t="e">
        <f t="shared" si="29"/>
        <v>#NAME?</v>
      </c>
      <c r="BB23" s="235" t="e">
        <f t="shared" si="30"/>
        <v>#NAME?</v>
      </c>
      <c r="BC23" s="235" t="e">
        <f t="shared" si="31"/>
        <v>#NAME?</v>
      </c>
      <c r="BD23" s="235" t="e">
        <f t="shared" si="32"/>
        <v>#NAME?</v>
      </c>
      <c r="BE23" s="235" t="e">
        <f t="shared" si="68"/>
        <v>#NAME?</v>
      </c>
      <c r="BF23" s="235" t="e">
        <f t="shared" si="69"/>
        <v>#NAME?</v>
      </c>
      <c r="BG23" s="235" t="e">
        <f t="shared" si="33"/>
        <v>#NAME?</v>
      </c>
      <c r="BH23" s="233" t="e">
        <f t="shared" si="70"/>
        <v>#NAME?</v>
      </c>
      <c r="BI23" s="175">
        <f t="shared" si="34"/>
        <v>20.400000000000002</v>
      </c>
      <c r="BJ23" s="292">
        <v>92.089686061935154</v>
      </c>
      <c r="BK23" s="235">
        <f t="shared" si="71"/>
        <v>0.9208968606193515</v>
      </c>
      <c r="BL23" s="376">
        <v>47.718418863865701</v>
      </c>
      <c r="BM23" s="294"/>
      <c r="BN23" s="387" t="e">
        <f t="shared" si="72"/>
        <v>#NAME?</v>
      </c>
      <c r="BO23" s="387" t="e">
        <f t="shared" si="73"/>
        <v>#NAME?</v>
      </c>
      <c r="BP23" s="175" t="e">
        <f t="shared" si="74"/>
        <v>#NAME?</v>
      </c>
      <c r="BQ23" s="235"/>
      <c r="BR23" s="235"/>
      <c r="BS23" s="235"/>
      <c r="BT23" s="235"/>
    </row>
    <row r="24" spans="1:72" ht="15.75" x14ac:dyDescent="0.3">
      <c r="A24" s="299" t="s">
        <v>429</v>
      </c>
      <c r="B24" s="307" t="e">
        <f>1000*(IL_peak+IL_valley)/2</f>
        <v>#NAME?</v>
      </c>
      <c r="C24" s="174" t="s">
        <v>42</v>
      </c>
      <c r="D24" s="311" t="e">
        <f>B24/1000</f>
        <v>#NAME?</v>
      </c>
      <c r="E24" s="174" t="s">
        <v>577</v>
      </c>
      <c r="F24" s="289"/>
      <c r="G24" s="289"/>
      <c r="H24" s="173">
        <v>18</v>
      </c>
      <c r="I24" s="513">
        <f t="shared" si="0"/>
        <v>2.1599999999999998E-2</v>
      </c>
      <c r="J24" s="175" t="e">
        <f t="shared" si="1"/>
        <v>#NAME?</v>
      </c>
      <c r="K24" s="232" t="e">
        <f t="shared" si="2"/>
        <v>#NAME?</v>
      </c>
      <c r="L24" s="290" t="e">
        <f t="shared" si="3"/>
        <v>#NAME?</v>
      </c>
      <c r="M24" s="208" t="e">
        <f t="shared" si="55"/>
        <v>#NAME?</v>
      </c>
      <c r="N24" s="291" t="e">
        <f t="shared" si="4"/>
        <v>#NAME?</v>
      </c>
      <c r="O24" s="291">
        <f t="shared" si="5"/>
        <v>1.8927349262590475E-4</v>
      </c>
      <c r="P24" s="233" t="e">
        <f t="shared" si="56"/>
        <v>#NAME?</v>
      </c>
      <c r="Q24" s="232" t="e">
        <f t="shared" si="6"/>
        <v>#NAME?</v>
      </c>
      <c r="R24" s="232" t="e">
        <f t="shared" si="7"/>
        <v>#NAME?</v>
      </c>
      <c r="S24" s="517" t="e">
        <f t="shared" si="8"/>
        <v>#NAME?</v>
      </c>
      <c r="T24" s="232" t="e">
        <f t="shared" si="57"/>
        <v>#NAME?</v>
      </c>
      <c r="U24" s="233" t="e">
        <f t="shared" si="9"/>
        <v>#NAME?</v>
      </c>
      <c r="V24" s="232" t="e">
        <f t="shared" si="10"/>
        <v>#NAME?</v>
      </c>
      <c r="W24" s="232" t="e">
        <f t="shared" si="58"/>
        <v>#NAME?</v>
      </c>
      <c r="X24" s="232" t="e">
        <f t="shared" si="11"/>
        <v>#NAME?</v>
      </c>
      <c r="Y24" s="234" t="e">
        <f t="shared" si="12"/>
        <v>#NAME?</v>
      </c>
      <c r="Z24" s="234" t="e">
        <f t="shared" si="59"/>
        <v>#NAME?</v>
      </c>
      <c r="AA24" s="232" t="e">
        <f t="shared" si="13"/>
        <v>#NAME?</v>
      </c>
      <c r="AB24" s="232" t="e">
        <f t="shared" si="14"/>
        <v>#NAME?</v>
      </c>
      <c r="AC24" s="232" t="e">
        <f t="shared" si="15"/>
        <v>#NAME?</v>
      </c>
      <c r="AD24">
        <v>20</v>
      </c>
      <c r="AE24" s="208">
        <v>10</v>
      </c>
      <c r="AF24" s="232" t="e">
        <f t="shared" si="16"/>
        <v>#NAME?</v>
      </c>
      <c r="AG24" s="232" t="e">
        <f t="shared" si="17"/>
        <v>#NAME?</v>
      </c>
      <c r="AH24" s="232" t="e">
        <f t="shared" si="60"/>
        <v>#NAME?</v>
      </c>
      <c r="AI24" s="232" t="e">
        <f t="shared" si="18"/>
        <v>#NAME?</v>
      </c>
      <c r="AJ24" s="232" t="e">
        <f t="shared" si="19"/>
        <v>#NAME?</v>
      </c>
      <c r="AK24" s="232" t="e">
        <f t="shared" si="20"/>
        <v>#NAME?</v>
      </c>
      <c r="AL24" s="232">
        <f t="shared" si="21"/>
        <v>0</v>
      </c>
      <c r="AM24" s="232" t="e">
        <f t="shared" si="22"/>
        <v>#NAME?</v>
      </c>
      <c r="AN24" s="232" t="e">
        <f t="shared" si="61"/>
        <v>#NAME?</v>
      </c>
      <c r="AO24" s="232" t="e">
        <f t="shared" si="23"/>
        <v>#NAME?</v>
      </c>
      <c r="AP24" s="232" t="e">
        <f t="shared" si="24"/>
        <v>#NAME?</v>
      </c>
      <c r="AQ24" s="232" t="e">
        <f t="shared" si="62"/>
        <v>#NAME?</v>
      </c>
      <c r="AR24" s="232" t="e">
        <f t="shared" si="63"/>
        <v>#NAME?</v>
      </c>
      <c r="AS24" s="232" t="e">
        <f t="shared" si="25"/>
        <v>#NAME?</v>
      </c>
      <c r="AT24" s="232">
        <f t="shared" si="26"/>
        <v>0.10799999999999998</v>
      </c>
      <c r="AU24" s="292" t="e">
        <f t="shared" si="64"/>
        <v>#NAME?</v>
      </c>
      <c r="AV24" s="235" t="e">
        <f t="shared" si="65"/>
        <v>#NAME?</v>
      </c>
      <c r="AW24" s="235" t="e">
        <f t="shared" si="66"/>
        <v>#NAME?</v>
      </c>
      <c r="AX24" s="235" t="e">
        <f t="shared" si="27"/>
        <v>#NAME?</v>
      </c>
      <c r="AY24" s="235" t="e">
        <f t="shared" si="67"/>
        <v>#NAME?</v>
      </c>
      <c r="AZ24" s="235" t="e">
        <f t="shared" si="28"/>
        <v>#NAME?</v>
      </c>
      <c r="BA24" s="235" t="e">
        <f t="shared" si="29"/>
        <v>#NAME?</v>
      </c>
      <c r="BB24" s="235" t="e">
        <f t="shared" si="30"/>
        <v>#NAME?</v>
      </c>
      <c r="BC24" s="235" t="e">
        <f t="shared" si="31"/>
        <v>#NAME?</v>
      </c>
      <c r="BD24" s="235" t="e">
        <f t="shared" si="32"/>
        <v>#NAME?</v>
      </c>
      <c r="BE24" s="235" t="e">
        <f t="shared" si="68"/>
        <v>#NAME?</v>
      </c>
      <c r="BF24" s="235" t="e">
        <f t="shared" si="69"/>
        <v>#NAME?</v>
      </c>
      <c r="BG24" s="235" t="e">
        <f t="shared" si="33"/>
        <v>#NAME?</v>
      </c>
      <c r="BH24" s="233" t="e">
        <f t="shared" si="70"/>
        <v>#NAME?</v>
      </c>
      <c r="BI24" s="175">
        <f t="shared" si="34"/>
        <v>21.599999999999998</v>
      </c>
      <c r="BJ24" s="292">
        <v>92.118863379516469</v>
      </c>
      <c r="BK24" s="235">
        <f t="shared" si="71"/>
        <v>0.92118863379516469</v>
      </c>
      <c r="BL24" s="376">
        <v>49.782876963860851</v>
      </c>
      <c r="BM24" s="294"/>
      <c r="BN24" s="387" t="e">
        <f t="shared" si="72"/>
        <v>#NAME?</v>
      </c>
      <c r="BO24" s="387" t="e">
        <f t="shared" si="73"/>
        <v>#NAME?</v>
      </c>
      <c r="BP24" s="175" t="e">
        <f t="shared" si="74"/>
        <v>#NAME?</v>
      </c>
      <c r="BQ24" s="235"/>
      <c r="BR24" s="235"/>
      <c r="BS24" s="235"/>
      <c r="BT24" s="235"/>
    </row>
    <row r="25" spans="1:72" x14ac:dyDescent="0.2">
      <c r="A25" s="312" t="s">
        <v>430</v>
      </c>
      <c r="B25" s="307">
        <f>Vout/1.223*FB_hys*1000</f>
        <v>40.883074407195423</v>
      </c>
      <c r="C25" s="174" t="s">
        <v>195</v>
      </c>
      <c r="D25" s="196">
        <f>B25/1000</f>
        <v>4.0883074407195422E-2</v>
      </c>
      <c r="E25" s="174" t="s">
        <v>431</v>
      </c>
      <c r="F25" s="289"/>
      <c r="G25" s="289"/>
      <c r="H25" s="173">
        <v>19</v>
      </c>
      <c r="I25" s="513">
        <f t="shared" si="0"/>
        <v>2.2800000000000001E-2</v>
      </c>
      <c r="J25" s="175" t="e">
        <f t="shared" si="1"/>
        <v>#NAME?</v>
      </c>
      <c r="K25" s="232" t="e">
        <f t="shared" si="2"/>
        <v>#NAME?</v>
      </c>
      <c r="L25" s="290" t="e">
        <f t="shared" si="3"/>
        <v>#NAME?</v>
      </c>
      <c r="M25" s="208" t="e">
        <f t="shared" si="55"/>
        <v>#NAME?</v>
      </c>
      <c r="N25" s="291" t="e">
        <f t="shared" si="4"/>
        <v>#NAME?</v>
      </c>
      <c r="O25" s="291">
        <f t="shared" si="5"/>
        <v>1.7931172985612026E-4</v>
      </c>
      <c r="P25" s="233" t="e">
        <f t="shared" si="56"/>
        <v>#NAME?</v>
      </c>
      <c r="Q25" s="232" t="e">
        <f t="shared" si="6"/>
        <v>#NAME?</v>
      </c>
      <c r="R25" s="232" t="e">
        <f t="shared" si="7"/>
        <v>#NAME?</v>
      </c>
      <c r="S25" s="517" t="e">
        <f t="shared" si="8"/>
        <v>#NAME?</v>
      </c>
      <c r="T25" s="232" t="e">
        <f t="shared" si="57"/>
        <v>#NAME?</v>
      </c>
      <c r="U25" s="233" t="e">
        <f t="shared" si="9"/>
        <v>#NAME?</v>
      </c>
      <c r="V25" s="232" t="e">
        <f t="shared" si="10"/>
        <v>#NAME?</v>
      </c>
      <c r="W25" s="232" t="e">
        <f t="shared" si="58"/>
        <v>#NAME?</v>
      </c>
      <c r="X25" s="232" t="e">
        <f t="shared" si="11"/>
        <v>#NAME?</v>
      </c>
      <c r="Y25" s="234" t="e">
        <f t="shared" si="12"/>
        <v>#NAME?</v>
      </c>
      <c r="Z25" s="234" t="e">
        <f t="shared" si="59"/>
        <v>#NAME?</v>
      </c>
      <c r="AA25" s="232" t="e">
        <f t="shared" si="13"/>
        <v>#NAME?</v>
      </c>
      <c r="AB25" s="232" t="e">
        <f t="shared" si="14"/>
        <v>#NAME?</v>
      </c>
      <c r="AC25" s="232" t="e">
        <f t="shared" si="15"/>
        <v>#NAME?</v>
      </c>
      <c r="AD25">
        <v>20</v>
      </c>
      <c r="AE25" s="208">
        <v>10</v>
      </c>
      <c r="AF25" s="232" t="e">
        <f t="shared" si="16"/>
        <v>#NAME?</v>
      </c>
      <c r="AG25" s="232" t="e">
        <f t="shared" si="17"/>
        <v>#NAME?</v>
      </c>
      <c r="AH25" s="232" t="e">
        <f t="shared" si="60"/>
        <v>#NAME?</v>
      </c>
      <c r="AI25" s="232" t="e">
        <f t="shared" si="18"/>
        <v>#NAME?</v>
      </c>
      <c r="AJ25" s="232" t="e">
        <f t="shared" si="19"/>
        <v>#NAME?</v>
      </c>
      <c r="AK25" s="232" t="e">
        <f t="shared" si="20"/>
        <v>#NAME?</v>
      </c>
      <c r="AL25" s="232">
        <f t="shared" si="21"/>
        <v>0</v>
      </c>
      <c r="AM25" s="232" t="e">
        <f t="shared" si="22"/>
        <v>#NAME?</v>
      </c>
      <c r="AN25" s="232" t="e">
        <f t="shared" si="61"/>
        <v>#NAME?</v>
      </c>
      <c r="AO25" s="232" t="e">
        <f t="shared" si="23"/>
        <v>#NAME?</v>
      </c>
      <c r="AP25" s="232" t="e">
        <f t="shared" si="24"/>
        <v>#NAME?</v>
      </c>
      <c r="AQ25" s="232" t="e">
        <f t="shared" si="62"/>
        <v>#NAME?</v>
      </c>
      <c r="AR25" s="232" t="e">
        <f t="shared" si="63"/>
        <v>#NAME?</v>
      </c>
      <c r="AS25" s="232" t="e">
        <f t="shared" si="25"/>
        <v>#NAME?</v>
      </c>
      <c r="AT25" s="232">
        <f t="shared" si="26"/>
        <v>0.114</v>
      </c>
      <c r="AU25" s="292" t="e">
        <f t="shared" si="64"/>
        <v>#NAME?</v>
      </c>
      <c r="AV25" s="235" t="e">
        <f t="shared" si="65"/>
        <v>#NAME?</v>
      </c>
      <c r="AW25" s="235" t="e">
        <f t="shared" si="66"/>
        <v>#NAME?</v>
      </c>
      <c r="AX25" s="235" t="e">
        <f t="shared" si="27"/>
        <v>#NAME?</v>
      </c>
      <c r="AY25" s="235" t="e">
        <f t="shared" si="67"/>
        <v>#NAME?</v>
      </c>
      <c r="AZ25" s="235" t="e">
        <f t="shared" si="28"/>
        <v>#NAME?</v>
      </c>
      <c r="BA25" s="235" t="e">
        <f t="shared" si="29"/>
        <v>#NAME?</v>
      </c>
      <c r="BB25" s="235" t="e">
        <f t="shared" si="30"/>
        <v>#NAME?</v>
      </c>
      <c r="BC25" s="235" t="e">
        <f t="shared" si="31"/>
        <v>#NAME?</v>
      </c>
      <c r="BD25" s="235" t="e">
        <f t="shared" si="32"/>
        <v>#NAME?</v>
      </c>
      <c r="BE25" s="235" t="e">
        <f t="shared" si="68"/>
        <v>#NAME?</v>
      </c>
      <c r="BF25" s="235" t="e">
        <f t="shared" si="69"/>
        <v>#NAME?</v>
      </c>
      <c r="BG25" s="235" t="e">
        <f t="shared" si="33"/>
        <v>#NAME?</v>
      </c>
      <c r="BH25" s="233" t="e">
        <f t="shared" si="70"/>
        <v>#NAME?</v>
      </c>
      <c r="BI25" s="175">
        <f t="shared" si="34"/>
        <v>22.8</v>
      </c>
      <c r="BJ25" s="292">
        <v>92.145017611092783</v>
      </c>
      <c r="BK25" s="235">
        <f t="shared" si="71"/>
        <v>0.92145017611092783</v>
      </c>
      <c r="BL25" s="376">
        <v>51.8278288042996</v>
      </c>
      <c r="BM25" s="294"/>
      <c r="BN25" s="387" t="e">
        <f t="shared" si="72"/>
        <v>#NAME?</v>
      </c>
      <c r="BO25" s="387" t="e">
        <f t="shared" si="73"/>
        <v>#NAME?</v>
      </c>
      <c r="BP25" s="175" t="e">
        <f t="shared" si="74"/>
        <v>#NAME?</v>
      </c>
      <c r="BQ25" s="235"/>
      <c r="BR25" s="235"/>
      <c r="BS25" s="235"/>
      <c r="BT25" s="235"/>
    </row>
    <row r="26" spans="1:72" x14ac:dyDescent="0.2">
      <c r="A26" s="312" t="s">
        <v>57</v>
      </c>
      <c r="B26" s="313">
        <v>20</v>
      </c>
      <c r="C26" s="174" t="s">
        <v>50</v>
      </c>
      <c r="D26" s="314">
        <f>B26/1000000000</f>
        <v>2E-8</v>
      </c>
      <c r="E26" s="174" t="s">
        <v>432</v>
      </c>
      <c r="F26" s="289"/>
      <c r="G26" s="289"/>
      <c r="H26" s="173">
        <v>20</v>
      </c>
      <c r="I26" s="513">
        <f t="shared" si="0"/>
        <v>2.4E-2</v>
      </c>
      <c r="J26" s="175" t="e">
        <f t="shared" si="1"/>
        <v>#NAME?</v>
      </c>
      <c r="K26" s="232" t="e">
        <f t="shared" si="2"/>
        <v>#NAME?</v>
      </c>
      <c r="L26" s="290" t="e">
        <f t="shared" si="3"/>
        <v>#NAME?</v>
      </c>
      <c r="M26" s="208" t="e">
        <f t="shared" si="55"/>
        <v>#NAME?</v>
      </c>
      <c r="N26" s="291" t="e">
        <f t="shared" si="4"/>
        <v>#NAME?</v>
      </c>
      <c r="O26" s="291">
        <f t="shared" si="5"/>
        <v>1.7034614336331423E-4</v>
      </c>
      <c r="P26" s="233" t="e">
        <f t="shared" si="56"/>
        <v>#NAME?</v>
      </c>
      <c r="Q26" s="232" t="e">
        <f t="shared" si="6"/>
        <v>#NAME?</v>
      </c>
      <c r="R26" s="232" t="e">
        <f t="shared" si="7"/>
        <v>#NAME?</v>
      </c>
      <c r="S26" s="517" t="e">
        <f t="shared" si="8"/>
        <v>#NAME?</v>
      </c>
      <c r="T26" s="232" t="e">
        <f t="shared" si="57"/>
        <v>#NAME?</v>
      </c>
      <c r="U26" s="233" t="e">
        <f t="shared" si="9"/>
        <v>#NAME?</v>
      </c>
      <c r="V26" s="232" t="e">
        <f t="shared" si="10"/>
        <v>#NAME?</v>
      </c>
      <c r="W26" s="232" t="e">
        <f t="shared" si="58"/>
        <v>#NAME?</v>
      </c>
      <c r="X26" s="232" t="e">
        <f t="shared" si="11"/>
        <v>#NAME?</v>
      </c>
      <c r="Y26" s="234" t="e">
        <f t="shared" si="12"/>
        <v>#NAME?</v>
      </c>
      <c r="Z26" s="234" t="e">
        <f t="shared" si="59"/>
        <v>#NAME?</v>
      </c>
      <c r="AA26" s="232" t="e">
        <f t="shared" si="13"/>
        <v>#NAME?</v>
      </c>
      <c r="AB26" s="232" t="e">
        <f t="shared" si="14"/>
        <v>#NAME?</v>
      </c>
      <c r="AC26" s="232" t="e">
        <f t="shared" si="15"/>
        <v>#NAME?</v>
      </c>
      <c r="AD26">
        <v>20</v>
      </c>
      <c r="AE26" s="208">
        <v>10</v>
      </c>
      <c r="AF26" s="232" t="e">
        <f t="shared" si="16"/>
        <v>#NAME?</v>
      </c>
      <c r="AG26" s="232" t="e">
        <f t="shared" si="17"/>
        <v>#NAME?</v>
      </c>
      <c r="AH26" s="232" t="e">
        <f t="shared" si="60"/>
        <v>#NAME?</v>
      </c>
      <c r="AI26" s="232" t="e">
        <f t="shared" si="18"/>
        <v>#NAME?</v>
      </c>
      <c r="AJ26" s="232" t="e">
        <f t="shared" si="19"/>
        <v>#NAME?</v>
      </c>
      <c r="AK26" s="232" t="e">
        <f t="shared" si="20"/>
        <v>#NAME?</v>
      </c>
      <c r="AL26" s="232">
        <f t="shared" si="21"/>
        <v>0</v>
      </c>
      <c r="AM26" s="232" t="e">
        <f t="shared" si="22"/>
        <v>#NAME?</v>
      </c>
      <c r="AN26" s="232" t="e">
        <f t="shared" si="61"/>
        <v>#NAME?</v>
      </c>
      <c r="AO26" s="232" t="e">
        <f t="shared" si="23"/>
        <v>#NAME?</v>
      </c>
      <c r="AP26" s="232" t="e">
        <f t="shared" si="24"/>
        <v>#NAME?</v>
      </c>
      <c r="AQ26" s="232" t="e">
        <f t="shared" si="62"/>
        <v>#NAME?</v>
      </c>
      <c r="AR26" s="232" t="e">
        <f t="shared" si="63"/>
        <v>#NAME?</v>
      </c>
      <c r="AS26" s="232" t="e">
        <f t="shared" si="25"/>
        <v>#NAME?</v>
      </c>
      <c r="AT26" s="232">
        <f t="shared" si="26"/>
        <v>0.12</v>
      </c>
      <c r="AU26" s="292" t="e">
        <f t="shared" si="64"/>
        <v>#NAME?</v>
      </c>
      <c r="AV26" s="235" t="e">
        <f t="shared" si="65"/>
        <v>#NAME?</v>
      </c>
      <c r="AW26" s="235" t="e">
        <f t="shared" si="66"/>
        <v>#NAME?</v>
      </c>
      <c r="AX26" s="235" t="e">
        <f t="shared" si="27"/>
        <v>#NAME?</v>
      </c>
      <c r="AY26" s="235" t="e">
        <f t="shared" si="67"/>
        <v>#NAME?</v>
      </c>
      <c r="AZ26" s="235" t="e">
        <f t="shared" si="28"/>
        <v>#NAME?</v>
      </c>
      <c r="BA26" s="235" t="e">
        <f t="shared" si="29"/>
        <v>#NAME?</v>
      </c>
      <c r="BB26" s="235" t="e">
        <f t="shared" si="30"/>
        <v>#NAME?</v>
      </c>
      <c r="BC26" s="235" t="e">
        <f t="shared" si="31"/>
        <v>#NAME?</v>
      </c>
      <c r="BD26" s="235" t="e">
        <f t="shared" si="32"/>
        <v>#NAME?</v>
      </c>
      <c r="BE26" s="235" t="e">
        <f t="shared" si="68"/>
        <v>#NAME?</v>
      </c>
      <c r="BF26" s="235" t="e">
        <f t="shared" si="69"/>
        <v>#NAME?</v>
      </c>
      <c r="BG26" s="235" t="e">
        <f t="shared" si="33"/>
        <v>#NAME?</v>
      </c>
      <c r="BH26" s="233" t="e">
        <f t="shared" si="70"/>
        <v>#NAME?</v>
      </c>
      <c r="BI26" s="175">
        <f t="shared" si="34"/>
        <v>24</v>
      </c>
      <c r="BJ26" s="292">
        <v>92.168600048761547</v>
      </c>
      <c r="BK26" s="235">
        <f t="shared" si="71"/>
        <v>0.92168600048761551</v>
      </c>
      <c r="BL26" s="376">
        <v>53.845027826144907</v>
      </c>
      <c r="BM26" s="294"/>
      <c r="BN26" s="387" t="e">
        <f t="shared" si="72"/>
        <v>#NAME?</v>
      </c>
      <c r="BO26" s="387" t="e">
        <f t="shared" si="73"/>
        <v>#NAME?</v>
      </c>
      <c r="BP26" s="175" t="e">
        <f t="shared" si="74"/>
        <v>#NAME?</v>
      </c>
      <c r="BQ26" s="235"/>
      <c r="BR26" s="235"/>
      <c r="BS26" s="235"/>
      <c r="BT26" s="235"/>
    </row>
    <row r="27" spans="1:72" x14ac:dyDescent="0.2">
      <c r="A27" s="262"/>
      <c r="B27" s="262"/>
      <c r="C27" s="262"/>
      <c r="D27" s="262"/>
      <c r="E27" s="262"/>
      <c r="F27" s="289"/>
      <c r="G27" s="289"/>
      <c r="H27" s="173">
        <v>21</v>
      </c>
      <c r="I27" s="513">
        <f t="shared" si="0"/>
        <v>2.5199999999999997E-2</v>
      </c>
      <c r="J27" s="175" t="e">
        <f t="shared" si="1"/>
        <v>#NAME?</v>
      </c>
      <c r="K27" s="232" t="e">
        <f t="shared" si="2"/>
        <v>#NAME?</v>
      </c>
      <c r="L27" s="290" t="e">
        <f t="shared" si="3"/>
        <v>#NAME?</v>
      </c>
      <c r="M27" s="208" t="e">
        <f t="shared" si="55"/>
        <v>#NAME?</v>
      </c>
      <c r="N27" s="291" t="e">
        <f t="shared" si="4"/>
        <v>#NAME?</v>
      </c>
      <c r="O27" s="291">
        <f t="shared" si="5"/>
        <v>1.622344222507755E-4</v>
      </c>
      <c r="P27" s="233" t="e">
        <f t="shared" si="56"/>
        <v>#NAME?</v>
      </c>
      <c r="Q27" s="232" t="e">
        <f t="shared" si="6"/>
        <v>#NAME?</v>
      </c>
      <c r="R27" s="232" t="e">
        <f t="shared" si="7"/>
        <v>#NAME?</v>
      </c>
      <c r="S27" s="517" t="e">
        <f t="shared" si="8"/>
        <v>#NAME?</v>
      </c>
      <c r="T27" s="232" t="e">
        <f t="shared" si="57"/>
        <v>#NAME?</v>
      </c>
      <c r="U27" s="233" t="e">
        <f t="shared" si="9"/>
        <v>#NAME?</v>
      </c>
      <c r="V27" s="232" t="e">
        <f t="shared" si="10"/>
        <v>#NAME?</v>
      </c>
      <c r="W27" s="232" t="e">
        <f t="shared" si="58"/>
        <v>#NAME?</v>
      </c>
      <c r="X27" s="232" t="e">
        <f t="shared" si="11"/>
        <v>#NAME?</v>
      </c>
      <c r="Y27" s="234" t="e">
        <f t="shared" si="12"/>
        <v>#NAME?</v>
      </c>
      <c r="Z27" s="234" t="e">
        <f t="shared" si="59"/>
        <v>#NAME?</v>
      </c>
      <c r="AA27" s="232" t="e">
        <f t="shared" si="13"/>
        <v>#NAME?</v>
      </c>
      <c r="AB27" s="232" t="e">
        <f t="shared" si="14"/>
        <v>#NAME?</v>
      </c>
      <c r="AC27" s="232" t="e">
        <f t="shared" si="15"/>
        <v>#NAME?</v>
      </c>
      <c r="AD27">
        <v>20</v>
      </c>
      <c r="AE27" s="208">
        <v>10</v>
      </c>
      <c r="AF27" s="232" t="e">
        <f t="shared" si="16"/>
        <v>#NAME?</v>
      </c>
      <c r="AG27" s="232" t="e">
        <f t="shared" si="17"/>
        <v>#NAME?</v>
      </c>
      <c r="AH27" s="232" t="e">
        <f t="shared" si="60"/>
        <v>#NAME?</v>
      </c>
      <c r="AI27" s="232" t="e">
        <f t="shared" si="18"/>
        <v>#NAME?</v>
      </c>
      <c r="AJ27" s="232" t="e">
        <f t="shared" si="19"/>
        <v>#NAME?</v>
      </c>
      <c r="AK27" s="232" t="e">
        <f t="shared" si="20"/>
        <v>#NAME?</v>
      </c>
      <c r="AL27" s="232">
        <f t="shared" si="21"/>
        <v>0</v>
      </c>
      <c r="AM27" s="232" t="e">
        <f t="shared" si="22"/>
        <v>#NAME?</v>
      </c>
      <c r="AN27" s="232" t="e">
        <f t="shared" si="61"/>
        <v>#NAME?</v>
      </c>
      <c r="AO27" s="232" t="e">
        <f t="shared" si="23"/>
        <v>#NAME?</v>
      </c>
      <c r="AP27" s="232" t="e">
        <f t="shared" si="24"/>
        <v>#NAME?</v>
      </c>
      <c r="AQ27" s="232" t="e">
        <f t="shared" si="62"/>
        <v>#NAME?</v>
      </c>
      <c r="AR27" s="232" t="e">
        <f t="shared" si="63"/>
        <v>#NAME?</v>
      </c>
      <c r="AS27" s="232" t="e">
        <f t="shared" si="25"/>
        <v>#NAME?</v>
      </c>
      <c r="AT27" s="232">
        <f t="shared" si="26"/>
        <v>0.12599999999999997</v>
      </c>
      <c r="AU27" s="292" t="e">
        <f t="shared" si="64"/>
        <v>#NAME?</v>
      </c>
      <c r="AV27" s="235" t="e">
        <f t="shared" si="65"/>
        <v>#NAME?</v>
      </c>
      <c r="AW27" s="235" t="e">
        <f t="shared" si="66"/>
        <v>#NAME?</v>
      </c>
      <c r="AX27" s="235" t="e">
        <f t="shared" si="27"/>
        <v>#NAME?</v>
      </c>
      <c r="AY27" s="235" t="e">
        <f t="shared" si="67"/>
        <v>#NAME?</v>
      </c>
      <c r="AZ27" s="235" t="e">
        <f t="shared" si="28"/>
        <v>#NAME?</v>
      </c>
      <c r="BA27" s="235" t="e">
        <f t="shared" si="29"/>
        <v>#NAME?</v>
      </c>
      <c r="BB27" s="235" t="e">
        <f t="shared" si="30"/>
        <v>#NAME?</v>
      </c>
      <c r="BC27" s="235" t="e">
        <f t="shared" si="31"/>
        <v>#NAME?</v>
      </c>
      <c r="BD27" s="235" t="e">
        <f t="shared" si="32"/>
        <v>#NAME?</v>
      </c>
      <c r="BE27" s="235" t="e">
        <f t="shared" si="68"/>
        <v>#NAME?</v>
      </c>
      <c r="BF27" s="235" t="e">
        <f t="shared" si="69"/>
        <v>#NAME?</v>
      </c>
      <c r="BG27" s="235" t="e">
        <f t="shared" si="33"/>
        <v>#NAME?</v>
      </c>
      <c r="BH27" s="233" t="e">
        <f t="shared" si="70"/>
        <v>#NAME?</v>
      </c>
      <c r="BI27" s="175">
        <f t="shared" si="34"/>
        <v>25.199999999999996</v>
      </c>
      <c r="BJ27" s="292">
        <v>92.189976417374325</v>
      </c>
      <c r="BK27" s="235">
        <f t="shared" si="71"/>
        <v>0.9218997641737432</v>
      </c>
      <c r="BL27" s="376">
        <v>55.826680785579171</v>
      </c>
      <c r="BM27" s="294"/>
      <c r="BN27" s="387" t="e">
        <f t="shared" si="72"/>
        <v>#NAME?</v>
      </c>
      <c r="BO27" s="387" t="e">
        <f t="shared" si="73"/>
        <v>#NAME?</v>
      </c>
      <c r="BP27" s="175" t="e">
        <f t="shared" si="74"/>
        <v>#NAME?</v>
      </c>
      <c r="BQ27" s="235"/>
      <c r="BR27" s="235"/>
      <c r="BS27" s="235"/>
      <c r="BT27" s="235"/>
    </row>
    <row r="28" spans="1:72" ht="13.5" thickBot="1" x14ac:dyDescent="0.25">
      <c r="A28" s="285" t="s">
        <v>40</v>
      </c>
      <c r="B28" s="287" t="s">
        <v>62</v>
      </c>
      <c r="C28" s="286" t="s">
        <v>51</v>
      </c>
      <c r="D28" s="302" t="s">
        <v>118</v>
      </c>
      <c r="E28" s="288" t="s">
        <v>60</v>
      </c>
      <c r="F28" s="289"/>
      <c r="G28" s="289"/>
      <c r="H28" s="173">
        <v>22</v>
      </c>
      <c r="I28" s="513">
        <f t="shared" si="0"/>
        <v>2.64E-2</v>
      </c>
      <c r="J28" s="175" t="e">
        <f t="shared" si="1"/>
        <v>#NAME?</v>
      </c>
      <c r="K28" s="232" t="e">
        <f t="shared" si="2"/>
        <v>#NAME?</v>
      </c>
      <c r="L28" s="290" t="e">
        <f t="shared" si="3"/>
        <v>#NAME?</v>
      </c>
      <c r="M28" s="208" t="e">
        <f t="shared" si="55"/>
        <v>#NAME?</v>
      </c>
      <c r="N28" s="291" t="e">
        <f t="shared" si="4"/>
        <v>#NAME?</v>
      </c>
      <c r="O28" s="291">
        <f t="shared" si="5"/>
        <v>1.5486013033028567E-4</v>
      </c>
      <c r="P28" s="233" t="e">
        <f t="shared" si="56"/>
        <v>#NAME?</v>
      </c>
      <c r="Q28" s="232" t="e">
        <f t="shared" si="6"/>
        <v>#NAME?</v>
      </c>
      <c r="R28" s="232" t="e">
        <f t="shared" si="7"/>
        <v>#NAME?</v>
      </c>
      <c r="S28" s="517" t="e">
        <f t="shared" si="8"/>
        <v>#NAME?</v>
      </c>
      <c r="T28" s="232" t="e">
        <f t="shared" si="57"/>
        <v>#NAME?</v>
      </c>
      <c r="U28" s="233" t="e">
        <f t="shared" si="9"/>
        <v>#NAME?</v>
      </c>
      <c r="V28" s="232" t="e">
        <f t="shared" si="10"/>
        <v>#NAME?</v>
      </c>
      <c r="W28" s="232" t="e">
        <f t="shared" si="58"/>
        <v>#NAME?</v>
      </c>
      <c r="X28" s="232" t="e">
        <f t="shared" si="11"/>
        <v>#NAME?</v>
      </c>
      <c r="Y28" s="234" t="e">
        <f t="shared" si="12"/>
        <v>#NAME?</v>
      </c>
      <c r="Z28" s="234" t="e">
        <f t="shared" si="59"/>
        <v>#NAME?</v>
      </c>
      <c r="AA28" s="232" t="e">
        <f t="shared" si="13"/>
        <v>#NAME?</v>
      </c>
      <c r="AB28" s="232" t="e">
        <f t="shared" si="14"/>
        <v>#NAME?</v>
      </c>
      <c r="AC28" s="232" t="e">
        <f t="shared" si="15"/>
        <v>#NAME?</v>
      </c>
      <c r="AD28">
        <v>20</v>
      </c>
      <c r="AE28" s="208">
        <v>10</v>
      </c>
      <c r="AF28" s="232" t="e">
        <f t="shared" si="16"/>
        <v>#NAME?</v>
      </c>
      <c r="AG28" s="232" t="e">
        <f t="shared" si="17"/>
        <v>#NAME?</v>
      </c>
      <c r="AH28" s="232" t="e">
        <f t="shared" si="60"/>
        <v>#NAME?</v>
      </c>
      <c r="AI28" s="232" t="e">
        <f t="shared" si="18"/>
        <v>#NAME?</v>
      </c>
      <c r="AJ28" s="232" t="e">
        <f t="shared" si="19"/>
        <v>#NAME?</v>
      </c>
      <c r="AK28" s="232" t="e">
        <f t="shared" si="20"/>
        <v>#NAME?</v>
      </c>
      <c r="AL28" s="232">
        <f t="shared" si="21"/>
        <v>0</v>
      </c>
      <c r="AM28" s="232" t="e">
        <f t="shared" si="22"/>
        <v>#NAME?</v>
      </c>
      <c r="AN28" s="232" t="e">
        <f t="shared" si="61"/>
        <v>#NAME?</v>
      </c>
      <c r="AO28" s="232" t="e">
        <f t="shared" si="23"/>
        <v>#NAME?</v>
      </c>
      <c r="AP28" s="232" t="e">
        <f t="shared" si="24"/>
        <v>#NAME?</v>
      </c>
      <c r="AQ28" s="232" t="e">
        <f t="shared" si="62"/>
        <v>#NAME?</v>
      </c>
      <c r="AR28" s="232" t="e">
        <f t="shared" si="63"/>
        <v>#NAME?</v>
      </c>
      <c r="AS28" s="232" t="e">
        <f t="shared" si="25"/>
        <v>#NAME?</v>
      </c>
      <c r="AT28" s="232">
        <f t="shared" si="26"/>
        <v>0.13200000000000001</v>
      </c>
      <c r="AU28" s="292" t="e">
        <f t="shared" si="64"/>
        <v>#NAME?</v>
      </c>
      <c r="AV28" s="235" t="e">
        <f t="shared" si="65"/>
        <v>#NAME?</v>
      </c>
      <c r="AW28" s="235" t="e">
        <f t="shared" si="66"/>
        <v>#NAME?</v>
      </c>
      <c r="AX28" s="235" t="e">
        <f t="shared" si="27"/>
        <v>#NAME?</v>
      </c>
      <c r="AY28" s="235" t="e">
        <f t="shared" si="67"/>
        <v>#NAME?</v>
      </c>
      <c r="AZ28" s="235" t="e">
        <f t="shared" si="28"/>
        <v>#NAME?</v>
      </c>
      <c r="BA28" s="235" t="e">
        <f t="shared" si="29"/>
        <v>#NAME?</v>
      </c>
      <c r="BB28" s="235" t="e">
        <f t="shared" si="30"/>
        <v>#NAME?</v>
      </c>
      <c r="BC28" s="235" t="e">
        <f t="shared" si="31"/>
        <v>#NAME?</v>
      </c>
      <c r="BD28" s="235" t="e">
        <f t="shared" si="32"/>
        <v>#NAME?</v>
      </c>
      <c r="BE28" s="235" t="e">
        <f t="shared" si="68"/>
        <v>#NAME?</v>
      </c>
      <c r="BF28" s="235" t="e">
        <f t="shared" si="69"/>
        <v>#NAME?</v>
      </c>
      <c r="BG28" s="235" t="e">
        <f t="shared" si="33"/>
        <v>#NAME?</v>
      </c>
      <c r="BH28" s="233" t="e">
        <f t="shared" si="70"/>
        <v>#NAME?</v>
      </c>
      <c r="BI28" s="175">
        <f t="shared" si="34"/>
        <v>26.4</v>
      </c>
      <c r="BJ28" s="292">
        <v>92.20944623676111</v>
      </c>
      <c r="BK28" s="235">
        <f t="shared" si="71"/>
        <v>0.92209446236761106</v>
      </c>
      <c r="BL28" s="376">
        <v>57.7655613816029</v>
      </c>
      <c r="BM28" s="294"/>
      <c r="BN28" s="387" t="e">
        <f t="shared" si="72"/>
        <v>#NAME?</v>
      </c>
      <c r="BO28" s="387" t="e">
        <f t="shared" si="73"/>
        <v>#NAME?</v>
      </c>
      <c r="BP28" s="175" t="e">
        <f t="shared" si="74"/>
        <v>#NAME?</v>
      </c>
      <c r="BQ28" s="235"/>
      <c r="BR28" s="235"/>
      <c r="BS28" s="235"/>
      <c r="BT28" s="235"/>
    </row>
    <row r="29" spans="1:72" ht="13.5" thickBot="1" x14ac:dyDescent="0.25">
      <c r="A29" s="315" t="s">
        <v>38</v>
      </c>
      <c r="B29" s="335">
        <f>'Design Regulator'!E18</f>
        <v>220</v>
      </c>
      <c r="C29" s="304" t="s">
        <v>129</v>
      </c>
      <c r="D29" s="202">
        <f>B29/1000000</f>
        <v>2.2000000000000001E-4</v>
      </c>
      <c r="E29" s="174" t="s">
        <v>355</v>
      </c>
      <c r="F29" s="316"/>
      <c r="G29" s="289"/>
      <c r="H29" s="173">
        <v>23</v>
      </c>
      <c r="I29" s="513">
        <f t="shared" si="0"/>
        <v>2.76E-2</v>
      </c>
      <c r="J29" s="175" t="e">
        <f t="shared" si="1"/>
        <v>#NAME?</v>
      </c>
      <c r="K29" s="232" t="e">
        <f t="shared" si="2"/>
        <v>#NAME?</v>
      </c>
      <c r="L29" s="290" t="e">
        <f t="shared" si="3"/>
        <v>#NAME?</v>
      </c>
      <c r="M29" s="208" t="e">
        <f t="shared" si="55"/>
        <v>#NAME?</v>
      </c>
      <c r="N29" s="291" t="e">
        <f t="shared" si="4"/>
        <v>#NAME?</v>
      </c>
      <c r="O29" s="291">
        <f t="shared" si="5"/>
        <v>1.4812708118549066E-4</v>
      </c>
      <c r="P29" s="233" t="e">
        <f t="shared" si="56"/>
        <v>#NAME?</v>
      </c>
      <c r="Q29" s="232" t="e">
        <f t="shared" si="6"/>
        <v>#NAME?</v>
      </c>
      <c r="R29" s="232" t="e">
        <f t="shared" si="7"/>
        <v>#NAME?</v>
      </c>
      <c r="S29" s="517" t="e">
        <f t="shared" si="8"/>
        <v>#NAME?</v>
      </c>
      <c r="T29" s="232" t="e">
        <f t="shared" si="57"/>
        <v>#NAME?</v>
      </c>
      <c r="U29" s="233" t="e">
        <f t="shared" si="9"/>
        <v>#NAME?</v>
      </c>
      <c r="V29" s="232" t="e">
        <f t="shared" si="10"/>
        <v>#NAME?</v>
      </c>
      <c r="W29" s="232" t="e">
        <f t="shared" si="58"/>
        <v>#NAME?</v>
      </c>
      <c r="X29" s="232" t="e">
        <f t="shared" si="11"/>
        <v>#NAME?</v>
      </c>
      <c r="Y29" s="234" t="e">
        <f t="shared" si="12"/>
        <v>#NAME?</v>
      </c>
      <c r="Z29" s="234" t="e">
        <f t="shared" si="59"/>
        <v>#NAME?</v>
      </c>
      <c r="AA29" s="232" t="e">
        <f t="shared" si="13"/>
        <v>#NAME?</v>
      </c>
      <c r="AB29" s="232" t="e">
        <f t="shared" si="14"/>
        <v>#NAME?</v>
      </c>
      <c r="AC29" s="232" t="e">
        <f t="shared" si="15"/>
        <v>#NAME?</v>
      </c>
      <c r="AD29">
        <v>20</v>
      </c>
      <c r="AE29" s="208">
        <v>10</v>
      </c>
      <c r="AF29" s="232" t="e">
        <f t="shared" si="16"/>
        <v>#NAME?</v>
      </c>
      <c r="AG29" s="232" t="e">
        <f t="shared" si="17"/>
        <v>#NAME?</v>
      </c>
      <c r="AH29" s="232" t="e">
        <f t="shared" si="60"/>
        <v>#NAME?</v>
      </c>
      <c r="AI29" s="232" t="e">
        <f t="shared" si="18"/>
        <v>#NAME?</v>
      </c>
      <c r="AJ29" s="232" t="e">
        <f t="shared" si="19"/>
        <v>#NAME?</v>
      </c>
      <c r="AK29" s="232" t="e">
        <f t="shared" si="20"/>
        <v>#NAME?</v>
      </c>
      <c r="AL29" s="232">
        <f t="shared" si="21"/>
        <v>0</v>
      </c>
      <c r="AM29" s="232" t="e">
        <f t="shared" si="22"/>
        <v>#NAME?</v>
      </c>
      <c r="AN29" s="232" t="e">
        <f t="shared" si="61"/>
        <v>#NAME?</v>
      </c>
      <c r="AO29" s="232" t="e">
        <f t="shared" si="23"/>
        <v>#NAME?</v>
      </c>
      <c r="AP29" s="232" t="e">
        <f t="shared" si="24"/>
        <v>#NAME?</v>
      </c>
      <c r="AQ29" s="232" t="e">
        <f t="shared" si="62"/>
        <v>#NAME?</v>
      </c>
      <c r="AR29" s="232" t="e">
        <f t="shared" si="63"/>
        <v>#NAME?</v>
      </c>
      <c r="AS29" s="232" t="e">
        <f t="shared" si="25"/>
        <v>#NAME?</v>
      </c>
      <c r="AT29" s="232">
        <f t="shared" si="26"/>
        <v>0.13800000000000001</v>
      </c>
      <c r="AU29" s="292" t="e">
        <f t="shared" si="64"/>
        <v>#NAME?</v>
      </c>
      <c r="AV29" s="235" t="e">
        <f t="shared" si="65"/>
        <v>#NAME?</v>
      </c>
      <c r="AW29" s="235" t="e">
        <f t="shared" si="66"/>
        <v>#NAME?</v>
      </c>
      <c r="AX29" s="235" t="e">
        <f t="shared" si="27"/>
        <v>#NAME?</v>
      </c>
      <c r="AY29" s="235" t="e">
        <f t="shared" si="67"/>
        <v>#NAME?</v>
      </c>
      <c r="AZ29" s="235" t="e">
        <f t="shared" si="28"/>
        <v>#NAME?</v>
      </c>
      <c r="BA29" s="235" t="e">
        <f t="shared" si="29"/>
        <v>#NAME?</v>
      </c>
      <c r="BB29" s="235" t="e">
        <f t="shared" si="30"/>
        <v>#NAME?</v>
      </c>
      <c r="BC29" s="235" t="e">
        <f t="shared" si="31"/>
        <v>#NAME?</v>
      </c>
      <c r="BD29" s="235" t="e">
        <f t="shared" si="32"/>
        <v>#NAME?</v>
      </c>
      <c r="BE29" s="235" t="e">
        <f t="shared" si="68"/>
        <v>#NAME?</v>
      </c>
      <c r="BF29" s="235" t="e">
        <f t="shared" si="69"/>
        <v>#NAME?</v>
      </c>
      <c r="BG29" s="235" t="e">
        <f t="shared" si="33"/>
        <v>#NAME?</v>
      </c>
      <c r="BH29" s="233" t="e">
        <f t="shared" si="70"/>
        <v>#NAME?</v>
      </c>
      <c r="BI29" s="175">
        <f t="shared" si="34"/>
        <v>27.599999999999998</v>
      </c>
      <c r="BJ29" s="292">
        <v>92.227257154029004</v>
      </c>
      <c r="BK29" s="235">
        <f t="shared" si="71"/>
        <v>0.92227257154029008</v>
      </c>
      <c r="BL29" s="376">
        <v>59.655105160909137</v>
      </c>
      <c r="BM29" s="294"/>
      <c r="BN29" s="387" t="e">
        <f t="shared" si="72"/>
        <v>#NAME?</v>
      </c>
      <c r="BO29" s="387" t="e">
        <f t="shared" si="73"/>
        <v>#NAME?</v>
      </c>
      <c r="BP29" s="175" t="e">
        <f t="shared" si="74"/>
        <v>#NAME?</v>
      </c>
      <c r="BQ29" s="235"/>
      <c r="BR29" s="235"/>
      <c r="BS29" s="235"/>
      <c r="BT29" s="235"/>
    </row>
    <row r="30" spans="1:72" ht="13.5" thickBot="1" x14ac:dyDescent="0.25">
      <c r="A30" s="317" t="s">
        <v>11</v>
      </c>
      <c r="B30" s="335">
        <f>'Design Regulator'!E19</f>
        <v>300</v>
      </c>
      <c r="C30" s="319" t="s">
        <v>356</v>
      </c>
      <c r="D30" s="202">
        <f>B30/1000</f>
        <v>0.3</v>
      </c>
      <c r="E30" s="174" t="s">
        <v>357</v>
      </c>
      <c r="F30" s="289" t="s">
        <v>433</v>
      </c>
      <c r="G30" s="289"/>
      <c r="H30" s="173">
        <v>24</v>
      </c>
      <c r="I30" s="513">
        <f t="shared" si="0"/>
        <v>2.8799999999999999E-2</v>
      </c>
      <c r="J30" s="175" t="e">
        <f t="shared" si="1"/>
        <v>#NAME?</v>
      </c>
      <c r="K30" s="232" t="e">
        <f t="shared" si="2"/>
        <v>#NAME?</v>
      </c>
      <c r="L30" s="290" t="e">
        <f t="shared" si="3"/>
        <v>#NAME?</v>
      </c>
      <c r="M30" s="208" t="e">
        <f t="shared" si="55"/>
        <v>#NAME?</v>
      </c>
      <c r="N30" s="291" t="e">
        <f t="shared" si="4"/>
        <v>#NAME?</v>
      </c>
      <c r="O30" s="291">
        <f t="shared" si="5"/>
        <v>1.4195511946942855E-4</v>
      </c>
      <c r="P30" s="233" t="e">
        <f t="shared" si="56"/>
        <v>#NAME?</v>
      </c>
      <c r="Q30" s="232" t="e">
        <f t="shared" si="6"/>
        <v>#NAME?</v>
      </c>
      <c r="R30" s="232" t="e">
        <f t="shared" si="7"/>
        <v>#NAME?</v>
      </c>
      <c r="S30" s="517" t="e">
        <f t="shared" si="8"/>
        <v>#NAME?</v>
      </c>
      <c r="T30" s="232" t="e">
        <f t="shared" si="57"/>
        <v>#NAME?</v>
      </c>
      <c r="U30" s="233" t="e">
        <f t="shared" si="9"/>
        <v>#NAME?</v>
      </c>
      <c r="V30" s="232" t="e">
        <f t="shared" si="10"/>
        <v>#NAME?</v>
      </c>
      <c r="W30" s="232" t="e">
        <f t="shared" si="58"/>
        <v>#NAME?</v>
      </c>
      <c r="X30" s="232" t="e">
        <f t="shared" si="11"/>
        <v>#NAME?</v>
      </c>
      <c r="Y30" s="234" t="e">
        <f t="shared" si="12"/>
        <v>#NAME?</v>
      </c>
      <c r="Z30" s="234" t="e">
        <f t="shared" si="59"/>
        <v>#NAME?</v>
      </c>
      <c r="AA30" s="232" t="e">
        <f t="shared" si="13"/>
        <v>#NAME?</v>
      </c>
      <c r="AB30" s="232" t="e">
        <f t="shared" si="14"/>
        <v>#NAME?</v>
      </c>
      <c r="AC30" s="232" t="e">
        <f t="shared" si="15"/>
        <v>#NAME?</v>
      </c>
      <c r="AD30">
        <v>20</v>
      </c>
      <c r="AE30" s="208">
        <v>10</v>
      </c>
      <c r="AF30" s="232" t="e">
        <f t="shared" si="16"/>
        <v>#NAME?</v>
      </c>
      <c r="AG30" s="232" t="e">
        <f t="shared" si="17"/>
        <v>#NAME?</v>
      </c>
      <c r="AH30" s="232" t="e">
        <f t="shared" si="60"/>
        <v>#NAME?</v>
      </c>
      <c r="AI30" s="232" t="e">
        <f t="shared" si="18"/>
        <v>#NAME?</v>
      </c>
      <c r="AJ30" s="232" t="e">
        <f t="shared" si="19"/>
        <v>#NAME?</v>
      </c>
      <c r="AK30" s="232" t="e">
        <f t="shared" si="20"/>
        <v>#NAME?</v>
      </c>
      <c r="AL30" s="232">
        <f t="shared" si="21"/>
        <v>0</v>
      </c>
      <c r="AM30" s="232" t="e">
        <f t="shared" si="22"/>
        <v>#NAME?</v>
      </c>
      <c r="AN30" s="232" t="e">
        <f t="shared" si="61"/>
        <v>#NAME?</v>
      </c>
      <c r="AO30" s="232" t="e">
        <f t="shared" si="23"/>
        <v>#NAME?</v>
      </c>
      <c r="AP30" s="232" t="e">
        <f t="shared" si="24"/>
        <v>#NAME?</v>
      </c>
      <c r="AQ30" s="232" t="e">
        <f t="shared" si="62"/>
        <v>#NAME?</v>
      </c>
      <c r="AR30" s="232" t="e">
        <f t="shared" si="63"/>
        <v>#NAME?</v>
      </c>
      <c r="AS30" s="232" t="e">
        <f t="shared" si="25"/>
        <v>#NAME?</v>
      </c>
      <c r="AT30" s="232">
        <f t="shared" si="26"/>
        <v>0.14399999999999999</v>
      </c>
      <c r="AU30" s="292" t="e">
        <f t="shared" si="64"/>
        <v>#NAME?</v>
      </c>
      <c r="AV30" s="235" t="e">
        <f t="shared" si="65"/>
        <v>#NAME?</v>
      </c>
      <c r="AW30" s="235" t="e">
        <f t="shared" si="66"/>
        <v>#NAME?</v>
      </c>
      <c r="AX30" s="235" t="e">
        <f t="shared" si="27"/>
        <v>#NAME?</v>
      </c>
      <c r="AY30" s="235" t="e">
        <f t="shared" si="67"/>
        <v>#NAME?</v>
      </c>
      <c r="AZ30" s="235" t="e">
        <f t="shared" si="28"/>
        <v>#NAME?</v>
      </c>
      <c r="BA30" s="235" t="e">
        <f t="shared" si="29"/>
        <v>#NAME?</v>
      </c>
      <c r="BB30" s="235" t="e">
        <f t="shared" si="30"/>
        <v>#NAME?</v>
      </c>
      <c r="BC30" s="235" t="e">
        <f t="shared" si="31"/>
        <v>#NAME?</v>
      </c>
      <c r="BD30" s="235" t="e">
        <f t="shared" si="32"/>
        <v>#NAME?</v>
      </c>
      <c r="BE30" s="235" t="e">
        <f t="shared" si="68"/>
        <v>#NAME?</v>
      </c>
      <c r="BF30" s="235" t="e">
        <f t="shared" si="69"/>
        <v>#NAME?</v>
      </c>
      <c r="BG30" s="235" t="e">
        <f t="shared" si="33"/>
        <v>#NAME?</v>
      </c>
      <c r="BH30" s="233" t="e">
        <f t="shared" si="70"/>
        <v>#NAME?</v>
      </c>
      <c r="BI30" s="175">
        <f t="shared" si="34"/>
        <v>28.8</v>
      </c>
      <c r="BJ30" s="292">
        <v>92.243615707125457</v>
      </c>
      <c r="BK30" s="235">
        <f t="shared" si="71"/>
        <v>0.92243615707125459</v>
      </c>
      <c r="BL30" s="376">
        <v>61.489483479942351</v>
      </c>
      <c r="BM30" s="294"/>
      <c r="BN30" s="387" t="e">
        <f t="shared" si="72"/>
        <v>#NAME?</v>
      </c>
      <c r="BO30" s="387" t="e">
        <f t="shared" si="73"/>
        <v>#NAME?</v>
      </c>
      <c r="BP30" s="175" t="e">
        <f t="shared" si="74"/>
        <v>#NAME?</v>
      </c>
      <c r="BQ30" s="235"/>
      <c r="BR30" s="235"/>
      <c r="BS30" s="235"/>
      <c r="BT30" s="235"/>
    </row>
    <row r="31" spans="1:72" ht="13.5" thickBot="1" x14ac:dyDescent="0.25">
      <c r="A31" s="315" t="s">
        <v>358</v>
      </c>
      <c r="B31" s="378">
        <v>5.0000000000000002E-14</v>
      </c>
      <c r="C31" s="319"/>
      <c r="D31" s="379">
        <f>B31</f>
        <v>5.0000000000000002E-14</v>
      </c>
      <c r="E31" s="321" t="s">
        <v>359</v>
      </c>
      <c r="F31" s="289"/>
      <c r="G31" s="289"/>
      <c r="H31" s="173">
        <v>25</v>
      </c>
      <c r="I31" s="513">
        <f t="shared" si="0"/>
        <v>0.03</v>
      </c>
      <c r="J31" s="175" t="e">
        <f t="shared" si="1"/>
        <v>#NAME?</v>
      </c>
      <c r="K31" s="232" t="e">
        <f t="shared" si="2"/>
        <v>#NAME?</v>
      </c>
      <c r="L31" s="290" t="e">
        <f t="shared" si="3"/>
        <v>#NAME?</v>
      </c>
      <c r="M31" s="208" t="e">
        <f t="shared" si="55"/>
        <v>#NAME?</v>
      </c>
      <c r="N31" s="291" t="e">
        <f t="shared" si="4"/>
        <v>#NAME?</v>
      </c>
      <c r="O31" s="291">
        <f t="shared" si="5"/>
        <v>1.3627691469065141E-4</v>
      </c>
      <c r="P31" s="233" t="e">
        <f t="shared" si="56"/>
        <v>#NAME?</v>
      </c>
      <c r="Q31" s="232" t="e">
        <f t="shared" si="6"/>
        <v>#NAME?</v>
      </c>
      <c r="R31" s="232" t="e">
        <f t="shared" si="7"/>
        <v>#NAME?</v>
      </c>
      <c r="S31" s="517" t="e">
        <f t="shared" si="8"/>
        <v>#NAME?</v>
      </c>
      <c r="T31" s="232" t="e">
        <f t="shared" si="57"/>
        <v>#NAME?</v>
      </c>
      <c r="U31" s="233" t="e">
        <f t="shared" si="9"/>
        <v>#NAME?</v>
      </c>
      <c r="V31" s="232" t="e">
        <f t="shared" si="10"/>
        <v>#NAME?</v>
      </c>
      <c r="W31" s="232" t="e">
        <f t="shared" si="58"/>
        <v>#NAME?</v>
      </c>
      <c r="X31" s="232" t="e">
        <f t="shared" si="11"/>
        <v>#NAME?</v>
      </c>
      <c r="Y31" s="234" t="e">
        <f t="shared" si="12"/>
        <v>#NAME?</v>
      </c>
      <c r="Z31" s="234" t="e">
        <f t="shared" si="59"/>
        <v>#NAME?</v>
      </c>
      <c r="AA31" s="232" t="e">
        <f t="shared" si="13"/>
        <v>#NAME?</v>
      </c>
      <c r="AB31" s="232" t="e">
        <f t="shared" si="14"/>
        <v>#NAME?</v>
      </c>
      <c r="AC31" s="232" t="e">
        <f t="shared" si="15"/>
        <v>#NAME?</v>
      </c>
      <c r="AD31">
        <v>20</v>
      </c>
      <c r="AE31" s="208">
        <v>10</v>
      </c>
      <c r="AF31" s="232" t="e">
        <f t="shared" si="16"/>
        <v>#NAME?</v>
      </c>
      <c r="AG31" s="232" t="e">
        <f t="shared" si="17"/>
        <v>#NAME?</v>
      </c>
      <c r="AH31" s="232" t="e">
        <f t="shared" si="60"/>
        <v>#NAME?</v>
      </c>
      <c r="AI31" s="232" t="e">
        <f t="shared" si="18"/>
        <v>#NAME?</v>
      </c>
      <c r="AJ31" s="232" t="e">
        <f t="shared" si="19"/>
        <v>#NAME?</v>
      </c>
      <c r="AK31" s="232" t="e">
        <f t="shared" si="20"/>
        <v>#NAME?</v>
      </c>
      <c r="AL31" s="232">
        <f t="shared" si="21"/>
        <v>0</v>
      </c>
      <c r="AM31" s="232" t="e">
        <f t="shared" si="22"/>
        <v>#NAME?</v>
      </c>
      <c r="AN31" s="232" t="e">
        <f t="shared" si="61"/>
        <v>#NAME?</v>
      </c>
      <c r="AO31" s="232" t="e">
        <f t="shared" si="23"/>
        <v>#NAME?</v>
      </c>
      <c r="AP31" s="232" t="e">
        <f t="shared" si="24"/>
        <v>#NAME?</v>
      </c>
      <c r="AQ31" s="232" t="e">
        <f t="shared" si="62"/>
        <v>#NAME?</v>
      </c>
      <c r="AR31" s="232" t="e">
        <f t="shared" si="63"/>
        <v>#NAME?</v>
      </c>
      <c r="AS31" s="232" t="e">
        <f t="shared" si="25"/>
        <v>#NAME?</v>
      </c>
      <c r="AT31" s="232">
        <f t="shared" si="26"/>
        <v>0.15</v>
      </c>
      <c r="AU31" s="292" t="e">
        <f t="shared" si="64"/>
        <v>#NAME?</v>
      </c>
      <c r="AV31" s="235" t="e">
        <f t="shared" si="65"/>
        <v>#NAME?</v>
      </c>
      <c r="AW31" s="235" t="e">
        <f t="shared" si="66"/>
        <v>#NAME?</v>
      </c>
      <c r="AX31" s="235" t="e">
        <f t="shared" si="27"/>
        <v>#NAME?</v>
      </c>
      <c r="AY31" s="235" t="e">
        <f t="shared" si="67"/>
        <v>#NAME?</v>
      </c>
      <c r="AZ31" s="235" t="e">
        <f t="shared" si="28"/>
        <v>#NAME?</v>
      </c>
      <c r="BA31" s="235" t="e">
        <f t="shared" si="29"/>
        <v>#NAME?</v>
      </c>
      <c r="BB31" s="235" t="e">
        <f t="shared" si="30"/>
        <v>#NAME?</v>
      </c>
      <c r="BC31" s="235" t="e">
        <f t="shared" si="31"/>
        <v>#NAME?</v>
      </c>
      <c r="BD31" s="235" t="e">
        <f t="shared" si="32"/>
        <v>#NAME?</v>
      </c>
      <c r="BE31" s="235" t="e">
        <f t="shared" si="68"/>
        <v>#NAME?</v>
      </c>
      <c r="BF31" s="235" t="e">
        <f t="shared" si="69"/>
        <v>#NAME?</v>
      </c>
      <c r="BG31" s="235" t="e">
        <f t="shared" si="33"/>
        <v>#NAME?</v>
      </c>
      <c r="BH31" s="233" t="e">
        <f t="shared" si="70"/>
        <v>#NAME?</v>
      </c>
      <c r="BI31" s="175">
        <f t="shared" si="34"/>
        <v>30</v>
      </c>
      <c r="BJ31" s="292">
        <v>92.258695515072404</v>
      </c>
      <c r="BK31" s="235">
        <f t="shared" si="71"/>
        <v>0.92258695515072409</v>
      </c>
      <c r="BL31" s="376">
        <v>63.263655392098094</v>
      </c>
      <c r="BM31" s="294"/>
      <c r="BN31" s="387" t="e">
        <f t="shared" si="72"/>
        <v>#NAME?</v>
      </c>
      <c r="BO31" s="387" t="e">
        <f t="shared" si="73"/>
        <v>#NAME?</v>
      </c>
      <c r="BP31" s="175" t="e">
        <f t="shared" si="74"/>
        <v>#NAME?</v>
      </c>
      <c r="BQ31" s="235"/>
      <c r="BR31" s="235"/>
      <c r="BS31" s="235"/>
      <c r="BT31" s="235"/>
    </row>
    <row r="32" spans="1:72" ht="13.5" thickBot="1" x14ac:dyDescent="0.25">
      <c r="A32" s="322" t="s">
        <v>39</v>
      </c>
      <c r="B32" s="335">
        <f>'Design Regulator'!E30</f>
        <v>4.7</v>
      </c>
      <c r="C32" s="323" t="s">
        <v>130</v>
      </c>
      <c r="D32" s="324">
        <f>B32/1000000</f>
        <v>4.6999999999999999E-6</v>
      </c>
      <c r="E32" s="325" t="s">
        <v>80</v>
      </c>
      <c r="F32" s="289"/>
      <c r="G32" s="289"/>
      <c r="H32" s="173">
        <v>26</v>
      </c>
      <c r="I32" s="513">
        <f t="shared" si="0"/>
        <v>3.1199999999999999E-2</v>
      </c>
      <c r="J32" s="175" t="e">
        <f t="shared" si="1"/>
        <v>#NAME?</v>
      </c>
      <c r="K32" s="232" t="e">
        <f t="shared" si="2"/>
        <v>#NAME?</v>
      </c>
      <c r="L32" s="290" t="e">
        <f t="shared" si="3"/>
        <v>#NAME?</v>
      </c>
      <c r="M32" s="208" t="e">
        <f t="shared" si="55"/>
        <v>#NAME?</v>
      </c>
      <c r="N32" s="291" t="e">
        <f t="shared" si="4"/>
        <v>#NAME?</v>
      </c>
      <c r="O32" s="291">
        <f t="shared" si="5"/>
        <v>1.3103549489485713E-4</v>
      </c>
      <c r="P32" s="233" t="e">
        <f t="shared" si="56"/>
        <v>#NAME?</v>
      </c>
      <c r="Q32" s="232" t="e">
        <f t="shared" si="6"/>
        <v>#NAME?</v>
      </c>
      <c r="R32" s="232" t="e">
        <f t="shared" si="7"/>
        <v>#NAME?</v>
      </c>
      <c r="S32" s="517" t="e">
        <f t="shared" si="8"/>
        <v>#NAME?</v>
      </c>
      <c r="T32" s="232" t="e">
        <f t="shared" si="57"/>
        <v>#NAME?</v>
      </c>
      <c r="U32" s="233" t="e">
        <f t="shared" si="9"/>
        <v>#NAME?</v>
      </c>
      <c r="V32" s="232" t="e">
        <f t="shared" si="10"/>
        <v>#NAME?</v>
      </c>
      <c r="W32" s="232" t="e">
        <f t="shared" si="58"/>
        <v>#NAME?</v>
      </c>
      <c r="X32" s="232" t="e">
        <f t="shared" si="11"/>
        <v>#NAME?</v>
      </c>
      <c r="Y32" s="234" t="e">
        <f t="shared" si="12"/>
        <v>#NAME?</v>
      </c>
      <c r="Z32" s="234" t="e">
        <f t="shared" si="59"/>
        <v>#NAME?</v>
      </c>
      <c r="AA32" s="232" t="e">
        <f t="shared" si="13"/>
        <v>#NAME?</v>
      </c>
      <c r="AB32" s="232" t="e">
        <f t="shared" si="14"/>
        <v>#NAME?</v>
      </c>
      <c r="AC32" s="232" t="e">
        <f t="shared" si="15"/>
        <v>#NAME?</v>
      </c>
      <c r="AD32">
        <v>20</v>
      </c>
      <c r="AE32" s="208">
        <v>10</v>
      </c>
      <c r="AF32" s="232" t="e">
        <f t="shared" si="16"/>
        <v>#NAME?</v>
      </c>
      <c r="AG32" s="232" t="e">
        <f t="shared" si="17"/>
        <v>#NAME?</v>
      </c>
      <c r="AH32" s="232" t="e">
        <f t="shared" si="60"/>
        <v>#NAME?</v>
      </c>
      <c r="AI32" s="232" t="e">
        <f t="shared" si="18"/>
        <v>#NAME?</v>
      </c>
      <c r="AJ32" s="232" t="e">
        <f t="shared" si="19"/>
        <v>#NAME?</v>
      </c>
      <c r="AK32" s="232" t="e">
        <f t="shared" si="20"/>
        <v>#NAME?</v>
      </c>
      <c r="AL32" s="232">
        <f t="shared" si="21"/>
        <v>0</v>
      </c>
      <c r="AM32" s="232" t="e">
        <f t="shared" si="22"/>
        <v>#NAME?</v>
      </c>
      <c r="AN32" s="232" t="e">
        <f t="shared" si="61"/>
        <v>#NAME?</v>
      </c>
      <c r="AO32" s="232" t="e">
        <f t="shared" si="23"/>
        <v>#NAME?</v>
      </c>
      <c r="AP32" s="232" t="e">
        <f t="shared" si="24"/>
        <v>#NAME?</v>
      </c>
      <c r="AQ32" s="232" t="e">
        <f t="shared" si="62"/>
        <v>#NAME?</v>
      </c>
      <c r="AR32" s="232" t="e">
        <f t="shared" si="63"/>
        <v>#NAME?</v>
      </c>
      <c r="AS32" s="232" t="e">
        <f t="shared" si="25"/>
        <v>#NAME?</v>
      </c>
      <c r="AT32" s="232">
        <f t="shared" si="26"/>
        <v>0.156</v>
      </c>
      <c r="AU32" s="292" t="e">
        <f t="shared" si="64"/>
        <v>#NAME?</v>
      </c>
      <c r="AV32" s="235" t="e">
        <f t="shared" si="65"/>
        <v>#NAME?</v>
      </c>
      <c r="AW32" s="235" t="e">
        <f t="shared" si="66"/>
        <v>#NAME?</v>
      </c>
      <c r="AX32" s="235" t="e">
        <f t="shared" si="27"/>
        <v>#NAME?</v>
      </c>
      <c r="AY32" s="235" t="e">
        <f t="shared" si="67"/>
        <v>#NAME?</v>
      </c>
      <c r="AZ32" s="235" t="e">
        <f t="shared" si="28"/>
        <v>#NAME?</v>
      </c>
      <c r="BA32" s="235" t="e">
        <f t="shared" si="29"/>
        <v>#NAME?</v>
      </c>
      <c r="BB32" s="235" t="e">
        <f t="shared" si="30"/>
        <v>#NAME?</v>
      </c>
      <c r="BC32" s="235" t="e">
        <f t="shared" si="31"/>
        <v>#NAME?</v>
      </c>
      <c r="BD32" s="235" t="e">
        <f t="shared" si="32"/>
        <v>#NAME?</v>
      </c>
      <c r="BE32" s="235" t="e">
        <f t="shared" si="68"/>
        <v>#NAME?</v>
      </c>
      <c r="BF32" s="235" t="e">
        <f t="shared" si="69"/>
        <v>#NAME?</v>
      </c>
      <c r="BG32" s="235" t="e">
        <f t="shared" si="33"/>
        <v>#NAME?</v>
      </c>
      <c r="BH32" s="233" t="e">
        <f t="shared" si="70"/>
        <v>#NAME?</v>
      </c>
      <c r="BI32" s="175">
        <f t="shared" si="34"/>
        <v>31.2</v>
      </c>
      <c r="BJ32" s="292">
        <v>92.272643585130709</v>
      </c>
      <c r="BK32" s="235">
        <f t="shared" si="71"/>
        <v>0.92272643585130709</v>
      </c>
      <c r="BL32" s="376">
        <v>64.973397391543287</v>
      </c>
      <c r="BM32" s="294"/>
      <c r="BN32" s="387" t="e">
        <f t="shared" si="72"/>
        <v>#NAME?</v>
      </c>
      <c r="BO32" s="387" t="e">
        <f t="shared" si="73"/>
        <v>#NAME?</v>
      </c>
      <c r="BP32" s="175" t="e">
        <f t="shared" si="74"/>
        <v>#NAME?</v>
      </c>
      <c r="BQ32" s="235"/>
      <c r="BR32" s="235"/>
      <c r="BS32" s="235"/>
      <c r="BT32" s="235"/>
    </row>
    <row r="33" spans="1:72" ht="13.5" thickBot="1" x14ac:dyDescent="0.25">
      <c r="A33" s="317" t="s">
        <v>360</v>
      </c>
      <c r="B33" s="335">
        <f>'Design Regulator'!E31</f>
        <v>3</v>
      </c>
      <c r="C33" s="298" t="s">
        <v>356</v>
      </c>
      <c r="D33" s="202">
        <f>B33/1000</f>
        <v>3.0000000000000001E-3</v>
      </c>
      <c r="E33" s="174" t="s">
        <v>361</v>
      </c>
      <c r="F33" s="289"/>
      <c r="G33" s="289"/>
      <c r="H33" s="173">
        <v>27</v>
      </c>
      <c r="I33" s="513">
        <f t="shared" si="0"/>
        <v>3.2399999999999998E-2</v>
      </c>
      <c r="J33" s="175" t="e">
        <f t="shared" si="1"/>
        <v>#NAME?</v>
      </c>
      <c r="K33" s="232" t="e">
        <f t="shared" si="2"/>
        <v>#NAME?</v>
      </c>
      <c r="L33" s="290" t="e">
        <f t="shared" si="3"/>
        <v>#NAME?</v>
      </c>
      <c r="M33" s="208" t="e">
        <f t="shared" si="55"/>
        <v>#NAME?</v>
      </c>
      <c r="N33" s="291" t="e">
        <f t="shared" si="4"/>
        <v>#NAME?</v>
      </c>
      <c r="O33" s="291">
        <f t="shared" si="5"/>
        <v>1.2618232841726983E-4</v>
      </c>
      <c r="P33" s="233" t="e">
        <f t="shared" si="56"/>
        <v>#NAME?</v>
      </c>
      <c r="Q33" s="232" t="e">
        <f t="shared" si="6"/>
        <v>#NAME?</v>
      </c>
      <c r="R33" s="232" t="e">
        <f t="shared" si="7"/>
        <v>#NAME?</v>
      </c>
      <c r="S33" s="517" t="e">
        <f t="shared" si="8"/>
        <v>#NAME?</v>
      </c>
      <c r="T33" s="232" t="e">
        <f t="shared" si="57"/>
        <v>#NAME?</v>
      </c>
      <c r="U33" s="233" t="e">
        <f t="shared" si="9"/>
        <v>#NAME?</v>
      </c>
      <c r="V33" s="232" t="e">
        <f t="shared" si="10"/>
        <v>#NAME?</v>
      </c>
      <c r="W33" s="232" t="e">
        <f t="shared" si="58"/>
        <v>#NAME?</v>
      </c>
      <c r="X33" s="232" t="e">
        <f t="shared" si="11"/>
        <v>#NAME?</v>
      </c>
      <c r="Y33" s="234" t="e">
        <f t="shared" si="12"/>
        <v>#NAME?</v>
      </c>
      <c r="Z33" s="234" t="e">
        <f t="shared" si="59"/>
        <v>#NAME?</v>
      </c>
      <c r="AA33" s="232" t="e">
        <f t="shared" si="13"/>
        <v>#NAME?</v>
      </c>
      <c r="AB33" s="232" t="e">
        <f t="shared" si="14"/>
        <v>#NAME?</v>
      </c>
      <c r="AC33" s="232" t="e">
        <f t="shared" si="15"/>
        <v>#NAME?</v>
      </c>
      <c r="AD33">
        <v>20</v>
      </c>
      <c r="AE33" s="208">
        <v>10</v>
      </c>
      <c r="AF33" s="232" t="e">
        <f t="shared" si="16"/>
        <v>#NAME?</v>
      </c>
      <c r="AG33" s="232" t="e">
        <f t="shared" si="17"/>
        <v>#NAME?</v>
      </c>
      <c r="AH33" s="232" t="e">
        <f t="shared" si="60"/>
        <v>#NAME?</v>
      </c>
      <c r="AI33" s="232" t="e">
        <f t="shared" si="18"/>
        <v>#NAME?</v>
      </c>
      <c r="AJ33" s="232" t="e">
        <f t="shared" si="19"/>
        <v>#NAME?</v>
      </c>
      <c r="AK33" s="232" t="e">
        <f t="shared" si="20"/>
        <v>#NAME?</v>
      </c>
      <c r="AL33" s="232">
        <f t="shared" si="21"/>
        <v>0</v>
      </c>
      <c r="AM33" s="232" t="e">
        <f t="shared" si="22"/>
        <v>#NAME?</v>
      </c>
      <c r="AN33" s="232" t="e">
        <f t="shared" si="61"/>
        <v>#NAME?</v>
      </c>
      <c r="AO33" s="232" t="e">
        <f t="shared" si="23"/>
        <v>#NAME?</v>
      </c>
      <c r="AP33" s="232" t="e">
        <f t="shared" si="24"/>
        <v>#NAME?</v>
      </c>
      <c r="AQ33" s="232" t="e">
        <f t="shared" si="62"/>
        <v>#NAME?</v>
      </c>
      <c r="AR33" s="232" t="e">
        <f t="shared" si="63"/>
        <v>#NAME?</v>
      </c>
      <c r="AS33" s="232" t="e">
        <f t="shared" si="25"/>
        <v>#NAME?</v>
      </c>
      <c r="AT33" s="232">
        <f t="shared" si="26"/>
        <v>0.16199999999999998</v>
      </c>
      <c r="AU33" s="292" t="e">
        <f t="shared" si="64"/>
        <v>#NAME?</v>
      </c>
      <c r="AV33" s="235" t="e">
        <f t="shared" si="65"/>
        <v>#NAME?</v>
      </c>
      <c r="AW33" s="235" t="e">
        <f t="shared" si="66"/>
        <v>#NAME?</v>
      </c>
      <c r="AX33" s="235" t="e">
        <f t="shared" si="27"/>
        <v>#NAME?</v>
      </c>
      <c r="AY33" s="235" t="e">
        <f t="shared" si="67"/>
        <v>#NAME?</v>
      </c>
      <c r="AZ33" s="235" t="e">
        <f t="shared" si="28"/>
        <v>#NAME?</v>
      </c>
      <c r="BA33" s="235" t="e">
        <f t="shared" si="29"/>
        <v>#NAME?</v>
      </c>
      <c r="BB33" s="235" t="e">
        <f t="shared" si="30"/>
        <v>#NAME?</v>
      </c>
      <c r="BC33" s="235" t="e">
        <f t="shared" si="31"/>
        <v>#NAME?</v>
      </c>
      <c r="BD33" s="235" t="e">
        <f t="shared" si="32"/>
        <v>#NAME?</v>
      </c>
      <c r="BE33" s="235" t="e">
        <f t="shared" si="68"/>
        <v>#NAME?</v>
      </c>
      <c r="BF33" s="235" t="e">
        <f t="shared" si="69"/>
        <v>#NAME?</v>
      </c>
      <c r="BG33" s="235" t="e">
        <f t="shared" si="33"/>
        <v>#NAME?</v>
      </c>
      <c r="BH33" s="233" t="e">
        <f t="shared" si="70"/>
        <v>#NAME?</v>
      </c>
      <c r="BI33" s="175">
        <f t="shared" si="34"/>
        <v>32.4</v>
      </c>
      <c r="BJ33" s="292">
        <v>92.285585223360243</v>
      </c>
      <c r="BK33" s="235">
        <f t="shared" si="71"/>
        <v>0.92285585223360245</v>
      </c>
      <c r="BL33" s="376">
        <v>66.615311912313558</v>
      </c>
      <c r="BM33" s="294"/>
      <c r="BN33" s="387" t="e">
        <f t="shared" si="72"/>
        <v>#NAME?</v>
      </c>
      <c r="BO33" s="387" t="e">
        <f t="shared" si="73"/>
        <v>#NAME?</v>
      </c>
      <c r="BP33" s="175" t="e">
        <f t="shared" si="74"/>
        <v>#NAME?</v>
      </c>
      <c r="BQ33" s="235"/>
      <c r="BR33" s="235"/>
      <c r="BS33" s="235"/>
      <c r="BT33" s="235"/>
    </row>
    <row r="34" spans="1:72" ht="13.5" thickBot="1" x14ac:dyDescent="0.25">
      <c r="A34" s="315" t="s">
        <v>21</v>
      </c>
      <c r="B34" s="386">
        <f>'Design Regulator'!E25</f>
        <v>100</v>
      </c>
      <c r="C34" s="304" t="s">
        <v>130</v>
      </c>
      <c r="D34" s="305">
        <f>B34/1000000</f>
        <v>1E-4</v>
      </c>
      <c r="E34" s="174" t="s">
        <v>362</v>
      </c>
      <c r="F34" s="289"/>
      <c r="G34" s="289"/>
      <c r="H34" s="173">
        <v>28</v>
      </c>
      <c r="I34" s="513">
        <f t="shared" si="0"/>
        <v>3.3600000000000005E-2</v>
      </c>
      <c r="J34" s="175" t="e">
        <f t="shared" si="1"/>
        <v>#NAME?</v>
      </c>
      <c r="K34" s="232" t="e">
        <f t="shared" si="2"/>
        <v>#NAME?</v>
      </c>
      <c r="L34" s="290" t="e">
        <f t="shared" si="3"/>
        <v>#NAME?</v>
      </c>
      <c r="M34" s="208" t="e">
        <f t="shared" si="55"/>
        <v>#NAME?</v>
      </c>
      <c r="N34" s="291" t="e">
        <f t="shared" si="4"/>
        <v>#NAME?</v>
      </c>
      <c r="O34" s="291">
        <f t="shared" si="5"/>
        <v>1.2167581668808159E-4</v>
      </c>
      <c r="P34" s="233" t="e">
        <f t="shared" si="56"/>
        <v>#NAME?</v>
      </c>
      <c r="Q34" s="232" t="e">
        <f t="shared" si="6"/>
        <v>#NAME?</v>
      </c>
      <c r="R34" s="232" t="e">
        <f t="shared" si="7"/>
        <v>#NAME?</v>
      </c>
      <c r="S34" s="517" t="e">
        <f t="shared" si="8"/>
        <v>#NAME?</v>
      </c>
      <c r="T34" s="232" t="e">
        <f t="shared" si="57"/>
        <v>#NAME?</v>
      </c>
      <c r="U34" s="233" t="e">
        <f t="shared" si="9"/>
        <v>#NAME?</v>
      </c>
      <c r="V34" s="232" t="e">
        <f t="shared" si="10"/>
        <v>#NAME?</v>
      </c>
      <c r="W34" s="232" t="e">
        <f t="shared" si="58"/>
        <v>#NAME?</v>
      </c>
      <c r="X34" s="232" t="e">
        <f t="shared" si="11"/>
        <v>#NAME?</v>
      </c>
      <c r="Y34" s="234" t="e">
        <f t="shared" si="12"/>
        <v>#NAME?</v>
      </c>
      <c r="Z34" s="234" t="e">
        <f t="shared" si="59"/>
        <v>#NAME?</v>
      </c>
      <c r="AA34" s="232" t="e">
        <f t="shared" si="13"/>
        <v>#NAME?</v>
      </c>
      <c r="AB34" s="232" t="e">
        <f t="shared" si="14"/>
        <v>#NAME?</v>
      </c>
      <c r="AC34" s="232" t="e">
        <f t="shared" si="15"/>
        <v>#NAME?</v>
      </c>
      <c r="AD34">
        <v>20</v>
      </c>
      <c r="AE34" s="208">
        <v>10</v>
      </c>
      <c r="AF34" s="232" t="e">
        <f t="shared" si="16"/>
        <v>#NAME?</v>
      </c>
      <c r="AG34" s="232" t="e">
        <f t="shared" si="17"/>
        <v>#NAME?</v>
      </c>
      <c r="AH34" s="232" t="e">
        <f t="shared" si="60"/>
        <v>#NAME?</v>
      </c>
      <c r="AI34" s="232" t="e">
        <f t="shared" si="18"/>
        <v>#NAME?</v>
      </c>
      <c r="AJ34" s="232" t="e">
        <f t="shared" si="19"/>
        <v>#NAME?</v>
      </c>
      <c r="AK34" s="232" t="e">
        <f t="shared" si="20"/>
        <v>#NAME?</v>
      </c>
      <c r="AL34" s="232">
        <f t="shared" si="21"/>
        <v>0</v>
      </c>
      <c r="AM34" s="232" t="e">
        <f t="shared" si="22"/>
        <v>#NAME?</v>
      </c>
      <c r="AN34" s="232" t="e">
        <f t="shared" si="61"/>
        <v>#NAME?</v>
      </c>
      <c r="AO34" s="232" t="e">
        <f t="shared" si="23"/>
        <v>#NAME?</v>
      </c>
      <c r="AP34" s="232" t="e">
        <f t="shared" si="24"/>
        <v>#NAME?</v>
      </c>
      <c r="AQ34" s="232" t="e">
        <f t="shared" si="62"/>
        <v>#NAME?</v>
      </c>
      <c r="AR34" s="232" t="e">
        <f t="shared" si="63"/>
        <v>#NAME?</v>
      </c>
      <c r="AS34" s="232" t="e">
        <f t="shared" si="25"/>
        <v>#NAME?</v>
      </c>
      <c r="AT34" s="232">
        <f t="shared" si="26"/>
        <v>0.16800000000000004</v>
      </c>
      <c r="AU34" s="292" t="e">
        <f t="shared" si="64"/>
        <v>#NAME?</v>
      </c>
      <c r="AV34" s="235" t="e">
        <f t="shared" si="65"/>
        <v>#NAME?</v>
      </c>
      <c r="AW34" s="235" t="e">
        <f t="shared" si="66"/>
        <v>#NAME?</v>
      </c>
      <c r="AX34" s="235" t="e">
        <f t="shared" si="27"/>
        <v>#NAME?</v>
      </c>
      <c r="AY34" s="235" t="e">
        <f t="shared" si="67"/>
        <v>#NAME?</v>
      </c>
      <c r="AZ34" s="235" t="e">
        <f t="shared" si="28"/>
        <v>#NAME?</v>
      </c>
      <c r="BA34" s="235" t="e">
        <f t="shared" si="29"/>
        <v>#NAME?</v>
      </c>
      <c r="BB34" s="235" t="e">
        <f t="shared" si="30"/>
        <v>#NAME?</v>
      </c>
      <c r="BC34" s="235" t="e">
        <f t="shared" si="31"/>
        <v>#NAME?</v>
      </c>
      <c r="BD34" s="235" t="e">
        <f t="shared" si="32"/>
        <v>#NAME?</v>
      </c>
      <c r="BE34" s="235" t="e">
        <f t="shared" si="68"/>
        <v>#NAME?</v>
      </c>
      <c r="BF34" s="235" t="e">
        <f t="shared" si="69"/>
        <v>#NAME?</v>
      </c>
      <c r="BG34" s="235" t="e">
        <f t="shared" si="33"/>
        <v>#NAME?</v>
      </c>
      <c r="BH34" s="233" t="e">
        <f t="shared" si="70"/>
        <v>#NAME?</v>
      </c>
      <c r="BI34" s="175">
        <f t="shared" si="34"/>
        <v>33.6</v>
      </c>
      <c r="BJ34" s="292">
        <v>92.297627896528766</v>
      </c>
      <c r="BK34" s="235">
        <f t="shared" si="71"/>
        <v>0.92297627896528767</v>
      </c>
      <c r="BL34" s="376">
        <v>68.186816296537415</v>
      </c>
      <c r="BM34" s="294"/>
      <c r="BN34" s="387" t="e">
        <f t="shared" si="72"/>
        <v>#NAME?</v>
      </c>
      <c r="BO34" s="387" t="e">
        <f t="shared" si="73"/>
        <v>#NAME?</v>
      </c>
      <c r="BP34" s="175" t="e">
        <f t="shared" si="74"/>
        <v>#NAME?</v>
      </c>
      <c r="BQ34" s="235"/>
      <c r="BR34" s="235"/>
      <c r="BS34" s="235"/>
      <c r="BT34" s="235"/>
    </row>
    <row r="35" spans="1:72" x14ac:dyDescent="0.2">
      <c r="A35" s="317" t="s">
        <v>363</v>
      </c>
      <c r="B35" s="386">
        <f>'Design Regulator'!E27</f>
        <v>1.5</v>
      </c>
      <c r="C35" s="298" t="s">
        <v>356</v>
      </c>
      <c r="D35" s="202">
        <f>B35/1000</f>
        <v>1.5E-3</v>
      </c>
      <c r="E35" s="174" t="s">
        <v>364</v>
      </c>
      <c r="F35" s="289"/>
      <c r="G35" s="289"/>
      <c r="H35" s="173">
        <v>29</v>
      </c>
      <c r="I35" s="513">
        <f t="shared" si="0"/>
        <v>3.4799999999999998E-2</v>
      </c>
      <c r="J35" s="175" t="e">
        <f t="shared" si="1"/>
        <v>#NAME?</v>
      </c>
      <c r="K35" s="232" t="e">
        <f t="shared" si="2"/>
        <v>#NAME?</v>
      </c>
      <c r="L35" s="290" t="e">
        <f t="shared" si="3"/>
        <v>#NAME?</v>
      </c>
      <c r="M35" s="208" t="e">
        <f t="shared" si="55"/>
        <v>#NAME?</v>
      </c>
      <c r="N35" s="291" t="e">
        <f t="shared" si="4"/>
        <v>#NAME?</v>
      </c>
      <c r="O35" s="291">
        <f t="shared" si="5"/>
        <v>1.1748009887125121E-4</v>
      </c>
      <c r="P35" s="233" t="e">
        <f t="shared" si="56"/>
        <v>#NAME?</v>
      </c>
      <c r="Q35" s="232" t="e">
        <f t="shared" si="6"/>
        <v>#NAME?</v>
      </c>
      <c r="R35" s="232" t="e">
        <f t="shared" si="7"/>
        <v>#NAME?</v>
      </c>
      <c r="S35" s="517" t="e">
        <f t="shared" si="8"/>
        <v>#NAME?</v>
      </c>
      <c r="T35" s="232" t="e">
        <f t="shared" si="57"/>
        <v>#NAME?</v>
      </c>
      <c r="U35" s="233" t="e">
        <f t="shared" si="9"/>
        <v>#NAME?</v>
      </c>
      <c r="V35" s="232" t="e">
        <f t="shared" si="10"/>
        <v>#NAME?</v>
      </c>
      <c r="W35" s="232" t="e">
        <f t="shared" si="58"/>
        <v>#NAME?</v>
      </c>
      <c r="X35" s="232" t="e">
        <f t="shared" si="11"/>
        <v>#NAME?</v>
      </c>
      <c r="Y35" s="234" t="e">
        <f t="shared" si="12"/>
        <v>#NAME?</v>
      </c>
      <c r="Z35" s="234" t="e">
        <f t="shared" si="59"/>
        <v>#NAME?</v>
      </c>
      <c r="AA35" s="232" t="e">
        <f t="shared" si="13"/>
        <v>#NAME?</v>
      </c>
      <c r="AB35" s="232" t="e">
        <f t="shared" si="14"/>
        <v>#NAME?</v>
      </c>
      <c r="AC35" s="232" t="e">
        <f t="shared" si="15"/>
        <v>#NAME?</v>
      </c>
      <c r="AD35">
        <v>20</v>
      </c>
      <c r="AE35" s="208">
        <v>10</v>
      </c>
      <c r="AF35" s="232" t="e">
        <f t="shared" si="16"/>
        <v>#NAME?</v>
      </c>
      <c r="AG35" s="232" t="e">
        <f t="shared" si="17"/>
        <v>#NAME?</v>
      </c>
      <c r="AH35" s="232" t="e">
        <f t="shared" si="60"/>
        <v>#NAME?</v>
      </c>
      <c r="AI35" s="232" t="e">
        <f t="shared" si="18"/>
        <v>#NAME?</v>
      </c>
      <c r="AJ35" s="232" t="e">
        <f t="shared" si="19"/>
        <v>#NAME?</v>
      </c>
      <c r="AK35" s="232" t="e">
        <f t="shared" si="20"/>
        <v>#NAME?</v>
      </c>
      <c r="AL35" s="232">
        <f t="shared" si="21"/>
        <v>0</v>
      </c>
      <c r="AM35" s="232" t="e">
        <f t="shared" si="22"/>
        <v>#NAME?</v>
      </c>
      <c r="AN35" s="232" t="e">
        <f t="shared" si="61"/>
        <v>#NAME?</v>
      </c>
      <c r="AO35" s="232" t="e">
        <f t="shared" si="23"/>
        <v>#NAME?</v>
      </c>
      <c r="AP35" s="232" t="e">
        <f t="shared" si="24"/>
        <v>#NAME?</v>
      </c>
      <c r="AQ35" s="232" t="e">
        <f t="shared" si="62"/>
        <v>#NAME?</v>
      </c>
      <c r="AR35" s="232" t="e">
        <f t="shared" si="63"/>
        <v>#NAME?</v>
      </c>
      <c r="AS35" s="232" t="e">
        <f t="shared" si="25"/>
        <v>#NAME?</v>
      </c>
      <c r="AT35" s="232">
        <f t="shared" si="26"/>
        <v>0.17399999999999999</v>
      </c>
      <c r="AU35" s="292" t="e">
        <f t="shared" si="64"/>
        <v>#NAME?</v>
      </c>
      <c r="AV35" s="235" t="e">
        <f t="shared" si="65"/>
        <v>#NAME?</v>
      </c>
      <c r="AW35" s="235" t="e">
        <f t="shared" si="66"/>
        <v>#NAME?</v>
      </c>
      <c r="AX35" s="235" t="e">
        <f t="shared" si="27"/>
        <v>#NAME?</v>
      </c>
      <c r="AY35" s="235" t="e">
        <f t="shared" si="67"/>
        <v>#NAME?</v>
      </c>
      <c r="AZ35" s="235" t="e">
        <f t="shared" si="28"/>
        <v>#NAME?</v>
      </c>
      <c r="BA35" s="235" t="e">
        <f t="shared" si="29"/>
        <v>#NAME?</v>
      </c>
      <c r="BB35" s="235" t="e">
        <f t="shared" si="30"/>
        <v>#NAME?</v>
      </c>
      <c r="BC35" s="235" t="e">
        <f t="shared" si="31"/>
        <v>#NAME?</v>
      </c>
      <c r="BD35" s="235" t="e">
        <f t="shared" si="32"/>
        <v>#NAME?</v>
      </c>
      <c r="BE35" s="235" t="e">
        <f t="shared" si="68"/>
        <v>#NAME?</v>
      </c>
      <c r="BF35" s="235" t="e">
        <f t="shared" si="69"/>
        <v>#NAME?</v>
      </c>
      <c r="BG35" s="235" t="e">
        <f t="shared" si="33"/>
        <v>#NAME?</v>
      </c>
      <c r="BH35" s="233" t="e">
        <f t="shared" si="70"/>
        <v>#NAME?</v>
      </c>
      <c r="BI35" s="175">
        <f t="shared" si="34"/>
        <v>34.799999999999997</v>
      </c>
      <c r="BJ35" s="292">
        <v>92.308864297653088</v>
      </c>
      <c r="BK35" s="235">
        <f t="shared" si="71"/>
        <v>0.92308864297653093</v>
      </c>
      <c r="BL35" s="376">
        <v>69.686114572778393</v>
      </c>
      <c r="BM35" s="294"/>
      <c r="BN35" s="387" t="e">
        <f t="shared" si="72"/>
        <v>#NAME?</v>
      </c>
      <c r="BO35" s="387" t="e">
        <f t="shared" si="73"/>
        <v>#NAME?</v>
      </c>
      <c r="BP35" s="175" t="e">
        <f t="shared" si="74"/>
        <v>#NAME?</v>
      </c>
      <c r="BQ35" s="235"/>
      <c r="BR35" s="235"/>
      <c r="BS35" s="235"/>
      <c r="BT35" s="235"/>
    </row>
    <row r="36" spans="1:72" ht="13.5" thickBot="1" x14ac:dyDescent="0.25">
      <c r="A36" s="326" t="s">
        <v>65</v>
      </c>
      <c r="B36" s="287"/>
      <c r="C36" s="326" t="s">
        <v>51</v>
      </c>
      <c r="D36" s="326" t="s">
        <v>118</v>
      </c>
      <c r="E36" s="327" t="s">
        <v>60</v>
      </c>
      <c r="F36" s="289"/>
      <c r="G36" s="289"/>
      <c r="H36" s="173">
        <v>30</v>
      </c>
      <c r="I36" s="513">
        <f t="shared" si="0"/>
        <v>3.5999999999999997E-2</v>
      </c>
      <c r="J36" s="175" t="e">
        <f t="shared" si="1"/>
        <v>#NAME?</v>
      </c>
      <c r="K36" s="232" t="e">
        <f t="shared" si="2"/>
        <v>#NAME?</v>
      </c>
      <c r="L36" s="290" t="e">
        <f t="shared" si="3"/>
        <v>#NAME?</v>
      </c>
      <c r="M36" s="208" t="e">
        <f t="shared" si="55"/>
        <v>#NAME?</v>
      </c>
      <c r="N36" s="291" t="e">
        <f t="shared" si="4"/>
        <v>#NAME?</v>
      </c>
      <c r="O36" s="291">
        <f t="shared" si="5"/>
        <v>1.1356409557554284E-4</v>
      </c>
      <c r="P36" s="233" t="e">
        <f t="shared" si="56"/>
        <v>#NAME?</v>
      </c>
      <c r="Q36" s="232" t="e">
        <f t="shared" si="6"/>
        <v>#NAME?</v>
      </c>
      <c r="R36" s="232" t="e">
        <f t="shared" si="7"/>
        <v>#NAME?</v>
      </c>
      <c r="S36" s="517" t="e">
        <f t="shared" si="8"/>
        <v>#NAME?</v>
      </c>
      <c r="T36" s="232" t="e">
        <f t="shared" si="57"/>
        <v>#NAME?</v>
      </c>
      <c r="U36" s="233" t="e">
        <f t="shared" si="9"/>
        <v>#NAME?</v>
      </c>
      <c r="V36" s="232" t="e">
        <f t="shared" si="10"/>
        <v>#NAME?</v>
      </c>
      <c r="W36" s="232" t="e">
        <f t="shared" si="58"/>
        <v>#NAME?</v>
      </c>
      <c r="X36" s="232" t="e">
        <f t="shared" si="11"/>
        <v>#NAME?</v>
      </c>
      <c r="Y36" s="234" t="e">
        <f t="shared" si="12"/>
        <v>#NAME?</v>
      </c>
      <c r="Z36" s="234" t="e">
        <f t="shared" si="59"/>
        <v>#NAME?</v>
      </c>
      <c r="AA36" s="232" t="e">
        <f t="shared" si="13"/>
        <v>#NAME?</v>
      </c>
      <c r="AB36" s="232" t="e">
        <f t="shared" si="14"/>
        <v>#NAME?</v>
      </c>
      <c r="AC36" s="232" t="e">
        <f t="shared" si="15"/>
        <v>#NAME?</v>
      </c>
      <c r="AD36">
        <v>20</v>
      </c>
      <c r="AE36" s="208">
        <v>10</v>
      </c>
      <c r="AF36" s="232" t="e">
        <f t="shared" si="16"/>
        <v>#NAME?</v>
      </c>
      <c r="AG36" s="232" t="e">
        <f t="shared" si="17"/>
        <v>#NAME?</v>
      </c>
      <c r="AH36" s="232" t="e">
        <f t="shared" si="60"/>
        <v>#NAME?</v>
      </c>
      <c r="AI36" s="232" t="e">
        <f t="shared" si="18"/>
        <v>#NAME?</v>
      </c>
      <c r="AJ36" s="232" t="e">
        <f t="shared" si="19"/>
        <v>#NAME?</v>
      </c>
      <c r="AK36" s="232" t="e">
        <f t="shared" si="20"/>
        <v>#NAME?</v>
      </c>
      <c r="AL36" s="232">
        <f t="shared" si="21"/>
        <v>0</v>
      </c>
      <c r="AM36" s="232" t="e">
        <f t="shared" si="22"/>
        <v>#NAME?</v>
      </c>
      <c r="AN36" s="232" t="e">
        <f t="shared" si="61"/>
        <v>#NAME?</v>
      </c>
      <c r="AO36" s="232" t="e">
        <f t="shared" si="23"/>
        <v>#NAME?</v>
      </c>
      <c r="AP36" s="232" t="e">
        <f t="shared" si="24"/>
        <v>#NAME?</v>
      </c>
      <c r="AQ36" s="232" t="e">
        <f t="shared" si="62"/>
        <v>#NAME?</v>
      </c>
      <c r="AR36" s="232" t="e">
        <f t="shared" si="63"/>
        <v>#NAME?</v>
      </c>
      <c r="AS36" s="232" t="e">
        <f t="shared" si="25"/>
        <v>#NAME?</v>
      </c>
      <c r="AT36" s="232">
        <f t="shared" si="26"/>
        <v>0.18</v>
      </c>
      <c r="AU36" s="292" t="e">
        <f t="shared" si="64"/>
        <v>#NAME?</v>
      </c>
      <c r="AV36" s="235" t="e">
        <f t="shared" si="65"/>
        <v>#NAME?</v>
      </c>
      <c r="AW36" s="235" t="e">
        <f t="shared" si="66"/>
        <v>#NAME?</v>
      </c>
      <c r="AX36" s="235" t="e">
        <f t="shared" si="27"/>
        <v>#NAME?</v>
      </c>
      <c r="AY36" s="235" t="e">
        <f t="shared" si="67"/>
        <v>#NAME?</v>
      </c>
      <c r="AZ36" s="235" t="e">
        <f t="shared" si="28"/>
        <v>#NAME?</v>
      </c>
      <c r="BA36" s="235" t="e">
        <f t="shared" si="29"/>
        <v>#NAME?</v>
      </c>
      <c r="BB36" s="235" t="e">
        <f t="shared" si="30"/>
        <v>#NAME?</v>
      </c>
      <c r="BC36" s="235" t="e">
        <f t="shared" si="31"/>
        <v>#NAME?</v>
      </c>
      <c r="BD36" s="235" t="e">
        <f t="shared" si="32"/>
        <v>#NAME?</v>
      </c>
      <c r="BE36" s="235" t="e">
        <f t="shared" si="68"/>
        <v>#NAME?</v>
      </c>
      <c r="BF36" s="235" t="e">
        <f t="shared" si="69"/>
        <v>#NAME?</v>
      </c>
      <c r="BG36" s="235" t="e">
        <f t="shared" si="33"/>
        <v>#NAME?</v>
      </c>
      <c r="BH36" s="233" t="e">
        <f t="shared" si="70"/>
        <v>#NAME?</v>
      </c>
      <c r="BI36" s="175">
        <f t="shared" si="34"/>
        <v>36</v>
      </c>
      <c r="BJ36" s="292">
        <v>92.319374800396361</v>
      </c>
      <c r="BK36" s="235">
        <f t="shared" si="71"/>
        <v>0.92319374800396359</v>
      </c>
      <c r="BL36" s="376">
        <v>71.112154808729358</v>
      </c>
      <c r="BM36" s="294"/>
      <c r="BN36" s="387" t="e">
        <f t="shared" si="72"/>
        <v>#NAME?</v>
      </c>
      <c r="BO36" s="387" t="e">
        <f t="shared" si="73"/>
        <v>#NAME?</v>
      </c>
      <c r="BP36" s="175" t="e">
        <f t="shared" si="74"/>
        <v>#NAME?</v>
      </c>
      <c r="BQ36" s="235"/>
      <c r="BR36" s="235"/>
      <c r="BS36" s="235"/>
      <c r="BT36" s="235"/>
    </row>
    <row r="37" spans="1:72" ht="13.5" thickBot="1" x14ac:dyDescent="0.25">
      <c r="A37" s="317" t="s">
        <v>365</v>
      </c>
      <c r="B37" s="335">
        <v>30</v>
      </c>
      <c r="C37" s="304" t="s">
        <v>50</v>
      </c>
      <c r="D37" s="306">
        <f>B37/1000000000</f>
        <v>2.9999999999999997E-8</v>
      </c>
      <c r="E37" s="174" t="s">
        <v>366</v>
      </c>
      <c r="F37" s="289"/>
      <c r="G37" s="289"/>
      <c r="H37" s="173">
        <v>31</v>
      </c>
      <c r="I37" s="513">
        <f t="shared" si="0"/>
        <v>3.7199999999999997E-2</v>
      </c>
      <c r="J37" s="175" t="e">
        <f t="shared" si="1"/>
        <v>#NAME?</v>
      </c>
      <c r="K37" s="232" t="e">
        <f t="shared" si="2"/>
        <v>#NAME?</v>
      </c>
      <c r="L37" s="290" t="e">
        <f t="shared" si="3"/>
        <v>#NAME?</v>
      </c>
      <c r="M37" s="208" t="e">
        <f t="shared" si="55"/>
        <v>#NAME?</v>
      </c>
      <c r="N37" s="291" t="e">
        <f t="shared" si="4"/>
        <v>#NAME?</v>
      </c>
      <c r="O37" s="291">
        <f t="shared" si="5"/>
        <v>1.0990073765375114E-4</v>
      </c>
      <c r="P37" s="233" t="e">
        <f t="shared" si="56"/>
        <v>#NAME?</v>
      </c>
      <c r="Q37" s="232" t="e">
        <f t="shared" si="6"/>
        <v>#NAME?</v>
      </c>
      <c r="R37" s="232" t="e">
        <f t="shared" si="7"/>
        <v>#NAME?</v>
      </c>
      <c r="S37" s="517" t="e">
        <f t="shared" si="8"/>
        <v>#NAME?</v>
      </c>
      <c r="T37" s="232" t="e">
        <f t="shared" si="57"/>
        <v>#NAME?</v>
      </c>
      <c r="U37" s="233" t="e">
        <f t="shared" si="9"/>
        <v>#NAME?</v>
      </c>
      <c r="V37" s="232" t="e">
        <f t="shared" si="10"/>
        <v>#NAME?</v>
      </c>
      <c r="W37" s="232" t="e">
        <f t="shared" si="58"/>
        <v>#NAME?</v>
      </c>
      <c r="X37" s="232" t="e">
        <f t="shared" si="11"/>
        <v>#NAME?</v>
      </c>
      <c r="Y37" s="234" t="e">
        <f t="shared" si="12"/>
        <v>#NAME?</v>
      </c>
      <c r="Z37" s="234" t="e">
        <f t="shared" si="59"/>
        <v>#NAME?</v>
      </c>
      <c r="AA37" s="232" t="e">
        <f t="shared" si="13"/>
        <v>#NAME?</v>
      </c>
      <c r="AB37" s="232" t="e">
        <f t="shared" si="14"/>
        <v>#NAME?</v>
      </c>
      <c r="AC37" s="232" t="e">
        <f t="shared" si="15"/>
        <v>#NAME?</v>
      </c>
      <c r="AD37">
        <v>20</v>
      </c>
      <c r="AE37" s="208">
        <v>10</v>
      </c>
      <c r="AF37" s="232" t="e">
        <f t="shared" si="16"/>
        <v>#NAME?</v>
      </c>
      <c r="AG37" s="232" t="e">
        <f t="shared" si="17"/>
        <v>#NAME?</v>
      </c>
      <c r="AH37" s="232" t="e">
        <f t="shared" si="60"/>
        <v>#NAME?</v>
      </c>
      <c r="AI37" s="232" t="e">
        <f t="shared" si="18"/>
        <v>#NAME?</v>
      </c>
      <c r="AJ37" s="232" t="e">
        <f t="shared" si="19"/>
        <v>#NAME?</v>
      </c>
      <c r="AK37" s="232" t="e">
        <f t="shared" si="20"/>
        <v>#NAME?</v>
      </c>
      <c r="AL37" s="232">
        <f t="shared" si="21"/>
        <v>0</v>
      </c>
      <c r="AM37" s="232" t="e">
        <f t="shared" si="22"/>
        <v>#NAME?</v>
      </c>
      <c r="AN37" s="232" t="e">
        <f t="shared" si="61"/>
        <v>#NAME?</v>
      </c>
      <c r="AO37" s="232" t="e">
        <f t="shared" si="23"/>
        <v>#NAME?</v>
      </c>
      <c r="AP37" s="232" t="e">
        <f t="shared" si="24"/>
        <v>#NAME?</v>
      </c>
      <c r="AQ37" s="232" t="e">
        <f t="shared" si="62"/>
        <v>#NAME?</v>
      </c>
      <c r="AR37" s="232" t="e">
        <f t="shared" si="63"/>
        <v>#NAME?</v>
      </c>
      <c r="AS37" s="232" t="e">
        <f t="shared" si="25"/>
        <v>#NAME?</v>
      </c>
      <c r="AT37" s="232">
        <f t="shared" si="26"/>
        <v>0.186</v>
      </c>
      <c r="AU37" s="292" t="e">
        <f t="shared" si="64"/>
        <v>#NAME?</v>
      </c>
      <c r="AV37" s="235" t="e">
        <f t="shared" si="65"/>
        <v>#NAME?</v>
      </c>
      <c r="AW37" s="235" t="e">
        <f t="shared" si="66"/>
        <v>#NAME?</v>
      </c>
      <c r="AX37" s="235" t="e">
        <f t="shared" si="27"/>
        <v>#NAME?</v>
      </c>
      <c r="AY37" s="235" t="e">
        <f t="shared" si="67"/>
        <v>#NAME?</v>
      </c>
      <c r="AZ37" s="235" t="e">
        <f t="shared" si="28"/>
        <v>#NAME?</v>
      </c>
      <c r="BA37" s="235" t="e">
        <f t="shared" si="29"/>
        <v>#NAME?</v>
      </c>
      <c r="BB37" s="235" t="e">
        <f t="shared" si="30"/>
        <v>#NAME?</v>
      </c>
      <c r="BC37" s="235" t="e">
        <f t="shared" si="31"/>
        <v>#NAME?</v>
      </c>
      <c r="BD37" s="235" t="e">
        <f t="shared" si="32"/>
        <v>#NAME?</v>
      </c>
      <c r="BE37" s="235" t="e">
        <f t="shared" si="68"/>
        <v>#NAME?</v>
      </c>
      <c r="BF37" s="235" t="e">
        <f t="shared" si="69"/>
        <v>#NAME?</v>
      </c>
      <c r="BG37" s="235" t="e">
        <f t="shared" si="33"/>
        <v>#NAME?</v>
      </c>
      <c r="BH37" s="233" t="e">
        <f t="shared" si="70"/>
        <v>#NAME?</v>
      </c>
      <c r="BI37" s="175">
        <f t="shared" si="34"/>
        <v>37.199999999999996</v>
      </c>
      <c r="BJ37" s="292">
        <v>92.329229439893751</v>
      </c>
      <c r="BK37" s="235">
        <f t="shared" si="71"/>
        <v>0.92329229439893756</v>
      </c>
      <c r="BL37" s="376">
        <v>72.464575024486365</v>
      </c>
      <c r="BM37" s="294"/>
      <c r="BN37" s="387" t="e">
        <f t="shared" si="72"/>
        <v>#NAME?</v>
      </c>
      <c r="BO37" s="387" t="e">
        <f t="shared" si="73"/>
        <v>#NAME?</v>
      </c>
      <c r="BP37" s="175" t="e">
        <f t="shared" si="74"/>
        <v>#NAME?</v>
      </c>
      <c r="BQ37" s="235"/>
      <c r="BR37" s="235"/>
      <c r="BS37" s="235"/>
      <c r="BT37" s="235"/>
    </row>
    <row r="38" spans="1:72" ht="13.5" thickBot="1" x14ac:dyDescent="0.25">
      <c r="A38" s="331" t="s">
        <v>367</v>
      </c>
      <c r="B38" s="335">
        <v>30</v>
      </c>
      <c r="C38" s="304" t="s">
        <v>50</v>
      </c>
      <c r="D38" s="306">
        <f>B38/1000000000</f>
        <v>2.9999999999999997E-8</v>
      </c>
      <c r="E38" s="174" t="s">
        <v>434</v>
      </c>
      <c r="H38" s="173">
        <v>32</v>
      </c>
      <c r="I38" s="513">
        <f t="shared" ref="I38:I69" si="75">IF(PLOT_TYPE=1, H38/100*Iout_maxload_PFM, min_I*EXP(H38*rr/100))</f>
        <v>3.8399999999999997E-2</v>
      </c>
      <c r="J38" s="175" t="e">
        <f t="shared" ref="J38:J69" si="76">IripplePFM</f>
        <v>#NAME?</v>
      </c>
      <c r="K38" s="232" t="e">
        <f t="shared" ref="K38:K69" si="77">I38*D*P38</f>
        <v>#NAME?</v>
      </c>
      <c r="L38" s="290" t="e">
        <f t="shared" si="3"/>
        <v>#NAME?</v>
      </c>
      <c r="M38" s="208" t="e">
        <f t="shared" si="55"/>
        <v>#NAME?</v>
      </c>
      <c r="N38" s="291" t="e">
        <f t="shared" ref="N38:N69" si="78">Cout*Vout_hys/(Ioutmax-I38)</f>
        <v>#NAME?</v>
      </c>
      <c r="O38" s="291">
        <f t="shared" ref="O38:O69" si="79">Cout*Vout_hys/I38</f>
        <v>1.0646633960207142E-4</v>
      </c>
      <c r="P38" s="233" t="e">
        <f t="shared" si="56"/>
        <v>#NAME?</v>
      </c>
      <c r="Q38" s="232" t="e">
        <f t="shared" ref="Q38:Q69" si="80">IripplePFM/SQRT(3)*SQRT(P38)</f>
        <v>#NAME?</v>
      </c>
      <c r="R38" s="232" t="e">
        <f t="shared" si="7"/>
        <v>#NAME?</v>
      </c>
      <c r="S38" s="517" t="e">
        <f t="shared" ref="S38:S69" si="81">P38*Fsw^2.5*(IripplePFM/2)^2.5*k_core</f>
        <v>#NAME?</v>
      </c>
      <c r="T38" s="232" t="e">
        <f t="shared" si="57"/>
        <v>#NAME?</v>
      </c>
      <c r="U38" s="233" t="e">
        <f t="shared" ref="U38:U69" si="82">SQRT((((I38*(1-P38)/P38)^2+Ilim^2/12)*P38)+I38^2*(1-P38))</f>
        <v>#NAME?</v>
      </c>
      <c r="V38" s="232" t="e">
        <f t="shared" si="10"/>
        <v>#NAME?</v>
      </c>
      <c r="W38" s="232" t="e">
        <f t="shared" si="58"/>
        <v>#NAME?</v>
      </c>
      <c r="X38" s="232" t="e">
        <f t="shared" si="11"/>
        <v>#NAME?</v>
      </c>
      <c r="Y38" s="234" t="e">
        <f t="shared" si="12"/>
        <v>#NAME?</v>
      </c>
      <c r="Z38" s="234" t="e">
        <f t="shared" si="59"/>
        <v>#NAME?</v>
      </c>
      <c r="AA38" s="232" t="e">
        <f t="shared" si="13"/>
        <v>#NAME?</v>
      </c>
      <c r="AB38" s="232" t="e">
        <f t="shared" si="14"/>
        <v>#NAME?</v>
      </c>
      <c r="AC38" s="232" t="e">
        <f t="shared" si="15"/>
        <v>#NAME?</v>
      </c>
      <c r="AD38">
        <v>20</v>
      </c>
      <c r="AE38" s="208">
        <v>10</v>
      </c>
      <c r="AF38" s="232" t="e">
        <f t="shared" si="16"/>
        <v>#NAME?</v>
      </c>
      <c r="AG38" s="232" t="e">
        <f t="shared" si="17"/>
        <v>#NAME?</v>
      </c>
      <c r="AH38" s="232" t="e">
        <f t="shared" si="60"/>
        <v>#NAME?</v>
      </c>
      <c r="AI38" s="232" t="e">
        <f t="shared" si="18"/>
        <v>#NAME?</v>
      </c>
      <c r="AJ38" s="232" t="e">
        <f t="shared" si="19"/>
        <v>#NAME?</v>
      </c>
      <c r="AK38" s="232" t="e">
        <f t="shared" si="20"/>
        <v>#NAME?</v>
      </c>
      <c r="AL38" s="232">
        <f t="shared" si="21"/>
        <v>0</v>
      </c>
      <c r="AM38" s="232" t="e">
        <f t="shared" si="22"/>
        <v>#NAME?</v>
      </c>
      <c r="AN38" s="232" t="e">
        <f t="shared" si="61"/>
        <v>#NAME?</v>
      </c>
      <c r="AO38" s="232" t="e">
        <f t="shared" ref="AO38:AO69" si="83">Vin*(Iq_active*(N38+Tsleep)+Iq_sleep*(O38-Tsleep))/(N38+O38)+Vout*Ifb/0.7</f>
        <v>#NAME?</v>
      </c>
      <c r="AP38" s="232" t="e">
        <f t="shared" si="24"/>
        <v>#NAME?</v>
      </c>
      <c r="AQ38" s="232" t="e">
        <f t="shared" si="62"/>
        <v>#NAME?</v>
      </c>
      <c r="AR38" s="232" t="e">
        <f t="shared" si="63"/>
        <v>#NAME?</v>
      </c>
      <c r="AS38" s="232" t="e">
        <f t="shared" si="25"/>
        <v>#NAME?</v>
      </c>
      <c r="AT38" s="232">
        <f t="shared" ref="AT38:AT69" si="84">Vout*I38</f>
        <v>0.19199999999999998</v>
      </c>
      <c r="AU38" s="292" t="e">
        <f t="shared" si="64"/>
        <v>#NAME?</v>
      </c>
      <c r="AV38" s="235" t="e">
        <f t="shared" si="65"/>
        <v>#NAME?</v>
      </c>
      <c r="AW38" s="235" t="e">
        <f t="shared" si="66"/>
        <v>#NAME?</v>
      </c>
      <c r="AX38" s="235" t="e">
        <f t="shared" si="27"/>
        <v>#NAME?</v>
      </c>
      <c r="AY38" s="235" t="e">
        <f t="shared" si="67"/>
        <v>#NAME?</v>
      </c>
      <c r="AZ38" s="235" t="e">
        <f t="shared" si="28"/>
        <v>#NAME?</v>
      </c>
      <c r="BA38" s="235" t="e">
        <f t="shared" si="29"/>
        <v>#NAME?</v>
      </c>
      <c r="BB38" s="235" t="e">
        <f t="shared" ref="BB38:BB69" si="85">R38/($AT38+$AS38)</f>
        <v>#NAME?</v>
      </c>
      <c r="BC38" s="235" t="e">
        <f t="shared" ref="BC38:BC69" si="86">S38/($AT38+$AS38)</f>
        <v>#NAME?</v>
      </c>
      <c r="BD38" s="235" t="e">
        <f t="shared" si="32"/>
        <v>#NAME?</v>
      </c>
      <c r="BE38" s="235" t="e">
        <f t="shared" si="68"/>
        <v>#NAME?</v>
      </c>
      <c r="BF38" s="235" t="e">
        <f t="shared" si="69"/>
        <v>#NAME?</v>
      </c>
      <c r="BG38" s="235" t="e">
        <f t="shared" si="33"/>
        <v>#NAME?</v>
      </c>
      <c r="BH38" s="233" t="e">
        <f t="shared" si="70"/>
        <v>#NAME?</v>
      </c>
      <c r="BI38" s="175">
        <f t="shared" ref="BI38:BI69" si="87">I38*1000</f>
        <v>38.4</v>
      </c>
      <c r="BJ38" s="292">
        <v>92.338489523289027</v>
      </c>
      <c r="BK38" s="235">
        <f t="shared" si="71"/>
        <v>0.92338489523289025</v>
      </c>
      <c r="BL38" s="376">
        <v>73.743640691099685</v>
      </c>
      <c r="BM38" s="294"/>
      <c r="BN38" s="387" t="e">
        <f t="shared" si="72"/>
        <v>#NAME?</v>
      </c>
      <c r="BO38" s="387" t="e">
        <f t="shared" si="73"/>
        <v>#NAME?</v>
      </c>
      <c r="BP38" s="175" t="e">
        <f t="shared" si="74"/>
        <v>#NAME?</v>
      </c>
      <c r="BQ38" s="235"/>
      <c r="BR38" s="235"/>
      <c r="BS38" s="235"/>
      <c r="BT38" s="235"/>
    </row>
    <row r="39" spans="1:72" ht="13.5" thickBot="1" x14ac:dyDescent="0.25">
      <c r="A39" s="317" t="s">
        <v>435</v>
      </c>
      <c r="B39" s="335">
        <v>1</v>
      </c>
      <c r="C39" s="304" t="s">
        <v>343</v>
      </c>
      <c r="D39" s="306">
        <f>B39/1000000</f>
        <v>9.9999999999999995E-7</v>
      </c>
      <c r="E39" s="174" t="s">
        <v>370</v>
      </c>
      <c r="H39" s="173">
        <v>33</v>
      </c>
      <c r="I39" s="513">
        <f t="shared" si="75"/>
        <v>3.9600000000000003E-2</v>
      </c>
      <c r="J39" s="175" t="e">
        <f t="shared" si="76"/>
        <v>#NAME?</v>
      </c>
      <c r="K39" s="232" t="e">
        <f t="shared" si="77"/>
        <v>#NAME?</v>
      </c>
      <c r="L39" s="290" t="e">
        <f t="shared" ref="L39:L70" si="88">OffTime</f>
        <v>#NAME?</v>
      </c>
      <c r="M39" s="208" t="e">
        <f t="shared" si="55"/>
        <v>#NAME?</v>
      </c>
      <c r="N39" s="291" t="e">
        <f t="shared" si="78"/>
        <v>#NAME?</v>
      </c>
      <c r="O39" s="291">
        <f t="shared" si="79"/>
        <v>1.0324008688685712E-4</v>
      </c>
      <c r="P39" s="233" t="e">
        <f t="shared" si="56"/>
        <v>#NAME?</v>
      </c>
      <c r="Q39" s="232" t="e">
        <f t="shared" si="80"/>
        <v>#NAME?</v>
      </c>
      <c r="R39" s="232" t="e">
        <f t="shared" ref="R39:R70" si="89">Q39^2*Rdcr</f>
        <v>#NAME?</v>
      </c>
      <c r="S39" s="517" t="e">
        <f t="shared" si="81"/>
        <v>#NAME?</v>
      </c>
      <c r="T39" s="232" t="e">
        <f t="shared" si="57"/>
        <v>#NAME?</v>
      </c>
      <c r="U39" s="233" t="e">
        <f t="shared" si="82"/>
        <v>#NAME?</v>
      </c>
      <c r="V39" s="232" t="e">
        <f t="shared" si="10"/>
        <v>#NAME?</v>
      </c>
      <c r="W39" s="232" t="e">
        <f t="shared" si="58"/>
        <v>#NAME?</v>
      </c>
      <c r="X39" s="232" t="e">
        <f t="shared" ref="X39:X70" si="90">SQRT((K39^2*(1-D)+(K39-Ilim)^2*D/3))*P39+(K39^2*(1-P39))</f>
        <v>#NAME?</v>
      </c>
      <c r="Y39" s="234" t="e">
        <f t="shared" si="12"/>
        <v>#NAME?</v>
      </c>
      <c r="Z39" s="234" t="e">
        <f t="shared" si="59"/>
        <v>#NAME?</v>
      </c>
      <c r="AA39" s="232" t="e">
        <f t="shared" ref="AA39:AA70" si="91">Ilim*SQRT(P39*D/3)</f>
        <v>#NAME?</v>
      </c>
      <c r="AB39" s="232" t="e">
        <f t="shared" ref="AB39:AB70" si="92">RdsonTop*AA39^2</f>
        <v>#NAME?</v>
      </c>
      <c r="AC39" s="232" t="e">
        <f t="shared" ref="AC39:AC70" si="93">QgTop*P39*Vdd*Fsw</f>
        <v>#NAME?</v>
      </c>
      <c r="AD39">
        <v>20</v>
      </c>
      <c r="AE39" s="208">
        <v>10</v>
      </c>
      <c r="AF39" s="232" t="e">
        <f t="shared" ref="AF39:AF70" si="94">Vin*Ilim*Tf/2*Fsw*P39</f>
        <v>#NAME?</v>
      </c>
      <c r="AG39" s="232" t="e">
        <f t="shared" ref="AG39:AG70" si="95">Coss*Vin^2*Fsw*P39/2</f>
        <v>#NAME?</v>
      </c>
      <c r="AH39" s="232" t="e">
        <f t="shared" si="60"/>
        <v>#NAME?</v>
      </c>
      <c r="AI39" s="232" t="e">
        <f t="shared" ref="AI39:AI70" si="96">Ilim*SQRT(P39*(1-D)/3)</f>
        <v>#NAME?</v>
      </c>
      <c r="AJ39" s="232" t="e">
        <f t="shared" ref="AJ39:AJ70" si="97">RdsonBot*AI39^2</f>
        <v>#NAME?</v>
      </c>
      <c r="AK39" s="232" t="e">
        <f t="shared" ref="AK39:AK70" si="98">QgBot*P39*Vdd*Fsw</f>
        <v>#NAME?</v>
      </c>
      <c r="AL39" s="232">
        <f t="shared" ref="AL39:AL70" si="99">Vin*Idss</f>
        <v>0</v>
      </c>
      <c r="AM39" s="232" t="e">
        <f t="shared" ref="AM39:AM70" si="100">dead1*P39*Ilim*((Ilim)*BDserR+VSD)*Fsw</f>
        <v>#NAME?</v>
      </c>
      <c r="AN39" s="232" t="e">
        <f t="shared" si="61"/>
        <v>#NAME?</v>
      </c>
      <c r="AO39" s="232" t="e">
        <f t="shared" si="83"/>
        <v>#NAME?</v>
      </c>
      <c r="AP39" s="232" t="e">
        <f t="shared" ref="AP39:AP70" si="101">(Vin-Vdd)*Fsw*(QgBot+QgTop)*P39+AO39</f>
        <v>#NAME?</v>
      </c>
      <c r="AQ39" s="232" t="e">
        <f t="shared" si="62"/>
        <v>#NAME?</v>
      </c>
      <c r="AR39" s="232" t="e">
        <f t="shared" si="63"/>
        <v>#NAME?</v>
      </c>
      <c r="AS39" s="232" t="e">
        <f t="shared" si="25"/>
        <v>#NAME?</v>
      </c>
      <c r="AT39" s="232">
        <f t="shared" si="84"/>
        <v>0.19800000000000001</v>
      </c>
      <c r="AU39" s="292" t="e">
        <f t="shared" si="64"/>
        <v>#NAME?</v>
      </c>
      <c r="AV39" s="235" t="e">
        <f t="shared" si="65"/>
        <v>#NAME?</v>
      </c>
      <c r="AW39" s="235" t="e">
        <f t="shared" si="66"/>
        <v>#NAME?</v>
      </c>
      <c r="AX39" s="235" t="e">
        <f t="shared" ref="AX39:AX70" si="102">Vin*Fsw*P39*(QgBot+QgTop)/($AT39+$AS39)</f>
        <v>#NAME?</v>
      </c>
      <c r="AY39" s="235" t="e">
        <f t="shared" si="67"/>
        <v>#NAME?</v>
      </c>
      <c r="AZ39" s="235" t="e">
        <f t="shared" si="28"/>
        <v>#NAME?</v>
      </c>
      <c r="BA39" s="235" t="e">
        <f t="shared" si="29"/>
        <v>#NAME?</v>
      </c>
      <c r="BB39" s="235" t="e">
        <f t="shared" si="85"/>
        <v>#NAME?</v>
      </c>
      <c r="BC39" s="235" t="e">
        <f t="shared" si="86"/>
        <v>#NAME?</v>
      </c>
      <c r="BD39" s="235" t="e">
        <f t="shared" si="32"/>
        <v>#NAME?</v>
      </c>
      <c r="BE39" s="235" t="e">
        <f t="shared" si="68"/>
        <v>#NAME?</v>
      </c>
      <c r="BF39" s="235" t="e">
        <f t="shared" si="69"/>
        <v>#NAME?</v>
      </c>
      <c r="BG39" s="235" t="e">
        <f t="shared" si="33"/>
        <v>#NAME?</v>
      </c>
      <c r="BH39" s="233" t="e">
        <f t="shared" si="70"/>
        <v>#NAME?</v>
      </c>
      <c r="BI39" s="175">
        <f t="shared" si="87"/>
        <v>39.6</v>
      </c>
      <c r="BJ39" s="292">
        <v>92.347208948299397</v>
      </c>
      <c r="BK39" s="235">
        <f t="shared" si="71"/>
        <v>0.92347208948299397</v>
      </c>
      <c r="BL39" s="376">
        <v>74.950176722447694</v>
      </c>
      <c r="BM39" s="294"/>
      <c r="BN39" s="387" t="e">
        <f t="shared" si="72"/>
        <v>#NAME?</v>
      </c>
      <c r="BO39" s="387" t="e">
        <f t="shared" si="73"/>
        <v>#NAME?</v>
      </c>
      <c r="BP39" s="175" t="e">
        <f t="shared" si="74"/>
        <v>#NAME?</v>
      </c>
      <c r="BQ39" s="235"/>
      <c r="BR39" s="235"/>
      <c r="BS39" s="235"/>
      <c r="BT39" s="235"/>
    </row>
    <row r="40" spans="1:72" ht="13.5" thickBot="1" x14ac:dyDescent="0.25">
      <c r="A40" s="317" t="s">
        <v>436</v>
      </c>
      <c r="B40" s="335">
        <v>205</v>
      </c>
      <c r="C40" s="304" t="s">
        <v>372</v>
      </c>
      <c r="D40" s="306">
        <f t="shared" ref="D40:D41" si="103">B40/1000000</f>
        <v>2.05E-4</v>
      </c>
      <c r="E40" s="174" t="s">
        <v>373</v>
      </c>
      <c r="H40" s="173">
        <v>34</v>
      </c>
      <c r="I40" s="513">
        <f t="shared" si="75"/>
        <v>4.0800000000000003E-2</v>
      </c>
      <c r="J40" s="175" t="e">
        <f t="shared" si="76"/>
        <v>#NAME?</v>
      </c>
      <c r="K40" s="232" t="e">
        <f t="shared" si="77"/>
        <v>#NAME?</v>
      </c>
      <c r="L40" s="290" t="e">
        <f t="shared" si="88"/>
        <v>#NAME?</v>
      </c>
      <c r="M40" s="208" t="e">
        <f t="shared" si="55"/>
        <v>#NAME?</v>
      </c>
      <c r="N40" s="291" t="e">
        <f t="shared" si="78"/>
        <v>#NAME?</v>
      </c>
      <c r="O40" s="291">
        <f t="shared" si="79"/>
        <v>1.0020361374312603E-4</v>
      </c>
      <c r="P40" s="233" t="e">
        <f t="shared" si="56"/>
        <v>#NAME?</v>
      </c>
      <c r="Q40" s="232" t="e">
        <f t="shared" si="80"/>
        <v>#NAME?</v>
      </c>
      <c r="R40" s="232" t="e">
        <f t="shared" si="89"/>
        <v>#NAME?</v>
      </c>
      <c r="S40" s="517" t="e">
        <f t="shared" si="81"/>
        <v>#NAME?</v>
      </c>
      <c r="T40" s="232" t="e">
        <f t="shared" si="57"/>
        <v>#NAME?</v>
      </c>
      <c r="U40" s="233" t="e">
        <f t="shared" si="82"/>
        <v>#NAME?</v>
      </c>
      <c r="V40" s="232" t="e">
        <f t="shared" si="10"/>
        <v>#NAME?</v>
      </c>
      <c r="W40" s="232" t="e">
        <f t="shared" si="58"/>
        <v>#NAME?</v>
      </c>
      <c r="X40" s="232" t="e">
        <f t="shared" si="90"/>
        <v>#NAME?</v>
      </c>
      <c r="Y40" s="234" t="e">
        <f t="shared" si="12"/>
        <v>#NAME?</v>
      </c>
      <c r="Z40" s="234" t="e">
        <f t="shared" si="59"/>
        <v>#NAME?</v>
      </c>
      <c r="AA40" s="232" t="e">
        <f t="shared" si="91"/>
        <v>#NAME?</v>
      </c>
      <c r="AB40" s="232" t="e">
        <f t="shared" si="92"/>
        <v>#NAME?</v>
      </c>
      <c r="AC40" s="232" t="e">
        <f t="shared" si="93"/>
        <v>#NAME?</v>
      </c>
      <c r="AD40">
        <v>20</v>
      </c>
      <c r="AE40" s="208">
        <v>10</v>
      </c>
      <c r="AF40" s="232" t="e">
        <f t="shared" si="94"/>
        <v>#NAME?</v>
      </c>
      <c r="AG40" s="232" t="e">
        <f t="shared" si="95"/>
        <v>#NAME?</v>
      </c>
      <c r="AH40" s="232" t="e">
        <f t="shared" si="60"/>
        <v>#NAME?</v>
      </c>
      <c r="AI40" s="232" t="e">
        <f t="shared" si="96"/>
        <v>#NAME?</v>
      </c>
      <c r="AJ40" s="232" t="e">
        <f t="shared" si="97"/>
        <v>#NAME?</v>
      </c>
      <c r="AK40" s="232" t="e">
        <f t="shared" si="98"/>
        <v>#NAME?</v>
      </c>
      <c r="AL40" s="232">
        <f t="shared" si="99"/>
        <v>0</v>
      </c>
      <c r="AM40" s="232" t="e">
        <f t="shared" si="100"/>
        <v>#NAME?</v>
      </c>
      <c r="AN40" s="232" t="e">
        <f t="shared" si="61"/>
        <v>#NAME?</v>
      </c>
      <c r="AO40" s="232" t="e">
        <f t="shared" si="83"/>
        <v>#NAME?</v>
      </c>
      <c r="AP40" s="232" t="e">
        <f t="shared" si="101"/>
        <v>#NAME?</v>
      </c>
      <c r="AQ40" s="232" t="e">
        <f t="shared" si="62"/>
        <v>#NAME?</v>
      </c>
      <c r="AR40" s="232" t="e">
        <f t="shared" si="63"/>
        <v>#NAME?</v>
      </c>
      <c r="AS40" s="232" t="e">
        <f t="shared" si="25"/>
        <v>#NAME?</v>
      </c>
      <c r="AT40" s="232">
        <f t="shared" si="84"/>
        <v>0.20400000000000001</v>
      </c>
      <c r="AU40" s="292" t="e">
        <f t="shared" si="64"/>
        <v>#NAME?</v>
      </c>
      <c r="AV40" s="235" t="e">
        <f t="shared" si="65"/>
        <v>#NAME?</v>
      </c>
      <c r="AW40" s="235" t="e">
        <f t="shared" si="66"/>
        <v>#NAME?</v>
      </c>
      <c r="AX40" s="235" t="e">
        <f t="shared" si="102"/>
        <v>#NAME?</v>
      </c>
      <c r="AY40" s="235" t="e">
        <f t="shared" si="67"/>
        <v>#NAME?</v>
      </c>
      <c r="AZ40" s="235" t="e">
        <f t="shared" si="28"/>
        <v>#NAME?</v>
      </c>
      <c r="BA40" s="235" t="e">
        <f t="shared" si="29"/>
        <v>#NAME?</v>
      </c>
      <c r="BB40" s="235" t="e">
        <f t="shared" si="85"/>
        <v>#NAME?</v>
      </c>
      <c r="BC40" s="235" t="e">
        <f t="shared" si="86"/>
        <v>#NAME?</v>
      </c>
      <c r="BD40" s="235" t="e">
        <f t="shared" si="32"/>
        <v>#NAME?</v>
      </c>
      <c r="BE40" s="235" t="e">
        <f t="shared" si="68"/>
        <v>#NAME?</v>
      </c>
      <c r="BF40" s="235" t="e">
        <f t="shared" si="69"/>
        <v>#NAME?</v>
      </c>
      <c r="BG40" s="235" t="e">
        <f t="shared" si="33"/>
        <v>#NAME?</v>
      </c>
      <c r="BH40" s="233" t="e">
        <f t="shared" si="70"/>
        <v>#NAME?</v>
      </c>
      <c r="BI40" s="175">
        <f t="shared" si="87"/>
        <v>40.800000000000004</v>
      </c>
      <c r="BJ40" s="292">
        <v>92.355435289750346</v>
      </c>
      <c r="BK40" s="235">
        <f t="shared" si="71"/>
        <v>0.92355435289750343</v>
      </c>
      <c r="BL40" s="376">
        <v>76.085496631192584</v>
      </c>
      <c r="BM40" s="294"/>
      <c r="BN40" s="387" t="e">
        <f t="shared" si="72"/>
        <v>#NAME?</v>
      </c>
      <c r="BO40" s="387" t="e">
        <f t="shared" si="73"/>
        <v>#NAME?</v>
      </c>
      <c r="BP40" s="175" t="e">
        <f t="shared" si="74"/>
        <v>#NAME?</v>
      </c>
      <c r="BQ40" s="235"/>
      <c r="BR40" s="235"/>
      <c r="BS40" s="235"/>
      <c r="BT40" s="235"/>
    </row>
    <row r="41" spans="1:72" x14ac:dyDescent="0.2">
      <c r="A41" s="317" t="s">
        <v>437</v>
      </c>
      <c r="B41" s="335">
        <v>10.5</v>
      </c>
      <c r="C41" s="304" t="s">
        <v>372</v>
      </c>
      <c r="D41" s="306">
        <f t="shared" si="103"/>
        <v>1.0499999999999999E-5</v>
      </c>
      <c r="E41" s="174" t="s">
        <v>375</v>
      </c>
      <c r="H41" s="173">
        <v>35</v>
      </c>
      <c r="I41" s="513">
        <f t="shared" si="75"/>
        <v>4.1999999999999996E-2</v>
      </c>
      <c r="J41" s="175" t="e">
        <f t="shared" si="76"/>
        <v>#NAME?</v>
      </c>
      <c r="K41" s="232" t="e">
        <f t="shared" si="77"/>
        <v>#NAME?</v>
      </c>
      <c r="L41" s="290" t="e">
        <f t="shared" si="88"/>
        <v>#NAME?</v>
      </c>
      <c r="M41" s="208" t="e">
        <f t="shared" si="55"/>
        <v>#NAME?</v>
      </c>
      <c r="N41" s="291" t="e">
        <f t="shared" si="78"/>
        <v>#NAME?</v>
      </c>
      <c r="O41" s="291">
        <f t="shared" si="79"/>
        <v>9.7340653350465296E-5</v>
      </c>
      <c r="P41" s="233" t="e">
        <f t="shared" si="56"/>
        <v>#NAME?</v>
      </c>
      <c r="Q41" s="232" t="e">
        <f t="shared" si="80"/>
        <v>#NAME?</v>
      </c>
      <c r="R41" s="232" t="e">
        <f t="shared" si="89"/>
        <v>#NAME?</v>
      </c>
      <c r="S41" s="517" t="e">
        <f t="shared" si="81"/>
        <v>#NAME?</v>
      </c>
      <c r="T41" s="232" t="e">
        <f t="shared" si="57"/>
        <v>#NAME?</v>
      </c>
      <c r="U41" s="233" t="e">
        <f t="shared" si="82"/>
        <v>#NAME?</v>
      </c>
      <c r="V41" s="232" t="e">
        <f t="shared" si="10"/>
        <v>#NAME?</v>
      </c>
      <c r="W41" s="232" t="e">
        <f t="shared" si="58"/>
        <v>#NAME?</v>
      </c>
      <c r="X41" s="232" t="e">
        <f t="shared" si="90"/>
        <v>#NAME?</v>
      </c>
      <c r="Y41" s="234" t="e">
        <f t="shared" si="12"/>
        <v>#NAME?</v>
      </c>
      <c r="Z41" s="234" t="e">
        <f t="shared" si="59"/>
        <v>#NAME?</v>
      </c>
      <c r="AA41" s="232" t="e">
        <f t="shared" si="91"/>
        <v>#NAME?</v>
      </c>
      <c r="AB41" s="232" t="e">
        <f t="shared" si="92"/>
        <v>#NAME?</v>
      </c>
      <c r="AC41" s="232" t="e">
        <f t="shared" si="93"/>
        <v>#NAME?</v>
      </c>
      <c r="AD41">
        <v>20</v>
      </c>
      <c r="AE41" s="208">
        <v>10</v>
      </c>
      <c r="AF41" s="232" t="e">
        <f t="shared" si="94"/>
        <v>#NAME?</v>
      </c>
      <c r="AG41" s="232" t="e">
        <f t="shared" si="95"/>
        <v>#NAME?</v>
      </c>
      <c r="AH41" s="232" t="e">
        <f t="shared" si="60"/>
        <v>#NAME?</v>
      </c>
      <c r="AI41" s="232" t="e">
        <f t="shared" si="96"/>
        <v>#NAME?</v>
      </c>
      <c r="AJ41" s="232" t="e">
        <f t="shared" si="97"/>
        <v>#NAME?</v>
      </c>
      <c r="AK41" s="232" t="e">
        <f t="shared" si="98"/>
        <v>#NAME?</v>
      </c>
      <c r="AL41" s="232">
        <f t="shared" si="99"/>
        <v>0</v>
      </c>
      <c r="AM41" s="232" t="e">
        <f t="shared" si="100"/>
        <v>#NAME?</v>
      </c>
      <c r="AN41" s="232" t="e">
        <f t="shared" si="61"/>
        <v>#NAME?</v>
      </c>
      <c r="AO41" s="232" t="e">
        <f t="shared" si="83"/>
        <v>#NAME?</v>
      </c>
      <c r="AP41" s="232" t="e">
        <f t="shared" si="101"/>
        <v>#NAME?</v>
      </c>
      <c r="AQ41" s="232" t="e">
        <f t="shared" si="62"/>
        <v>#NAME?</v>
      </c>
      <c r="AR41" s="232" t="e">
        <f t="shared" si="63"/>
        <v>#NAME?</v>
      </c>
      <c r="AS41" s="232" t="e">
        <f t="shared" si="25"/>
        <v>#NAME?</v>
      </c>
      <c r="AT41" s="232">
        <f t="shared" si="84"/>
        <v>0.20999999999999996</v>
      </c>
      <c r="AU41" s="292" t="e">
        <f t="shared" si="64"/>
        <v>#NAME?</v>
      </c>
      <c r="AV41" s="235" t="e">
        <f t="shared" si="65"/>
        <v>#NAME?</v>
      </c>
      <c r="AW41" s="235" t="e">
        <f t="shared" si="66"/>
        <v>#NAME?</v>
      </c>
      <c r="AX41" s="235" t="e">
        <f t="shared" si="102"/>
        <v>#NAME?</v>
      </c>
      <c r="AY41" s="235" t="e">
        <f t="shared" si="67"/>
        <v>#NAME?</v>
      </c>
      <c r="AZ41" s="235" t="e">
        <f t="shared" si="28"/>
        <v>#NAME?</v>
      </c>
      <c r="BA41" s="235" t="e">
        <f t="shared" si="29"/>
        <v>#NAME?</v>
      </c>
      <c r="BB41" s="235" t="e">
        <f t="shared" si="85"/>
        <v>#NAME?</v>
      </c>
      <c r="BC41" s="235" t="e">
        <f t="shared" si="86"/>
        <v>#NAME?</v>
      </c>
      <c r="BD41" s="235" t="e">
        <f t="shared" si="32"/>
        <v>#NAME?</v>
      </c>
      <c r="BE41" s="235" t="e">
        <f t="shared" si="68"/>
        <v>#NAME?</v>
      </c>
      <c r="BF41" s="235" t="e">
        <f t="shared" si="69"/>
        <v>#NAME?</v>
      </c>
      <c r="BG41" s="235" t="e">
        <f t="shared" si="33"/>
        <v>#NAME?</v>
      </c>
      <c r="BH41" s="233" t="e">
        <f t="shared" si="70"/>
        <v>#NAME?</v>
      </c>
      <c r="BI41" s="175">
        <f t="shared" si="87"/>
        <v>41.999999999999993</v>
      </c>
      <c r="BJ41" s="292">
        <v>92.36321070035909</v>
      </c>
      <c r="BK41" s="235">
        <f t="shared" si="71"/>
        <v>0.92363210700359089</v>
      </c>
      <c r="BL41" s="376">
        <v>77.151331197989634</v>
      </c>
      <c r="BM41" s="294"/>
      <c r="BN41" s="387" t="e">
        <f t="shared" si="72"/>
        <v>#NAME?</v>
      </c>
      <c r="BO41" s="387" t="e">
        <f t="shared" si="73"/>
        <v>#NAME?</v>
      </c>
      <c r="BP41" s="175" t="e">
        <f t="shared" si="74"/>
        <v>#NAME?</v>
      </c>
      <c r="BQ41" s="235"/>
      <c r="BR41" s="235"/>
      <c r="BS41" s="235"/>
      <c r="BT41" s="235"/>
    </row>
    <row r="42" spans="1:72" ht="13.5" thickBot="1" x14ac:dyDescent="0.25">
      <c r="A42" s="326" t="s">
        <v>376</v>
      </c>
      <c r="B42" s="332"/>
      <c r="C42" s="326" t="s">
        <v>51</v>
      </c>
      <c r="D42" s="326" t="s">
        <v>118</v>
      </c>
      <c r="E42" s="333" t="s">
        <v>60</v>
      </c>
      <c r="H42" s="173">
        <v>36</v>
      </c>
      <c r="I42" s="513">
        <f t="shared" si="75"/>
        <v>4.3199999999999995E-2</v>
      </c>
      <c r="J42" s="175" t="e">
        <f t="shared" si="76"/>
        <v>#NAME?</v>
      </c>
      <c r="K42" s="232" t="e">
        <f t="shared" si="77"/>
        <v>#NAME?</v>
      </c>
      <c r="L42" s="290" t="e">
        <f t="shared" si="88"/>
        <v>#NAME?</v>
      </c>
      <c r="M42" s="208" t="e">
        <f t="shared" si="55"/>
        <v>#NAME?</v>
      </c>
      <c r="N42" s="291" t="e">
        <f t="shared" si="78"/>
        <v>#NAME?</v>
      </c>
      <c r="O42" s="291">
        <f t="shared" si="79"/>
        <v>9.4636746312952376E-5</v>
      </c>
      <c r="P42" s="233" t="e">
        <f t="shared" si="56"/>
        <v>#NAME?</v>
      </c>
      <c r="Q42" s="232" t="e">
        <f t="shared" si="80"/>
        <v>#NAME?</v>
      </c>
      <c r="R42" s="232" t="e">
        <f t="shared" si="89"/>
        <v>#NAME?</v>
      </c>
      <c r="S42" s="517" t="e">
        <f t="shared" si="81"/>
        <v>#NAME?</v>
      </c>
      <c r="T42" s="232" t="e">
        <f t="shared" si="57"/>
        <v>#NAME?</v>
      </c>
      <c r="U42" s="233" t="e">
        <f t="shared" si="82"/>
        <v>#NAME?</v>
      </c>
      <c r="V42" s="232" t="e">
        <f t="shared" si="10"/>
        <v>#NAME?</v>
      </c>
      <c r="W42" s="232" t="e">
        <f t="shared" si="58"/>
        <v>#NAME?</v>
      </c>
      <c r="X42" s="232" t="e">
        <f t="shared" si="90"/>
        <v>#NAME?</v>
      </c>
      <c r="Y42" s="234" t="e">
        <f t="shared" si="12"/>
        <v>#NAME?</v>
      </c>
      <c r="Z42" s="234" t="e">
        <f t="shared" si="59"/>
        <v>#NAME?</v>
      </c>
      <c r="AA42" s="232" t="e">
        <f t="shared" si="91"/>
        <v>#NAME?</v>
      </c>
      <c r="AB42" s="232" t="e">
        <f t="shared" si="92"/>
        <v>#NAME?</v>
      </c>
      <c r="AC42" s="232" t="e">
        <f t="shared" si="93"/>
        <v>#NAME?</v>
      </c>
      <c r="AD42">
        <v>20</v>
      </c>
      <c r="AE42" s="208">
        <v>10</v>
      </c>
      <c r="AF42" s="232" t="e">
        <f t="shared" si="94"/>
        <v>#NAME?</v>
      </c>
      <c r="AG42" s="232" t="e">
        <f t="shared" si="95"/>
        <v>#NAME?</v>
      </c>
      <c r="AH42" s="232" t="e">
        <f t="shared" si="60"/>
        <v>#NAME?</v>
      </c>
      <c r="AI42" s="232" t="e">
        <f t="shared" si="96"/>
        <v>#NAME?</v>
      </c>
      <c r="AJ42" s="232" t="e">
        <f t="shared" si="97"/>
        <v>#NAME?</v>
      </c>
      <c r="AK42" s="232" t="e">
        <f t="shared" si="98"/>
        <v>#NAME?</v>
      </c>
      <c r="AL42" s="232">
        <f t="shared" si="99"/>
        <v>0</v>
      </c>
      <c r="AM42" s="232" t="e">
        <f t="shared" si="100"/>
        <v>#NAME?</v>
      </c>
      <c r="AN42" s="232" t="e">
        <f t="shared" si="61"/>
        <v>#NAME?</v>
      </c>
      <c r="AO42" s="232" t="e">
        <f t="shared" si="83"/>
        <v>#NAME?</v>
      </c>
      <c r="AP42" s="232" t="e">
        <f t="shared" si="101"/>
        <v>#NAME?</v>
      </c>
      <c r="AQ42" s="232" t="e">
        <f t="shared" si="62"/>
        <v>#NAME?</v>
      </c>
      <c r="AR42" s="232" t="e">
        <f t="shared" si="63"/>
        <v>#NAME?</v>
      </c>
      <c r="AS42" s="232" t="e">
        <f t="shared" si="25"/>
        <v>#NAME?</v>
      </c>
      <c r="AT42" s="232">
        <f t="shared" si="84"/>
        <v>0.21599999999999997</v>
      </c>
      <c r="AU42" s="292" t="e">
        <f t="shared" si="64"/>
        <v>#NAME?</v>
      </c>
      <c r="AV42" s="235" t="e">
        <f t="shared" si="65"/>
        <v>#NAME?</v>
      </c>
      <c r="AW42" s="235" t="e">
        <f t="shared" si="66"/>
        <v>#NAME?</v>
      </c>
      <c r="AX42" s="235" t="e">
        <f t="shared" si="102"/>
        <v>#NAME?</v>
      </c>
      <c r="AY42" s="235" t="e">
        <f t="shared" si="67"/>
        <v>#NAME?</v>
      </c>
      <c r="AZ42" s="235" t="e">
        <f t="shared" si="28"/>
        <v>#NAME?</v>
      </c>
      <c r="BA42" s="235" t="e">
        <f t="shared" si="29"/>
        <v>#NAME?</v>
      </c>
      <c r="BB42" s="235" t="e">
        <f t="shared" si="85"/>
        <v>#NAME?</v>
      </c>
      <c r="BC42" s="235" t="e">
        <f t="shared" si="86"/>
        <v>#NAME?</v>
      </c>
      <c r="BD42" s="235" t="e">
        <f t="shared" si="32"/>
        <v>#NAME?</v>
      </c>
      <c r="BE42" s="235" t="e">
        <f t="shared" si="68"/>
        <v>#NAME?</v>
      </c>
      <c r="BF42" s="235" t="e">
        <f t="shared" si="69"/>
        <v>#NAME?</v>
      </c>
      <c r="BG42" s="235" t="e">
        <f t="shared" si="33"/>
        <v>#NAME?</v>
      </c>
      <c r="BH42" s="233" t="e">
        <f t="shared" si="70"/>
        <v>#NAME?</v>
      </c>
      <c r="BI42" s="175">
        <f t="shared" si="87"/>
        <v>43.199999999999996</v>
      </c>
      <c r="BJ42" s="292">
        <v>92.370572661788287</v>
      </c>
      <c r="BK42" s="235">
        <f t="shared" si="71"/>
        <v>0.92370572661788286</v>
      </c>
      <c r="BL42" s="376">
        <v>78.149758631970101</v>
      </c>
      <c r="BM42" s="294"/>
      <c r="BN42" s="387" t="e">
        <f t="shared" si="72"/>
        <v>#NAME?</v>
      </c>
      <c r="BO42" s="387" t="e">
        <f t="shared" si="73"/>
        <v>#NAME?</v>
      </c>
      <c r="BP42" s="175" t="e">
        <f t="shared" si="74"/>
        <v>#NAME?</v>
      </c>
      <c r="BQ42" s="235"/>
      <c r="BR42" s="235"/>
      <c r="BS42" s="235"/>
      <c r="BT42" s="235"/>
    </row>
    <row r="43" spans="1:72" ht="13.5" thickBot="1" x14ac:dyDescent="0.25">
      <c r="A43" s="334" t="s">
        <v>47</v>
      </c>
      <c r="B43" s="380">
        <v>2000</v>
      </c>
      <c r="C43" s="298" t="s">
        <v>356</v>
      </c>
      <c r="D43" s="174">
        <f>B43/1000</f>
        <v>2</v>
      </c>
      <c r="E43" s="174" t="s">
        <v>438</v>
      </c>
      <c r="H43" s="173">
        <v>37</v>
      </c>
      <c r="I43" s="513">
        <f t="shared" si="75"/>
        <v>4.4399999999999995E-2</v>
      </c>
      <c r="J43" s="175" t="e">
        <f t="shared" si="76"/>
        <v>#NAME?</v>
      </c>
      <c r="K43" s="232" t="e">
        <f t="shared" si="77"/>
        <v>#NAME?</v>
      </c>
      <c r="L43" s="290" t="e">
        <f t="shared" si="88"/>
        <v>#NAME?</v>
      </c>
      <c r="M43" s="208" t="e">
        <f t="shared" si="55"/>
        <v>#NAME?</v>
      </c>
      <c r="N43" s="291" t="e">
        <f t="shared" si="78"/>
        <v>#NAME?</v>
      </c>
      <c r="O43" s="291">
        <f t="shared" si="79"/>
        <v>9.2078996412602311E-5</v>
      </c>
      <c r="P43" s="233" t="e">
        <f t="shared" si="56"/>
        <v>#NAME?</v>
      </c>
      <c r="Q43" s="232" t="e">
        <f t="shared" si="80"/>
        <v>#NAME?</v>
      </c>
      <c r="R43" s="232" t="e">
        <f t="shared" si="89"/>
        <v>#NAME?</v>
      </c>
      <c r="S43" s="517" t="e">
        <f t="shared" si="81"/>
        <v>#NAME?</v>
      </c>
      <c r="T43" s="232" t="e">
        <f t="shared" si="57"/>
        <v>#NAME?</v>
      </c>
      <c r="U43" s="233" t="e">
        <f t="shared" si="82"/>
        <v>#NAME?</v>
      </c>
      <c r="V43" s="232" t="e">
        <f t="shared" si="10"/>
        <v>#NAME?</v>
      </c>
      <c r="W43" s="232" t="e">
        <f t="shared" si="58"/>
        <v>#NAME?</v>
      </c>
      <c r="X43" s="232" t="e">
        <f t="shared" si="90"/>
        <v>#NAME?</v>
      </c>
      <c r="Y43" s="234" t="e">
        <f t="shared" si="12"/>
        <v>#NAME?</v>
      </c>
      <c r="Z43" s="234" t="e">
        <f t="shared" si="59"/>
        <v>#NAME?</v>
      </c>
      <c r="AA43" s="232" t="e">
        <f t="shared" si="91"/>
        <v>#NAME?</v>
      </c>
      <c r="AB43" s="232" t="e">
        <f t="shared" si="92"/>
        <v>#NAME?</v>
      </c>
      <c r="AC43" s="232" t="e">
        <f t="shared" si="93"/>
        <v>#NAME?</v>
      </c>
      <c r="AD43">
        <v>20</v>
      </c>
      <c r="AE43" s="208">
        <v>10</v>
      </c>
      <c r="AF43" s="232" t="e">
        <f t="shared" si="94"/>
        <v>#NAME?</v>
      </c>
      <c r="AG43" s="232" t="e">
        <f t="shared" si="95"/>
        <v>#NAME?</v>
      </c>
      <c r="AH43" s="232" t="e">
        <f t="shared" si="60"/>
        <v>#NAME?</v>
      </c>
      <c r="AI43" s="232" t="e">
        <f t="shared" si="96"/>
        <v>#NAME?</v>
      </c>
      <c r="AJ43" s="232" t="e">
        <f t="shared" si="97"/>
        <v>#NAME?</v>
      </c>
      <c r="AK43" s="232" t="e">
        <f t="shared" si="98"/>
        <v>#NAME?</v>
      </c>
      <c r="AL43" s="232">
        <f t="shared" si="99"/>
        <v>0</v>
      </c>
      <c r="AM43" s="232" t="e">
        <f t="shared" si="100"/>
        <v>#NAME?</v>
      </c>
      <c r="AN43" s="232" t="e">
        <f t="shared" si="61"/>
        <v>#NAME?</v>
      </c>
      <c r="AO43" s="232" t="e">
        <f t="shared" si="83"/>
        <v>#NAME?</v>
      </c>
      <c r="AP43" s="232" t="e">
        <f t="shared" si="101"/>
        <v>#NAME?</v>
      </c>
      <c r="AQ43" s="232" t="e">
        <f t="shared" si="62"/>
        <v>#NAME?</v>
      </c>
      <c r="AR43" s="232" t="e">
        <f t="shared" si="63"/>
        <v>#NAME?</v>
      </c>
      <c r="AS43" s="232" t="e">
        <f t="shared" si="25"/>
        <v>#NAME?</v>
      </c>
      <c r="AT43" s="232">
        <f t="shared" si="84"/>
        <v>0.22199999999999998</v>
      </c>
      <c r="AU43" s="292" t="e">
        <f t="shared" si="64"/>
        <v>#NAME?</v>
      </c>
      <c r="AV43" s="235" t="e">
        <f t="shared" si="65"/>
        <v>#NAME?</v>
      </c>
      <c r="AW43" s="235" t="e">
        <f t="shared" si="66"/>
        <v>#NAME?</v>
      </c>
      <c r="AX43" s="235" t="e">
        <f t="shared" si="102"/>
        <v>#NAME?</v>
      </c>
      <c r="AY43" s="235" t="e">
        <f t="shared" si="67"/>
        <v>#NAME?</v>
      </c>
      <c r="AZ43" s="235" t="e">
        <f t="shared" si="28"/>
        <v>#NAME?</v>
      </c>
      <c r="BA43" s="235" t="e">
        <f t="shared" si="29"/>
        <v>#NAME?</v>
      </c>
      <c r="BB43" s="235" t="e">
        <f t="shared" si="85"/>
        <v>#NAME?</v>
      </c>
      <c r="BC43" s="235" t="e">
        <f t="shared" si="86"/>
        <v>#NAME?</v>
      </c>
      <c r="BD43" s="235" t="e">
        <f t="shared" si="32"/>
        <v>#NAME?</v>
      </c>
      <c r="BE43" s="235" t="e">
        <f t="shared" si="68"/>
        <v>#NAME?</v>
      </c>
      <c r="BF43" s="235" t="e">
        <f t="shared" si="69"/>
        <v>#NAME?</v>
      </c>
      <c r="BG43" s="235" t="e">
        <f t="shared" si="33"/>
        <v>#NAME?</v>
      </c>
      <c r="BH43" s="233" t="e">
        <f t="shared" si="70"/>
        <v>#NAME?</v>
      </c>
      <c r="BI43" s="175">
        <f t="shared" si="87"/>
        <v>44.399999999999991</v>
      </c>
      <c r="BJ43" s="292">
        <v>92.377554614223854</v>
      </c>
      <c r="BK43" s="235">
        <f t="shared" si="71"/>
        <v>0.92377554614223856</v>
      </c>
      <c r="BL43" s="376">
        <v>79.083137810464862</v>
      </c>
      <c r="BM43" s="294"/>
      <c r="BN43" s="387" t="e">
        <f t="shared" si="72"/>
        <v>#NAME?</v>
      </c>
      <c r="BO43" s="387" t="e">
        <f t="shared" si="73"/>
        <v>#NAME?</v>
      </c>
      <c r="BP43" s="175" t="e">
        <f t="shared" si="74"/>
        <v>#NAME?</v>
      </c>
      <c r="BQ43" s="235"/>
      <c r="BR43" s="235"/>
      <c r="BS43" s="235"/>
      <c r="BT43" s="235"/>
    </row>
    <row r="44" spans="1:72" ht="13.5" thickBot="1" x14ac:dyDescent="0.25">
      <c r="A44" s="317" t="s">
        <v>378</v>
      </c>
      <c r="B44" s="381"/>
      <c r="C44" s="173" t="s">
        <v>379</v>
      </c>
      <c r="D44" s="174"/>
      <c r="E44" s="174" t="s">
        <v>378</v>
      </c>
      <c r="H44" s="173">
        <v>38</v>
      </c>
      <c r="I44" s="513">
        <f t="shared" si="75"/>
        <v>4.5600000000000002E-2</v>
      </c>
      <c r="J44" s="175" t="e">
        <f t="shared" si="76"/>
        <v>#NAME?</v>
      </c>
      <c r="K44" s="232" t="e">
        <f t="shared" si="77"/>
        <v>#NAME?</v>
      </c>
      <c r="L44" s="290" t="e">
        <f t="shared" si="88"/>
        <v>#NAME?</v>
      </c>
      <c r="M44" s="208" t="e">
        <f t="shared" si="55"/>
        <v>#NAME?</v>
      </c>
      <c r="N44" s="291" t="e">
        <f t="shared" si="78"/>
        <v>#NAME?</v>
      </c>
      <c r="O44" s="291">
        <f t="shared" si="79"/>
        <v>8.9655864928060131E-5</v>
      </c>
      <c r="P44" s="233" t="e">
        <f t="shared" si="56"/>
        <v>#NAME?</v>
      </c>
      <c r="Q44" s="232" t="e">
        <f t="shared" si="80"/>
        <v>#NAME?</v>
      </c>
      <c r="R44" s="232" t="e">
        <f t="shared" si="89"/>
        <v>#NAME?</v>
      </c>
      <c r="S44" s="517" t="e">
        <f t="shared" si="81"/>
        <v>#NAME?</v>
      </c>
      <c r="T44" s="232" t="e">
        <f t="shared" si="57"/>
        <v>#NAME?</v>
      </c>
      <c r="U44" s="233" t="e">
        <f t="shared" si="82"/>
        <v>#NAME?</v>
      </c>
      <c r="V44" s="232" t="e">
        <f t="shared" si="10"/>
        <v>#NAME?</v>
      </c>
      <c r="W44" s="232" t="e">
        <f t="shared" si="58"/>
        <v>#NAME?</v>
      </c>
      <c r="X44" s="232" t="e">
        <f t="shared" si="90"/>
        <v>#NAME?</v>
      </c>
      <c r="Y44" s="234" t="e">
        <f t="shared" si="12"/>
        <v>#NAME?</v>
      </c>
      <c r="Z44" s="234" t="e">
        <f t="shared" si="59"/>
        <v>#NAME?</v>
      </c>
      <c r="AA44" s="232" t="e">
        <f t="shared" si="91"/>
        <v>#NAME?</v>
      </c>
      <c r="AB44" s="232" t="e">
        <f t="shared" si="92"/>
        <v>#NAME?</v>
      </c>
      <c r="AC44" s="232" t="e">
        <f t="shared" si="93"/>
        <v>#NAME?</v>
      </c>
      <c r="AD44">
        <v>20</v>
      </c>
      <c r="AE44" s="208">
        <v>10</v>
      </c>
      <c r="AF44" s="232" t="e">
        <f t="shared" si="94"/>
        <v>#NAME?</v>
      </c>
      <c r="AG44" s="232" t="e">
        <f t="shared" si="95"/>
        <v>#NAME?</v>
      </c>
      <c r="AH44" s="232" t="e">
        <f t="shared" si="60"/>
        <v>#NAME?</v>
      </c>
      <c r="AI44" s="232" t="e">
        <f t="shared" si="96"/>
        <v>#NAME?</v>
      </c>
      <c r="AJ44" s="232" t="e">
        <f t="shared" si="97"/>
        <v>#NAME?</v>
      </c>
      <c r="AK44" s="232" t="e">
        <f t="shared" si="98"/>
        <v>#NAME?</v>
      </c>
      <c r="AL44" s="232">
        <f t="shared" si="99"/>
        <v>0</v>
      </c>
      <c r="AM44" s="232" t="e">
        <f t="shared" si="100"/>
        <v>#NAME?</v>
      </c>
      <c r="AN44" s="232" t="e">
        <f t="shared" si="61"/>
        <v>#NAME?</v>
      </c>
      <c r="AO44" s="232" t="e">
        <f t="shared" si="83"/>
        <v>#NAME?</v>
      </c>
      <c r="AP44" s="232" t="e">
        <f t="shared" si="101"/>
        <v>#NAME?</v>
      </c>
      <c r="AQ44" s="232" t="e">
        <f t="shared" si="62"/>
        <v>#NAME?</v>
      </c>
      <c r="AR44" s="232" t="e">
        <f t="shared" si="63"/>
        <v>#NAME?</v>
      </c>
      <c r="AS44" s="232" t="e">
        <f t="shared" si="25"/>
        <v>#NAME?</v>
      </c>
      <c r="AT44" s="232">
        <f t="shared" si="84"/>
        <v>0.22800000000000001</v>
      </c>
      <c r="AU44" s="292" t="e">
        <f t="shared" si="64"/>
        <v>#NAME?</v>
      </c>
      <c r="AV44" s="235" t="e">
        <f t="shared" si="65"/>
        <v>#NAME?</v>
      </c>
      <c r="AW44" s="235" t="e">
        <f t="shared" si="66"/>
        <v>#NAME?</v>
      </c>
      <c r="AX44" s="235" t="e">
        <f t="shared" si="102"/>
        <v>#NAME?</v>
      </c>
      <c r="AY44" s="235" t="e">
        <f t="shared" si="67"/>
        <v>#NAME?</v>
      </c>
      <c r="AZ44" s="235" t="e">
        <f t="shared" si="28"/>
        <v>#NAME?</v>
      </c>
      <c r="BA44" s="235" t="e">
        <f t="shared" si="29"/>
        <v>#NAME?</v>
      </c>
      <c r="BB44" s="235" t="e">
        <f t="shared" si="85"/>
        <v>#NAME?</v>
      </c>
      <c r="BC44" s="235" t="e">
        <f t="shared" si="86"/>
        <v>#NAME?</v>
      </c>
      <c r="BD44" s="235" t="e">
        <f t="shared" si="32"/>
        <v>#NAME?</v>
      </c>
      <c r="BE44" s="235" t="e">
        <f t="shared" si="68"/>
        <v>#NAME?</v>
      </c>
      <c r="BF44" s="235" t="e">
        <f t="shared" si="69"/>
        <v>#NAME?</v>
      </c>
      <c r="BG44" s="235" t="e">
        <f t="shared" si="33"/>
        <v>#NAME?</v>
      </c>
      <c r="BH44" s="233" t="e">
        <f t="shared" si="70"/>
        <v>#NAME?</v>
      </c>
      <c r="BI44" s="175">
        <f t="shared" si="87"/>
        <v>45.6</v>
      </c>
      <c r="BJ44" s="292">
        <v>92.384186486797105</v>
      </c>
      <c r="BK44" s="235">
        <f t="shared" si="71"/>
        <v>0.92384186486797104</v>
      </c>
      <c r="BL44" s="376">
        <v>79.95404580207925</v>
      </c>
      <c r="BM44" s="294"/>
      <c r="BN44" s="387" t="e">
        <f t="shared" si="72"/>
        <v>#NAME?</v>
      </c>
      <c r="BO44" s="387" t="e">
        <f t="shared" si="73"/>
        <v>#NAME?</v>
      </c>
      <c r="BP44" s="175" t="e">
        <f t="shared" si="74"/>
        <v>#NAME?</v>
      </c>
      <c r="BQ44" s="235"/>
      <c r="BR44" s="235"/>
      <c r="BS44" s="235"/>
      <c r="BT44" s="235"/>
    </row>
    <row r="45" spans="1:72" ht="13.5" thickBot="1" x14ac:dyDescent="0.25">
      <c r="A45" s="317" t="s">
        <v>46</v>
      </c>
      <c r="B45" s="380">
        <v>1.8</v>
      </c>
      <c r="C45" s="304" t="s">
        <v>43</v>
      </c>
      <c r="D45" s="174">
        <f>B45/1000000000</f>
        <v>1.8E-9</v>
      </c>
      <c r="E45" s="174" t="s">
        <v>439</v>
      </c>
      <c r="H45" s="173">
        <v>39</v>
      </c>
      <c r="I45" s="513">
        <f t="shared" si="75"/>
        <v>4.6800000000000001E-2</v>
      </c>
      <c r="J45" s="175" t="e">
        <f t="shared" si="76"/>
        <v>#NAME?</v>
      </c>
      <c r="K45" s="232" t="e">
        <f t="shared" si="77"/>
        <v>#NAME?</v>
      </c>
      <c r="L45" s="290" t="e">
        <f t="shared" si="88"/>
        <v>#NAME?</v>
      </c>
      <c r="M45" s="208" t="e">
        <f t="shared" si="55"/>
        <v>#NAME?</v>
      </c>
      <c r="N45" s="291" t="e">
        <f t="shared" si="78"/>
        <v>#NAME?</v>
      </c>
      <c r="O45" s="291">
        <f t="shared" si="79"/>
        <v>8.7356996596571403E-5</v>
      </c>
      <c r="P45" s="233" t="e">
        <f t="shared" si="56"/>
        <v>#NAME?</v>
      </c>
      <c r="Q45" s="232" t="e">
        <f t="shared" si="80"/>
        <v>#NAME?</v>
      </c>
      <c r="R45" s="232" t="e">
        <f t="shared" si="89"/>
        <v>#NAME?</v>
      </c>
      <c r="S45" s="517" t="e">
        <f t="shared" si="81"/>
        <v>#NAME?</v>
      </c>
      <c r="T45" s="232" t="e">
        <f t="shared" si="57"/>
        <v>#NAME?</v>
      </c>
      <c r="U45" s="233" t="e">
        <f t="shared" si="82"/>
        <v>#NAME?</v>
      </c>
      <c r="V45" s="232" t="e">
        <f t="shared" si="10"/>
        <v>#NAME?</v>
      </c>
      <c r="W45" s="232" t="e">
        <f t="shared" si="58"/>
        <v>#NAME?</v>
      </c>
      <c r="X45" s="232" t="e">
        <f t="shared" si="90"/>
        <v>#NAME?</v>
      </c>
      <c r="Y45" s="234" t="e">
        <f t="shared" si="12"/>
        <v>#NAME?</v>
      </c>
      <c r="Z45" s="234" t="e">
        <f t="shared" si="59"/>
        <v>#NAME?</v>
      </c>
      <c r="AA45" s="232" t="e">
        <f t="shared" si="91"/>
        <v>#NAME?</v>
      </c>
      <c r="AB45" s="232" t="e">
        <f t="shared" si="92"/>
        <v>#NAME?</v>
      </c>
      <c r="AC45" s="232" t="e">
        <f t="shared" si="93"/>
        <v>#NAME?</v>
      </c>
      <c r="AD45">
        <v>20</v>
      </c>
      <c r="AE45" s="208">
        <v>10</v>
      </c>
      <c r="AF45" s="232" t="e">
        <f t="shared" si="94"/>
        <v>#NAME?</v>
      </c>
      <c r="AG45" s="232" t="e">
        <f t="shared" si="95"/>
        <v>#NAME?</v>
      </c>
      <c r="AH45" s="232" t="e">
        <f t="shared" si="60"/>
        <v>#NAME?</v>
      </c>
      <c r="AI45" s="232" t="e">
        <f t="shared" si="96"/>
        <v>#NAME?</v>
      </c>
      <c r="AJ45" s="232" t="e">
        <f t="shared" si="97"/>
        <v>#NAME?</v>
      </c>
      <c r="AK45" s="232" t="e">
        <f t="shared" si="98"/>
        <v>#NAME?</v>
      </c>
      <c r="AL45" s="232">
        <f t="shared" si="99"/>
        <v>0</v>
      </c>
      <c r="AM45" s="232" t="e">
        <f t="shared" si="100"/>
        <v>#NAME?</v>
      </c>
      <c r="AN45" s="232" t="e">
        <f t="shared" si="61"/>
        <v>#NAME?</v>
      </c>
      <c r="AO45" s="232" t="e">
        <f t="shared" si="83"/>
        <v>#NAME?</v>
      </c>
      <c r="AP45" s="232" t="e">
        <f t="shared" si="101"/>
        <v>#NAME?</v>
      </c>
      <c r="AQ45" s="232" t="e">
        <f t="shared" si="62"/>
        <v>#NAME?</v>
      </c>
      <c r="AR45" s="232" t="e">
        <f t="shared" si="63"/>
        <v>#NAME?</v>
      </c>
      <c r="AS45" s="232" t="e">
        <f t="shared" si="25"/>
        <v>#NAME?</v>
      </c>
      <c r="AT45" s="232">
        <f t="shared" si="84"/>
        <v>0.23400000000000001</v>
      </c>
      <c r="AU45" s="292" t="e">
        <f t="shared" si="64"/>
        <v>#NAME?</v>
      </c>
      <c r="AV45" s="235" t="e">
        <f t="shared" si="65"/>
        <v>#NAME?</v>
      </c>
      <c r="AW45" s="235" t="e">
        <f t="shared" si="66"/>
        <v>#NAME?</v>
      </c>
      <c r="AX45" s="235" t="e">
        <f t="shared" si="102"/>
        <v>#NAME?</v>
      </c>
      <c r="AY45" s="235" t="e">
        <f t="shared" si="67"/>
        <v>#NAME?</v>
      </c>
      <c r="AZ45" s="235" t="e">
        <f t="shared" si="28"/>
        <v>#NAME?</v>
      </c>
      <c r="BA45" s="235" t="e">
        <f t="shared" si="29"/>
        <v>#NAME?</v>
      </c>
      <c r="BB45" s="235" t="e">
        <f t="shared" si="85"/>
        <v>#NAME?</v>
      </c>
      <c r="BC45" s="235" t="e">
        <f t="shared" si="86"/>
        <v>#NAME?</v>
      </c>
      <c r="BD45" s="235" t="e">
        <f t="shared" si="32"/>
        <v>#NAME?</v>
      </c>
      <c r="BE45" s="235" t="e">
        <f t="shared" si="68"/>
        <v>#NAME?</v>
      </c>
      <c r="BF45" s="235" t="e">
        <f t="shared" si="69"/>
        <v>#NAME?</v>
      </c>
      <c r="BG45" s="235" t="e">
        <f t="shared" si="33"/>
        <v>#NAME?</v>
      </c>
      <c r="BH45" s="233" t="e">
        <f t="shared" si="70"/>
        <v>#NAME?</v>
      </c>
      <c r="BI45" s="175">
        <f t="shared" si="87"/>
        <v>46.800000000000004</v>
      </c>
      <c r="BJ45" s="292">
        <v>92.390495146604792</v>
      </c>
      <c r="BK45" s="235">
        <f t="shared" si="71"/>
        <v>0.9239049514660479</v>
      </c>
      <c r="BL45" s="376">
        <v>80.765220518524714</v>
      </c>
      <c r="BM45" s="294"/>
      <c r="BN45" s="387" t="e">
        <f t="shared" si="72"/>
        <v>#NAME?</v>
      </c>
      <c r="BO45" s="387" t="e">
        <f t="shared" si="73"/>
        <v>#NAME?</v>
      </c>
      <c r="BP45" s="175" t="e">
        <f t="shared" si="74"/>
        <v>#NAME?</v>
      </c>
      <c r="BQ45" s="235"/>
      <c r="BR45" s="235"/>
      <c r="BS45" s="235"/>
      <c r="BT45" s="235"/>
    </row>
    <row r="46" spans="1:72" x14ac:dyDescent="0.2">
      <c r="A46" s="317" t="s">
        <v>335</v>
      </c>
      <c r="B46" s="380">
        <v>35</v>
      </c>
      <c r="C46" s="304" t="s">
        <v>23</v>
      </c>
      <c r="D46" s="337">
        <f>B46/1000000000000</f>
        <v>3.5000000000000002E-11</v>
      </c>
      <c r="E46" s="174" t="s">
        <v>335</v>
      </c>
      <c r="H46" s="173">
        <v>40</v>
      </c>
      <c r="I46" s="513">
        <f t="shared" si="75"/>
        <v>4.8000000000000001E-2</v>
      </c>
      <c r="J46" s="175" t="e">
        <f t="shared" si="76"/>
        <v>#NAME?</v>
      </c>
      <c r="K46" s="232" t="e">
        <f t="shared" si="77"/>
        <v>#NAME?</v>
      </c>
      <c r="L46" s="290" t="e">
        <f t="shared" si="88"/>
        <v>#NAME?</v>
      </c>
      <c r="M46" s="208" t="e">
        <f t="shared" si="55"/>
        <v>#NAME?</v>
      </c>
      <c r="N46" s="291" t="e">
        <f t="shared" si="78"/>
        <v>#NAME?</v>
      </c>
      <c r="O46" s="291">
        <f t="shared" si="79"/>
        <v>8.5173071681657117E-5</v>
      </c>
      <c r="P46" s="233" t="e">
        <f t="shared" si="56"/>
        <v>#NAME?</v>
      </c>
      <c r="Q46" s="232" t="e">
        <f t="shared" si="80"/>
        <v>#NAME?</v>
      </c>
      <c r="R46" s="232" t="e">
        <f t="shared" si="89"/>
        <v>#NAME?</v>
      </c>
      <c r="S46" s="517" t="e">
        <f t="shared" si="81"/>
        <v>#NAME?</v>
      </c>
      <c r="T46" s="232" t="e">
        <f t="shared" si="57"/>
        <v>#NAME?</v>
      </c>
      <c r="U46" s="233" t="e">
        <f t="shared" si="82"/>
        <v>#NAME?</v>
      </c>
      <c r="V46" s="232" t="e">
        <f t="shared" si="10"/>
        <v>#NAME?</v>
      </c>
      <c r="W46" s="232" t="e">
        <f t="shared" si="58"/>
        <v>#NAME?</v>
      </c>
      <c r="X46" s="232" t="e">
        <f t="shared" si="90"/>
        <v>#NAME?</v>
      </c>
      <c r="Y46" s="234" t="e">
        <f t="shared" si="12"/>
        <v>#NAME?</v>
      </c>
      <c r="Z46" s="234" t="e">
        <f t="shared" si="59"/>
        <v>#NAME?</v>
      </c>
      <c r="AA46" s="232" t="e">
        <f t="shared" si="91"/>
        <v>#NAME?</v>
      </c>
      <c r="AB46" s="232" t="e">
        <f t="shared" si="92"/>
        <v>#NAME?</v>
      </c>
      <c r="AC46" s="232" t="e">
        <f t="shared" si="93"/>
        <v>#NAME?</v>
      </c>
      <c r="AD46">
        <v>20</v>
      </c>
      <c r="AE46" s="208">
        <v>10</v>
      </c>
      <c r="AF46" s="232" t="e">
        <f t="shared" si="94"/>
        <v>#NAME?</v>
      </c>
      <c r="AG46" s="232" t="e">
        <f t="shared" si="95"/>
        <v>#NAME?</v>
      </c>
      <c r="AH46" s="232" t="e">
        <f t="shared" si="60"/>
        <v>#NAME?</v>
      </c>
      <c r="AI46" s="232" t="e">
        <f t="shared" si="96"/>
        <v>#NAME?</v>
      </c>
      <c r="AJ46" s="232" t="e">
        <f t="shared" si="97"/>
        <v>#NAME?</v>
      </c>
      <c r="AK46" s="232" t="e">
        <f t="shared" si="98"/>
        <v>#NAME?</v>
      </c>
      <c r="AL46" s="232">
        <f t="shared" si="99"/>
        <v>0</v>
      </c>
      <c r="AM46" s="232" t="e">
        <f t="shared" si="100"/>
        <v>#NAME?</v>
      </c>
      <c r="AN46" s="232" t="e">
        <f t="shared" si="61"/>
        <v>#NAME?</v>
      </c>
      <c r="AO46" s="232" t="e">
        <f t="shared" si="83"/>
        <v>#NAME?</v>
      </c>
      <c r="AP46" s="232" t="e">
        <f t="shared" si="101"/>
        <v>#NAME?</v>
      </c>
      <c r="AQ46" s="232" t="e">
        <f t="shared" si="62"/>
        <v>#NAME?</v>
      </c>
      <c r="AR46" s="232" t="e">
        <f t="shared" si="63"/>
        <v>#NAME?</v>
      </c>
      <c r="AS46" s="232" t="e">
        <f t="shared" si="25"/>
        <v>#NAME?</v>
      </c>
      <c r="AT46" s="232">
        <f t="shared" si="84"/>
        <v>0.24</v>
      </c>
      <c r="AU46" s="292" t="e">
        <f t="shared" si="64"/>
        <v>#NAME?</v>
      </c>
      <c r="AV46" s="235" t="e">
        <f t="shared" si="65"/>
        <v>#NAME?</v>
      </c>
      <c r="AW46" s="235" t="e">
        <f t="shared" si="66"/>
        <v>#NAME?</v>
      </c>
      <c r="AX46" s="235" t="e">
        <f t="shared" si="102"/>
        <v>#NAME?</v>
      </c>
      <c r="AY46" s="235" t="e">
        <f t="shared" si="67"/>
        <v>#NAME?</v>
      </c>
      <c r="AZ46" s="235" t="e">
        <f t="shared" si="28"/>
        <v>#NAME?</v>
      </c>
      <c r="BA46" s="235" t="e">
        <f t="shared" si="29"/>
        <v>#NAME?</v>
      </c>
      <c r="BB46" s="235" t="e">
        <f t="shared" si="85"/>
        <v>#NAME?</v>
      </c>
      <c r="BC46" s="235" t="e">
        <f t="shared" si="86"/>
        <v>#NAME?</v>
      </c>
      <c r="BD46" s="235" t="e">
        <f t="shared" si="32"/>
        <v>#NAME?</v>
      </c>
      <c r="BE46" s="235" t="e">
        <f t="shared" si="68"/>
        <v>#NAME?</v>
      </c>
      <c r="BF46" s="235" t="e">
        <f t="shared" si="69"/>
        <v>#NAME?</v>
      </c>
      <c r="BG46" s="235" t="e">
        <f t="shared" si="33"/>
        <v>#NAME?</v>
      </c>
      <c r="BH46" s="233" t="e">
        <f t="shared" si="70"/>
        <v>#NAME?</v>
      </c>
      <c r="BI46" s="175">
        <f t="shared" si="87"/>
        <v>48</v>
      </c>
      <c r="BJ46" s="292">
        <v>92.396504780537882</v>
      </c>
      <c r="BK46" s="235">
        <f t="shared" si="71"/>
        <v>0.9239650478053788</v>
      </c>
      <c r="BL46" s="376">
        <v>81.519509019961532</v>
      </c>
      <c r="BM46" s="294"/>
      <c r="BN46" s="387" t="e">
        <f t="shared" si="72"/>
        <v>#NAME?</v>
      </c>
      <c r="BO46" s="387" t="e">
        <f t="shared" si="73"/>
        <v>#NAME?</v>
      </c>
      <c r="BP46" s="175" t="e">
        <f t="shared" si="74"/>
        <v>#NAME?</v>
      </c>
      <c r="BQ46" s="235"/>
      <c r="BR46" s="235"/>
      <c r="BS46" s="235"/>
      <c r="BT46" s="235"/>
    </row>
    <row r="47" spans="1:72" ht="13.5" thickBot="1" x14ac:dyDescent="0.25">
      <c r="A47" s="326" t="s">
        <v>381</v>
      </c>
      <c r="B47" s="326"/>
      <c r="C47" s="326" t="s">
        <v>51</v>
      </c>
      <c r="D47" s="326" t="s">
        <v>118</v>
      </c>
      <c r="E47" s="339" t="s">
        <v>60</v>
      </c>
      <c r="H47" s="173">
        <v>41</v>
      </c>
      <c r="I47" s="513">
        <f t="shared" si="75"/>
        <v>4.9199999999999994E-2</v>
      </c>
      <c r="J47" s="175" t="e">
        <f t="shared" si="76"/>
        <v>#NAME?</v>
      </c>
      <c r="K47" s="232" t="e">
        <f t="shared" si="77"/>
        <v>#NAME?</v>
      </c>
      <c r="L47" s="290" t="e">
        <f t="shared" si="88"/>
        <v>#NAME?</v>
      </c>
      <c r="M47" s="208" t="e">
        <f t="shared" si="55"/>
        <v>#NAME?</v>
      </c>
      <c r="N47" s="291" t="e">
        <f t="shared" si="78"/>
        <v>#NAME?</v>
      </c>
      <c r="O47" s="291">
        <f t="shared" si="79"/>
        <v>8.3095679689421597E-5</v>
      </c>
      <c r="P47" s="233" t="e">
        <f t="shared" si="56"/>
        <v>#NAME?</v>
      </c>
      <c r="Q47" s="232" t="e">
        <f t="shared" si="80"/>
        <v>#NAME?</v>
      </c>
      <c r="R47" s="232" t="e">
        <f t="shared" si="89"/>
        <v>#NAME?</v>
      </c>
      <c r="S47" s="517" t="e">
        <f t="shared" si="81"/>
        <v>#NAME?</v>
      </c>
      <c r="T47" s="232" t="e">
        <f t="shared" si="57"/>
        <v>#NAME?</v>
      </c>
      <c r="U47" s="233" t="e">
        <f t="shared" si="82"/>
        <v>#NAME?</v>
      </c>
      <c r="V47" s="232" t="e">
        <f t="shared" si="10"/>
        <v>#NAME?</v>
      </c>
      <c r="W47" s="232" t="e">
        <f t="shared" si="58"/>
        <v>#NAME?</v>
      </c>
      <c r="X47" s="232" t="e">
        <f t="shared" si="90"/>
        <v>#NAME?</v>
      </c>
      <c r="Y47" s="234" t="e">
        <f t="shared" si="12"/>
        <v>#NAME?</v>
      </c>
      <c r="Z47" s="234" t="e">
        <f t="shared" si="59"/>
        <v>#NAME?</v>
      </c>
      <c r="AA47" s="232" t="e">
        <f t="shared" si="91"/>
        <v>#NAME?</v>
      </c>
      <c r="AB47" s="232" t="e">
        <f t="shared" si="92"/>
        <v>#NAME?</v>
      </c>
      <c r="AC47" s="232" t="e">
        <f t="shared" si="93"/>
        <v>#NAME?</v>
      </c>
      <c r="AD47">
        <v>20</v>
      </c>
      <c r="AE47" s="208">
        <v>10</v>
      </c>
      <c r="AF47" s="232" t="e">
        <f t="shared" si="94"/>
        <v>#NAME?</v>
      </c>
      <c r="AG47" s="232" t="e">
        <f t="shared" si="95"/>
        <v>#NAME?</v>
      </c>
      <c r="AH47" s="232" t="e">
        <f t="shared" si="60"/>
        <v>#NAME?</v>
      </c>
      <c r="AI47" s="232" t="e">
        <f t="shared" si="96"/>
        <v>#NAME?</v>
      </c>
      <c r="AJ47" s="232" t="e">
        <f t="shared" si="97"/>
        <v>#NAME?</v>
      </c>
      <c r="AK47" s="232" t="e">
        <f t="shared" si="98"/>
        <v>#NAME?</v>
      </c>
      <c r="AL47" s="232">
        <f t="shared" si="99"/>
        <v>0</v>
      </c>
      <c r="AM47" s="232" t="e">
        <f t="shared" si="100"/>
        <v>#NAME?</v>
      </c>
      <c r="AN47" s="232" t="e">
        <f t="shared" si="61"/>
        <v>#NAME?</v>
      </c>
      <c r="AO47" s="232" t="e">
        <f t="shared" si="83"/>
        <v>#NAME?</v>
      </c>
      <c r="AP47" s="232" t="e">
        <f t="shared" si="101"/>
        <v>#NAME?</v>
      </c>
      <c r="AQ47" s="232" t="e">
        <f t="shared" si="62"/>
        <v>#NAME?</v>
      </c>
      <c r="AR47" s="232" t="e">
        <f t="shared" si="63"/>
        <v>#NAME?</v>
      </c>
      <c r="AS47" s="232" t="e">
        <f t="shared" si="25"/>
        <v>#NAME?</v>
      </c>
      <c r="AT47" s="232">
        <f t="shared" si="84"/>
        <v>0.24599999999999997</v>
      </c>
      <c r="AU47" s="292" t="e">
        <f t="shared" si="64"/>
        <v>#NAME?</v>
      </c>
      <c r="AV47" s="235" t="e">
        <f t="shared" si="65"/>
        <v>#NAME?</v>
      </c>
      <c r="AW47" s="235" t="e">
        <f t="shared" si="66"/>
        <v>#NAME?</v>
      </c>
      <c r="AX47" s="235" t="e">
        <f t="shared" si="102"/>
        <v>#NAME?</v>
      </c>
      <c r="AY47" s="235" t="e">
        <f t="shared" si="67"/>
        <v>#NAME?</v>
      </c>
      <c r="AZ47" s="235" t="e">
        <f t="shared" si="28"/>
        <v>#NAME?</v>
      </c>
      <c r="BA47" s="235" t="e">
        <f t="shared" si="29"/>
        <v>#NAME?</v>
      </c>
      <c r="BB47" s="235" t="e">
        <f t="shared" si="85"/>
        <v>#NAME?</v>
      </c>
      <c r="BC47" s="235" t="e">
        <f t="shared" si="86"/>
        <v>#NAME?</v>
      </c>
      <c r="BD47" s="235" t="e">
        <f t="shared" si="32"/>
        <v>#NAME?</v>
      </c>
      <c r="BE47" s="235" t="e">
        <f t="shared" si="68"/>
        <v>#NAME?</v>
      </c>
      <c r="BF47" s="235" t="e">
        <f t="shared" si="69"/>
        <v>#NAME?</v>
      </c>
      <c r="BG47" s="235" t="e">
        <f t="shared" si="33"/>
        <v>#NAME?</v>
      </c>
      <c r="BH47" s="233" t="e">
        <f t="shared" si="70"/>
        <v>#NAME?</v>
      </c>
      <c r="BI47" s="175">
        <f t="shared" si="87"/>
        <v>49.199999999999996</v>
      </c>
      <c r="BJ47" s="292">
        <v>92.40223722136399</v>
      </c>
      <c r="BK47" s="235">
        <f t="shared" si="71"/>
        <v>0.92402237221363992</v>
      </c>
      <c r="BL47" s="376">
        <v>82.219821723483165</v>
      </c>
      <c r="BM47" s="294"/>
      <c r="BN47" s="387" t="e">
        <f t="shared" si="72"/>
        <v>#NAME?</v>
      </c>
      <c r="BO47" s="387" t="e">
        <f t="shared" si="73"/>
        <v>#NAME?</v>
      </c>
      <c r="BP47" s="175" t="e">
        <f t="shared" si="74"/>
        <v>#NAME?</v>
      </c>
      <c r="BQ47" s="235"/>
      <c r="BR47" s="235"/>
      <c r="BS47" s="235"/>
      <c r="BT47" s="235"/>
    </row>
    <row r="48" spans="1:72" ht="13.5" thickBot="1" x14ac:dyDescent="0.25">
      <c r="A48" s="334" t="s">
        <v>45</v>
      </c>
      <c r="B48" s="335">
        <v>1000</v>
      </c>
      <c r="C48" s="298" t="s">
        <v>356</v>
      </c>
      <c r="D48" s="174">
        <f>B48/1000</f>
        <v>1</v>
      </c>
      <c r="E48" s="174" t="s">
        <v>440</v>
      </c>
      <c r="H48" s="173">
        <v>42</v>
      </c>
      <c r="I48" s="513">
        <f t="shared" si="75"/>
        <v>5.0399999999999993E-2</v>
      </c>
      <c r="J48" s="175" t="e">
        <f t="shared" si="76"/>
        <v>#NAME?</v>
      </c>
      <c r="K48" s="232" t="e">
        <f t="shared" si="77"/>
        <v>#NAME?</v>
      </c>
      <c r="L48" s="290" t="e">
        <f t="shared" si="88"/>
        <v>#NAME?</v>
      </c>
      <c r="M48" s="208" t="e">
        <f t="shared" si="55"/>
        <v>#NAME?</v>
      </c>
      <c r="N48" s="291" t="e">
        <f t="shared" si="78"/>
        <v>#NAME?</v>
      </c>
      <c r="O48" s="291">
        <f t="shared" si="79"/>
        <v>8.1117211125387751E-5</v>
      </c>
      <c r="P48" s="233" t="e">
        <f t="shared" si="56"/>
        <v>#NAME?</v>
      </c>
      <c r="Q48" s="232" t="e">
        <f t="shared" si="80"/>
        <v>#NAME?</v>
      </c>
      <c r="R48" s="232" t="e">
        <f t="shared" si="89"/>
        <v>#NAME?</v>
      </c>
      <c r="S48" s="517" t="e">
        <f t="shared" si="81"/>
        <v>#NAME?</v>
      </c>
      <c r="T48" s="232" t="e">
        <f t="shared" si="57"/>
        <v>#NAME?</v>
      </c>
      <c r="U48" s="233" t="e">
        <f t="shared" si="82"/>
        <v>#NAME?</v>
      </c>
      <c r="V48" s="232" t="e">
        <f t="shared" si="10"/>
        <v>#NAME?</v>
      </c>
      <c r="W48" s="232" t="e">
        <f t="shared" si="58"/>
        <v>#NAME?</v>
      </c>
      <c r="X48" s="232" t="e">
        <f t="shared" si="90"/>
        <v>#NAME?</v>
      </c>
      <c r="Y48" s="234" t="e">
        <f t="shared" si="12"/>
        <v>#NAME?</v>
      </c>
      <c r="Z48" s="234" t="e">
        <f t="shared" si="59"/>
        <v>#NAME?</v>
      </c>
      <c r="AA48" s="232" t="e">
        <f t="shared" si="91"/>
        <v>#NAME?</v>
      </c>
      <c r="AB48" s="232" t="e">
        <f t="shared" si="92"/>
        <v>#NAME?</v>
      </c>
      <c r="AC48" s="232" t="e">
        <f t="shared" si="93"/>
        <v>#NAME?</v>
      </c>
      <c r="AD48">
        <v>20</v>
      </c>
      <c r="AE48" s="208">
        <v>10</v>
      </c>
      <c r="AF48" s="232" t="e">
        <f t="shared" si="94"/>
        <v>#NAME?</v>
      </c>
      <c r="AG48" s="232" t="e">
        <f t="shared" si="95"/>
        <v>#NAME?</v>
      </c>
      <c r="AH48" s="232" t="e">
        <f t="shared" si="60"/>
        <v>#NAME?</v>
      </c>
      <c r="AI48" s="232" t="e">
        <f t="shared" si="96"/>
        <v>#NAME?</v>
      </c>
      <c r="AJ48" s="232" t="e">
        <f t="shared" si="97"/>
        <v>#NAME?</v>
      </c>
      <c r="AK48" s="232" t="e">
        <f t="shared" si="98"/>
        <v>#NAME?</v>
      </c>
      <c r="AL48" s="232">
        <f t="shared" si="99"/>
        <v>0</v>
      </c>
      <c r="AM48" s="232" t="e">
        <f t="shared" si="100"/>
        <v>#NAME?</v>
      </c>
      <c r="AN48" s="232" t="e">
        <f t="shared" si="61"/>
        <v>#NAME?</v>
      </c>
      <c r="AO48" s="232" t="e">
        <f t="shared" si="83"/>
        <v>#NAME?</v>
      </c>
      <c r="AP48" s="232" t="e">
        <f t="shared" si="101"/>
        <v>#NAME?</v>
      </c>
      <c r="AQ48" s="232" t="e">
        <f t="shared" si="62"/>
        <v>#NAME?</v>
      </c>
      <c r="AR48" s="232" t="e">
        <f t="shared" si="63"/>
        <v>#NAME?</v>
      </c>
      <c r="AS48" s="232" t="e">
        <f t="shared" si="25"/>
        <v>#NAME?</v>
      </c>
      <c r="AT48" s="232">
        <f t="shared" si="84"/>
        <v>0.25199999999999995</v>
      </c>
      <c r="AU48" s="292" t="e">
        <f t="shared" si="64"/>
        <v>#NAME?</v>
      </c>
      <c r="AV48" s="235" t="e">
        <f t="shared" si="65"/>
        <v>#NAME?</v>
      </c>
      <c r="AW48" s="235" t="e">
        <f t="shared" si="66"/>
        <v>#NAME?</v>
      </c>
      <c r="AX48" s="235" t="e">
        <f t="shared" si="102"/>
        <v>#NAME?</v>
      </c>
      <c r="AY48" s="235" t="e">
        <f t="shared" si="67"/>
        <v>#NAME?</v>
      </c>
      <c r="AZ48" s="235" t="e">
        <f t="shared" si="28"/>
        <v>#NAME?</v>
      </c>
      <c r="BA48" s="235" t="e">
        <f t="shared" si="29"/>
        <v>#NAME?</v>
      </c>
      <c r="BB48" s="235" t="e">
        <f t="shared" si="85"/>
        <v>#NAME?</v>
      </c>
      <c r="BC48" s="235" t="e">
        <f t="shared" si="86"/>
        <v>#NAME?</v>
      </c>
      <c r="BD48" s="235" t="e">
        <f t="shared" si="32"/>
        <v>#NAME?</v>
      </c>
      <c r="BE48" s="235" t="e">
        <f t="shared" si="68"/>
        <v>#NAME?</v>
      </c>
      <c r="BF48" s="235" t="e">
        <f t="shared" si="69"/>
        <v>#NAME?</v>
      </c>
      <c r="BG48" s="235" t="e">
        <f t="shared" si="33"/>
        <v>#NAME?</v>
      </c>
      <c r="BH48" s="233" t="e">
        <f t="shared" si="70"/>
        <v>#NAME?</v>
      </c>
      <c r="BI48" s="175">
        <f t="shared" si="87"/>
        <v>50.399999999999991</v>
      </c>
      <c r="BJ48" s="292">
        <v>92.407712227333235</v>
      </c>
      <c r="BK48" s="235">
        <f t="shared" si="71"/>
        <v>0.92407712227333239</v>
      </c>
      <c r="BL48" s="376">
        <v>82.869092537697924</v>
      </c>
      <c r="BM48" s="294"/>
      <c r="BN48" s="387" t="e">
        <f t="shared" si="72"/>
        <v>#NAME?</v>
      </c>
      <c r="BO48" s="387" t="e">
        <f t="shared" si="73"/>
        <v>#NAME?</v>
      </c>
      <c r="BP48" s="175" t="e">
        <f t="shared" si="74"/>
        <v>#NAME?</v>
      </c>
      <c r="BQ48" s="235"/>
      <c r="BR48" s="235"/>
      <c r="BS48" s="235"/>
      <c r="BT48" s="235"/>
    </row>
    <row r="49" spans="1:72" ht="13.5" thickBot="1" x14ac:dyDescent="0.25">
      <c r="A49" s="317" t="s">
        <v>378</v>
      </c>
      <c r="B49" s="336"/>
      <c r="C49" s="173" t="s">
        <v>379</v>
      </c>
      <c r="D49" s="174"/>
      <c r="E49" s="174" t="s">
        <v>378</v>
      </c>
      <c r="H49" s="173">
        <v>43</v>
      </c>
      <c r="I49" s="513">
        <f t="shared" si="75"/>
        <v>5.16E-2</v>
      </c>
      <c r="J49" s="175" t="e">
        <f t="shared" si="76"/>
        <v>#NAME?</v>
      </c>
      <c r="K49" s="232" t="e">
        <f t="shared" si="77"/>
        <v>#NAME?</v>
      </c>
      <c r="L49" s="290" t="e">
        <f t="shared" si="88"/>
        <v>#NAME?</v>
      </c>
      <c r="M49" s="208" t="e">
        <f t="shared" si="55"/>
        <v>#NAME?</v>
      </c>
      <c r="N49" s="291" t="e">
        <f t="shared" si="78"/>
        <v>#NAME?</v>
      </c>
      <c r="O49" s="291">
        <f t="shared" si="79"/>
        <v>7.9230764355029884E-5</v>
      </c>
      <c r="P49" s="233" t="e">
        <f t="shared" si="56"/>
        <v>#NAME?</v>
      </c>
      <c r="Q49" s="232" t="e">
        <f t="shared" si="80"/>
        <v>#NAME?</v>
      </c>
      <c r="R49" s="232" t="e">
        <f t="shared" si="89"/>
        <v>#NAME?</v>
      </c>
      <c r="S49" s="517" t="e">
        <f t="shared" si="81"/>
        <v>#NAME?</v>
      </c>
      <c r="T49" s="232" t="e">
        <f t="shared" si="57"/>
        <v>#NAME?</v>
      </c>
      <c r="U49" s="233" t="e">
        <f t="shared" si="82"/>
        <v>#NAME?</v>
      </c>
      <c r="V49" s="232" t="e">
        <f t="shared" si="10"/>
        <v>#NAME?</v>
      </c>
      <c r="W49" s="232" t="e">
        <f t="shared" si="58"/>
        <v>#NAME?</v>
      </c>
      <c r="X49" s="232" t="e">
        <f t="shared" si="90"/>
        <v>#NAME?</v>
      </c>
      <c r="Y49" s="234" t="e">
        <f t="shared" si="12"/>
        <v>#NAME?</v>
      </c>
      <c r="Z49" s="234" t="e">
        <f t="shared" si="59"/>
        <v>#NAME?</v>
      </c>
      <c r="AA49" s="232" t="e">
        <f t="shared" si="91"/>
        <v>#NAME?</v>
      </c>
      <c r="AB49" s="232" t="e">
        <f t="shared" si="92"/>
        <v>#NAME?</v>
      </c>
      <c r="AC49" s="232" t="e">
        <f t="shared" si="93"/>
        <v>#NAME?</v>
      </c>
      <c r="AD49">
        <v>20</v>
      </c>
      <c r="AE49" s="208">
        <v>10</v>
      </c>
      <c r="AF49" s="232" t="e">
        <f t="shared" si="94"/>
        <v>#NAME?</v>
      </c>
      <c r="AG49" s="232" t="e">
        <f t="shared" si="95"/>
        <v>#NAME?</v>
      </c>
      <c r="AH49" s="232" t="e">
        <f t="shared" si="60"/>
        <v>#NAME?</v>
      </c>
      <c r="AI49" s="232" t="e">
        <f t="shared" si="96"/>
        <v>#NAME?</v>
      </c>
      <c r="AJ49" s="232" t="e">
        <f t="shared" si="97"/>
        <v>#NAME?</v>
      </c>
      <c r="AK49" s="232" t="e">
        <f t="shared" si="98"/>
        <v>#NAME?</v>
      </c>
      <c r="AL49" s="232">
        <f t="shared" si="99"/>
        <v>0</v>
      </c>
      <c r="AM49" s="232" t="e">
        <f t="shared" si="100"/>
        <v>#NAME?</v>
      </c>
      <c r="AN49" s="232" t="e">
        <f t="shared" si="61"/>
        <v>#NAME?</v>
      </c>
      <c r="AO49" s="232" t="e">
        <f t="shared" si="83"/>
        <v>#NAME?</v>
      </c>
      <c r="AP49" s="232" t="e">
        <f t="shared" si="101"/>
        <v>#NAME?</v>
      </c>
      <c r="AQ49" s="232" t="e">
        <f t="shared" si="62"/>
        <v>#NAME?</v>
      </c>
      <c r="AR49" s="232" t="e">
        <f t="shared" si="63"/>
        <v>#NAME?</v>
      </c>
      <c r="AS49" s="232" t="e">
        <f t="shared" si="25"/>
        <v>#NAME?</v>
      </c>
      <c r="AT49" s="232">
        <f t="shared" si="84"/>
        <v>0.25800000000000001</v>
      </c>
      <c r="AU49" s="292" t="e">
        <f t="shared" si="64"/>
        <v>#NAME?</v>
      </c>
      <c r="AV49" s="235" t="e">
        <f t="shared" si="65"/>
        <v>#NAME?</v>
      </c>
      <c r="AW49" s="235" t="e">
        <f t="shared" si="66"/>
        <v>#NAME?</v>
      </c>
      <c r="AX49" s="235" t="e">
        <f t="shared" si="102"/>
        <v>#NAME?</v>
      </c>
      <c r="AY49" s="235" t="e">
        <f t="shared" si="67"/>
        <v>#NAME?</v>
      </c>
      <c r="AZ49" s="235" t="e">
        <f t="shared" si="28"/>
        <v>#NAME?</v>
      </c>
      <c r="BA49" s="235" t="e">
        <f t="shared" si="29"/>
        <v>#NAME?</v>
      </c>
      <c r="BB49" s="235" t="e">
        <f t="shared" si="85"/>
        <v>#NAME?</v>
      </c>
      <c r="BC49" s="235" t="e">
        <f t="shared" si="86"/>
        <v>#NAME?</v>
      </c>
      <c r="BD49" s="235" t="e">
        <f t="shared" si="32"/>
        <v>#NAME?</v>
      </c>
      <c r="BE49" s="235" t="e">
        <f t="shared" si="68"/>
        <v>#NAME?</v>
      </c>
      <c r="BF49" s="235" t="e">
        <f t="shared" si="69"/>
        <v>#NAME?</v>
      </c>
      <c r="BG49" s="235" t="e">
        <f t="shared" si="33"/>
        <v>#NAME?</v>
      </c>
      <c r="BH49" s="233" t="e">
        <f t="shared" si="70"/>
        <v>#NAME?</v>
      </c>
      <c r="BI49" s="175">
        <f t="shared" si="87"/>
        <v>51.6</v>
      </c>
      <c r="BJ49" s="292">
        <v>92.412947722856345</v>
      </c>
      <c r="BK49" s="235">
        <f t="shared" si="71"/>
        <v>0.92412947722856342</v>
      </c>
      <c r="BL49" s="376">
        <v>83.470244767533572</v>
      </c>
      <c r="BM49" s="294"/>
      <c r="BN49" s="387" t="e">
        <f t="shared" si="72"/>
        <v>#NAME?</v>
      </c>
      <c r="BO49" s="387" t="e">
        <f t="shared" si="73"/>
        <v>#NAME?</v>
      </c>
      <c r="BP49" s="175" t="e">
        <f t="shared" si="74"/>
        <v>#NAME?</v>
      </c>
      <c r="BQ49" s="235"/>
      <c r="BR49" s="235"/>
      <c r="BS49" s="235"/>
      <c r="BT49" s="235"/>
    </row>
    <row r="50" spans="1:72" ht="13.5" thickBot="1" x14ac:dyDescent="0.25">
      <c r="A50" s="317" t="s">
        <v>44</v>
      </c>
      <c r="B50" s="335">
        <v>0.75</v>
      </c>
      <c r="C50" s="304" t="s">
        <v>43</v>
      </c>
      <c r="D50" s="174">
        <f>B50/1000000000</f>
        <v>7.5E-10</v>
      </c>
      <c r="E50" s="174" t="s">
        <v>441</v>
      </c>
      <c r="H50" s="173">
        <v>44</v>
      </c>
      <c r="I50" s="513">
        <f t="shared" si="75"/>
        <v>5.28E-2</v>
      </c>
      <c r="J50" s="175" t="e">
        <f t="shared" si="76"/>
        <v>#NAME?</v>
      </c>
      <c r="K50" s="232" t="e">
        <f t="shared" si="77"/>
        <v>#NAME?</v>
      </c>
      <c r="L50" s="290" t="e">
        <f t="shared" si="88"/>
        <v>#NAME?</v>
      </c>
      <c r="M50" s="208" t="e">
        <f t="shared" si="55"/>
        <v>#NAME?</v>
      </c>
      <c r="N50" s="291" t="e">
        <f t="shared" si="78"/>
        <v>#NAME?</v>
      </c>
      <c r="O50" s="291">
        <f t="shared" si="79"/>
        <v>7.7430065165142836E-5</v>
      </c>
      <c r="P50" s="233" t="e">
        <f t="shared" si="56"/>
        <v>#NAME?</v>
      </c>
      <c r="Q50" s="232" t="e">
        <f t="shared" si="80"/>
        <v>#NAME?</v>
      </c>
      <c r="R50" s="232" t="e">
        <f t="shared" si="89"/>
        <v>#NAME?</v>
      </c>
      <c r="S50" s="517" t="e">
        <f t="shared" si="81"/>
        <v>#NAME?</v>
      </c>
      <c r="T50" s="232" t="e">
        <f t="shared" si="57"/>
        <v>#NAME?</v>
      </c>
      <c r="U50" s="233" t="e">
        <f t="shared" si="82"/>
        <v>#NAME?</v>
      </c>
      <c r="V50" s="232" t="e">
        <f t="shared" si="10"/>
        <v>#NAME?</v>
      </c>
      <c r="W50" s="232" t="e">
        <f t="shared" si="58"/>
        <v>#NAME?</v>
      </c>
      <c r="X50" s="232" t="e">
        <f t="shared" si="90"/>
        <v>#NAME?</v>
      </c>
      <c r="Y50" s="234" t="e">
        <f t="shared" si="12"/>
        <v>#NAME?</v>
      </c>
      <c r="Z50" s="234" t="e">
        <f t="shared" si="59"/>
        <v>#NAME?</v>
      </c>
      <c r="AA50" s="232" t="e">
        <f t="shared" si="91"/>
        <v>#NAME?</v>
      </c>
      <c r="AB50" s="232" t="e">
        <f t="shared" si="92"/>
        <v>#NAME?</v>
      </c>
      <c r="AC50" s="232" t="e">
        <f t="shared" si="93"/>
        <v>#NAME?</v>
      </c>
      <c r="AD50">
        <v>20</v>
      </c>
      <c r="AE50" s="208">
        <v>10</v>
      </c>
      <c r="AF50" s="232" t="e">
        <f t="shared" si="94"/>
        <v>#NAME?</v>
      </c>
      <c r="AG50" s="232" t="e">
        <f t="shared" si="95"/>
        <v>#NAME?</v>
      </c>
      <c r="AH50" s="232" t="e">
        <f t="shared" si="60"/>
        <v>#NAME?</v>
      </c>
      <c r="AI50" s="232" t="e">
        <f t="shared" si="96"/>
        <v>#NAME?</v>
      </c>
      <c r="AJ50" s="232" t="e">
        <f t="shared" si="97"/>
        <v>#NAME?</v>
      </c>
      <c r="AK50" s="232" t="e">
        <f t="shared" si="98"/>
        <v>#NAME?</v>
      </c>
      <c r="AL50" s="232">
        <f t="shared" si="99"/>
        <v>0</v>
      </c>
      <c r="AM50" s="232" t="e">
        <f t="shared" si="100"/>
        <v>#NAME?</v>
      </c>
      <c r="AN50" s="232" t="e">
        <f t="shared" si="61"/>
        <v>#NAME?</v>
      </c>
      <c r="AO50" s="232" t="e">
        <f t="shared" si="83"/>
        <v>#NAME?</v>
      </c>
      <c r="AP50" s="232" t="e">
        <f t="shared" si="101"/>
        <v>#NAME?</v>
      </c>
      <c r="AQ50" s="232" t="e">
        <f t="shared" si="62"/>
        <v>#NAME?</v>
      </c>
      <c r="AR50" s="232" t="e">
        <f t="shared" si="63"/>
        <v>#NAME?</v>
      </c>
      <c r="AS50" s="232" t="e">
        <f t="shared" si="25"/>
        <v>#NAME?</v>
      </c>
      <c r="AT50" s="232">
        <f t="shared" si="84"/>
        <v>0.26400000000000001</v>
      </c>
      <c r="AU50" s="292" t="e">
        <f t="shared" si="64"/>
        <v>#NAME?</v>
      </c>
      <c r="AV50" s="235" t="e">
        <f t="shared" si="65"/>
        <v>#NAME?</v>
      </c>
      <c r="AW50" s="235" t="e">
        <f t="shared" si="66"/>
        <v>#NAME?</v>
      </c>
      <c r="AX50" s="235" t="e">
        <f t="shared" si="102"/>
        <v>#NAME?</v>
      </c>
      <c r="AY50" s="235" t="e">
        <f t="shared" si="67"/>
        <v>#NAME?</v>
      </c>
      <c r="AZ50" s="235" t="e">
        <f t="shared" si="28"/>
        <v>#NAME?</v>
      </c>
      <c r="BA50" s="235" t="e">
        <f t="shared" si="29"/>
        <v>#NAME?</v>
      </c>
      <c r="BB50" s="235" t="e">
        <f t="shared" si="85"/>
        <v>#NAME?</v>
      </c>
      <c r="BC50" s="235" t="e">
        <f t="shared" si="86"/>
        <v>#NAME?</v>
      </c>
      <c r="BD50" s="235" t="e">
        <f t="shared" si="32"/>
        <v>#NAME?</v>
      </c>
      <c r="BE50" s="235" t="e">
        <f t="shared" si="68"/>
        <v>#NAME?</v>
      </c>
      <c r="BF50" s="235" t="e">
        <f t="shared" si="69"/>
        <v>#NAME?</v>
      </c>
      <c r="BG50" s="235" t="e">
        <f t="shared" si="33"/>
        <v>#NAME?</v>
      </c>
      <c r="BH50" s="233" t="e">
        <f t="shared" si="70"/>
        <v>#NAME?</v>
      </c>
      <c r="BI50" s="175">
        <f t="shared" si="87"/>
        <v>52.8</v>
      </c>
      <c r="BJ50" s="292">
        <v>92.417960006434967</v>
      </c>
      <c r="BK50" s="235">
        <f t="shared" si="71"/>
        <v>0.92417960006434963</v>
      </c>
      <c r="BL50" s="376">
        <v>84.026162499271365</v>
      </c>
      <c r="BM50" s="294"/>
      <c r="BN50" s="387" t="e">
        <f t="shared" si="72"/>
        <v>#NAME?</v>
      </c>
      <c r="BO50" s="387" t="e">
        <f t="shared" si="73"/>
        <v>#NAME?</v>
      </c>
      <c r="BP50" s="175" t="e">
        <f t="shared" si="74"/>
        <v>#NAME?</v>
      </c>
      <c r="BQ50" s="235"/>
      <c r="BR50" s="235"/>
      <c r="BS50" s="235"/>
      <c r="BT50" s="235"/>
    </row>
    <row r="51" spans="1:72" ht="13.5" thickBot="1" x14ac:dyDescent="0.25">
      <c r="A51" s="334" t="s">
        <v>384</v>
      </c>
      <c r="B51" s="335">
        <v>0.8</v>
      </c>
      <c r="C51" s="174" t="s">
        <v>0</v>
      </c>
      <c r="D51" s="174">
        <f>B51</f>
        <v>0.8</v>
      </c>
      <c r="E51" s="174" t="s">
        <v>385</v>
      </c>
      <c r="H51" s="173">
        <v>45</v>
      </c>
      <c r="I51" s="513">
        <f t="shared" si="75"/>
        <v>5.3999999999999999E-2</v>
      </c>
      <c r="J51" s="175" t="e">
        <f t="shared" si="76"/>
        <v>#NAME?</v>
      </c>
      <c r="K51" s="232" t="e">
        <f t="shared" si="77"/>
        <v>#NAME?</v>
      </c>
      <c r="L51" s="290" t="e">
        <f t="shared" si="88"/>
        <v>#NAME?</v>
      </c>
      <c r="M51" s="208" t="e">
        <f t="shared" si="55"/>
        <v>#NAME?</v>
      </c>
      <c r="N51" s="291" t="e">
        <f t="shared" si="78"/>
        <v>#NAME?</v>
      </c>
      <c r="O51" s="291">
        <f t="shared" si="79"/>
        <v>7.5709397050361884E-5</v>
      </c>
      <c r="P51" s="233" t="e">
        <f t="shared" si="56"/>
        <v>#NAME?</v>
      </c>
      <c r="Q51" s="232" t="e">
        <f t="shared" si="80"/>
        <v>#NAME?</v>
      </c>
      <c r="R51" s="232" t="e">
        <f t="shared" si="89"/>
        <v>#NAME?</v>
      </c>
      <c r="S51" s="517" t="e">
        <f t="shared" si="81"/>
        <v>#NAME?</v>
      </c>
      <c r="T51" s="232" t="e">
        <f t="shared" si="57"/>
        <v>#NAME?</v>
      </c>
      <c r="U51" s="233" t="e">
        <f t="shared" si="82"/>
        <v>#NAME?</v>
      </c>
      <c r="V51" s="232" t="e">
        <f t="shared" si="10"/>
        <v>#NAME?</v>
      </c>
      <c r="W51" s="232" t="e">
        <f t="shared" si="58"/>
        <v>#NAME?</v>
      </c>
      <c r="X51" s="232" t="e">
        <f t="shared" si="90"/>
        <v>#NAME?</v>
      </c>
      <c r="Y51" s="234" t="e">
        <f t="shared" si="12"/>
        <v>#NAME?</v>
      </c>
      <c r="Z51" s="234" t="e">
        <f t="shared" si="59"/>
        <v>#NAME?</v>
      </c>
      <c r="AA51" s="232" t="e">
        <f t="shared" si="91"/>
        <v>#NAME?</v>
      </c>
      <c r="AB51" s="232" t="e">
        <f t="shared" si="92"/>
        <v>#NAME?</v>
      </c>
      <c r="AC51" s="232" t="e">
        <f t="shared" si="93"/>
        <v>#NAME?</v>
      </c>
      <c r="AD51">
        <v>20</v>
      </c>
      <c r="AE51" s="208">
        <v>10</v>
      </c>
      <c r="AF51" s="232" t="e">
        <f t="shared" si="94"/>
        <v>#NAME?</v>
      </c>
      <c r="AG51" s="232" t="e">
        <f t="shared" si="95"/>
        <v>#NAME?</v>
      </c>
      <c r="AH51" s="232" t="e">
        <f t="shared" si="60"/>
        <v>#NAME?</v>
      </c>
      <c r="AI51" s="232" t="e">
        <f t="shared" si="96"/>
        <v>#NAME?</v>
      </c>
      <c r="AJ51" s="232" t="e">
        <f t="shared" si="97"/>
        <v>#NAME?</v>
      </c>
      <c r="AK51" s="232" t="e">
        <f t="shared" si="98"/>
        <v>#NAME?</v>
      </c>
      <c r="AL51" s="232">
        <f t="shared" si="99"/>
        <v>0</v>
      </c>
      <c r="AM51" s="232" t="e">
        <f t="shared" si="100"/>
        <v>#NAME?</v>
      </c>
      <c r="AN51" s="232" t="e">
        <f t="shared" si="61"/>
        <v>#NAME?</v>
      </c>
      <c r="AO51" s="232" t="e">
        <f t="shared" si="83"/>
        <v>#NAME?</v>
      </c>
      <c r="AP51" s="232" t="e">
        <f t="shared" si="101"/>
        <v>#NAME?</v>
      </c>
      <c r="AQ51" s="232" t="e">
        <f t="shared" si="62"/>
        <v>#NAME?</v>
      </c>
      <c r="AR51" s="232" t="e">
        <f t="shared" si="63"/>
        <v>#NAME?</v>
      </c>
      <c r="AS51" s="232" t="e">
        <f t="shared" si="25"/>
        <v>#NAME?</v>
      </c>
      <c r="AT51" s="232">
        <f t="shared" si="84"/>
        <v>0.27</v>
      </c>
      <c r="AU51" s="292" t="e">
        <f t="shared" si="64"/>
        <v>#NAME?</v>
      </c>
      <c r="AV51" s="235" t="e">
        <f t="shared" si="65"/>
        <v>#NAME?</v>
      </c>
      <c r="AW51" s="235" t="e">
        <f t="shared" si="66"/>
        <v>#NAME?</v>
      </c>
      <c r="AX51" s="235" t="e">
        <f t="shared" si="102"/>
        <v>#NAME?</v>
      </c>
      <c r="AY51" s="235" t="e">
        <f t="shared" si="67"/>
        <v>#NAME?</v>
      </c>
      <c r="AZ51" s="235" t="e">
        <f t="shared" si="28"/>
        <v>#NAME?</v>
      </c>
      <c r="BA51" s="235" t="e">
        <f t="shared" si="29"/>
        <v>#NAME?</v>
      </c>
      <c r="BB51" s="235" t="e">
        <f t="shared" si="85"/>
        <v>#NAME?</v>
      </c>
      <c r="BC51" s="235" t="e">
        <f t="shared" si="86"/>
        <v>#NAME?</v>
      </c>
      <c r="BD51" s="235" t="e">
        <f t="shared" si="32"/>
        <v>#NAME?</v>
      </c>
      <c r="BE51" s="235" t="e">
        <f t="shared" si="68"/>
        <v>#NAME?</v>
      </c>
      <c r="BF51" s="235" t="e">
        <f t="shared" si="69"/>
        <v>#NAME?</v>
      </c>
      <c r="BG51" s="235" t="e">
        <f t="shared" si="33"/>
        <v>#NAME?</v>
      </c>
      <c r="BH51" s="233" t="e">
        <f t="shared" si="70"/>
        <v>#NAME?</v>
      </c>
      <c r="BI51" s="175">
        <f t="shared" si="87"/>
        <v>54</v>
      </c>
      <c r="BJ51" s="292">
        <v>92.42276393092682</v>
      </c>
      <c r="BK51" s="235">
        <f t="shared" si="71"/>
        <v>0.92422763930926821</v>
      </c>
      <c r="BL51" s="376">
        <v>84.539667081645888</v>
      </c>
      <c r="BM51" s="294"/>
      <c r="BN51" s="387" t="e">
        <f t="shared" si="72"/>
        <v>#NAME?</v>
      </c>
      <c r="BO51" s="387" t="e">
        <f t="shared" si="73"/>
        <v>#NAME?</v>
      </c>
      <c r="BP51" s="175" t="e">
        <f t="shared" si="74"/>
        <v>#NAME?</v>
      </c>
      <c r="BQ51" s="235"/>
      <c r="BR51" s="235"/>
      <c r="BS51" s="235"/>
      <c r="BT51" s="235"/>
    </row>
    <row r="52" spans="1:72" ht="13.5" thickBot="1" x14ac:dyDescent="0.25">
      <c r="A52" s="334" t="s">
        <v>386</v>
      </c>
      <c r="B52" s="335">
        <v>500</v>
      </c>
      <c r="C52" s="298" t="s">
        <v>356</v>
      </c>
      <c r="D52" s="174">
        <f>B52*0.001</f>
        <v>0.5</v>
      </c>
      <c r="E52" s="174" t="s">
        <v>387</v>
      </c>
      <c r="H52" s="173">
        <v>46</v>
      </c>
      <c r="I52" s="513">
        <f t="shared" si="75"/>
        <v>5.5199999999999999E-2</v>
      </c>
      <c r="J52" s="175" t="e">
        <f t="shared" si="76"/>
        <v>#NAME?</v>
      </c>
      <c r="K52" s="232" t="e">
        <f t="shared" si="77"/>
        <v>#NAME?</v>
      </c>
      <c r="L52" s="290" t="e">
        <f t="shared" si="88"/>
        <v>#NAME?</v>
      </c>
      <c r="M52" s="208" t="e">
        <f t="shared" si="55"/>
        <v>#NAME?</v>
      </c>
      <c r="N52" s="291" t="e">
        <f t="shared" si="78"/>
        <v>#NAME?</v>
      </c>
      <c r="O52" s="291">
        <f t="shared" si="79"/>
        <v>7.4063540592745331E-5</v>
      </c>
      <c r="P52" s="233" t="e">
        <f t="shared" si="56"/>
        <v>#NAME?</v>
      </c>
      <c r="Q52" s="232" t="e">
        <f t="shared" si="80"/>
        <v>#NAME?</v>
      </c>
      <c r="R52" s="232" t="e">
        <f t="shared" si="89"/>
        <v>#NAME?</v>
      </c>
      <c r="S52" s="517" t="e">
        <f t="shared" si="81"/>
        <v>#NAME?</v>
      </c>
      <c r="T52" s="232" t="e">
        <f t="shared" si="57"/>
        <v>#NAME?</v>
      </c>
      <c r="U52" s="233" t="e">
        <f t="shared" si="82"/>
        <v>#NAME?</v>
      </c>
      <c r="V52" s="232" t="e">
        <f t="shared" si="10"/>
        <v>#NAME?</v>
      </c>
      <c r="W52" s="232" t="e">
        <f t="shared" si="58"/>
        <v>#NAME?</v>
      </c>
      <c r="X52" s="232" t="e">
        <f t="shared" si="90"/>
        <v>#NAME?</v>
      </c>
      <c r="Y52" s="234" t="e">
        <f t="shared" si="12"/>
        <v>#NAME?</v>
      </c>
      <c r="Z52" s="234" t="e">
        <f t="shared" si="59"/>
        <v>#NAME?</v>
      </c>
      <c r="AA52" s="232" t="e">
        <f t="shared" si="91"/>
        <v>#NAME?</v>
      </c>
      <c r="AB52" s="232" t="e">
        <f t="shared" si="92"/>
        <v>#NAME?</v>
      </c>
      <c r="AC52" s="232" t="e">
        <f t="shared" si="93"/>
        <v>#NAME?</v>
      </c>
      <c r="AD52">
        <v>20</v>
      </c>
      <c r="AE52" s="208">
        <v>10</v>
      </c>
      <c r="AF52" s="232" t="e">
        <f t="shared" si="94"/>
        <v>#NAME?</v>
      </c>
      <c r="AG52" s="232" t="e">
        <f t="shared" si="95"/>
        <v>#NAME?</v>
      </c>
      <c r="AH52" s="232" t="e">
        <f t="shared" si="60"/>
        <v>#NAME?</v>
      </c>
      <c r="AI52" s="232" t="e">
        <f t="shared" si="96"/>
        <v>#NAME?</v>
      </c>
      <c r="AJ52" s="232" t="e">
        <f t="shared" si="97"/>
        <v>#NAME?</v>
      </c>
      <c r="AK52" s="232" t="e">
        <f t="shared" si="98"/>
        <v>#NAME?</v>
      </c>
      <c r="AL52" s="232">
        <f t="shared" si="99"/>
        <v>0</v>
      </c>
      <c r="AM52" s="232" t="e">
        <f t="shared" si="100"/>
        <v>#NAME?</v>
      </c>
      <c r="AN52" s="232" t="e">
        <f t="shared" si="61"/>
        <v>#NAME?</v>
      </c>
      <c r="AO52" s="232" t="e">
        <f t="shared" si="83"/>
        <v>#NAME?</v>
      </c>
      <c r="AP52" s="232" t="e">
        <f t="shared" si="101"/>
        <v>#NAME?</v>
      </c>
      <c r="AQ52" s="232" t="e">
        <f t="shared" si="62"/>
        <v>#NAME?</v>
      </c>
      <c r="AR52" s="232" t="e">
        <f t="shared" si="63"/>
        <v>#NAME?</v>
      </c>
      <c r="AS52" s="232" t="e">
        <f t="shared" si="25"/>
        <v>#NAME?</v>
      </c>
      <c r="AT52" s="232">
        <f t="shared" si="84"/>
        <v>0.27600000000000002</v>
      </c>
      <c r="AU52" s="292" t="e">
        <f t="shared" si="64"/>
        <v>#NAME?</v>
      </c>
      <c r="AV52" s="235" t="e">
        <f t="shared" si="65"/>
        <v>#NAME?</v>
      </c>
      <c r="AW52" s="235" t="e">
        <f t="shared" si="66"/>
        <v>#NAME?</v>
      </c>
      <c r="AX52" s="235" t="e">
        <f t="shared" si="102"/>
        <v>#NAME?</v>
      </c>
      <c r="AY52" s="235" t="e">
        <f t="shared" si="67"/>
        <v>#NAME?</v>
      </c>
      <c r="AZ52" s="235" t="e">
        <f t="shared" si="28"/>
        <v>#NAME?</v>
      </c>
      <c r="BA52" s="235" t="e">
        <f t="shared" si="29"/>
        <v>#NAME?</v>
      </c>
      <c r="BB52" s="235" t="e">
        <f t="shared" si="85"/>
        <v>#NAME?</v>
      </c>
      <c r="BC52" s="235" t="e">
        <f t="shared" si="86"/>
        <v>#NAME?</v>
      </c>
      <c r="BD52" s="235" t="e">
        <f t="shared" si="32"/>
        <v>#NAME?</v>
      </c>
      <c r="BE52" s="235" t="e">
        <f t="shared" si="68"/>
        <v>#NAME?</v>
      </c>
      <c r="BF52" s="235" t="e">
        <f t="shared" si="69"/>
        <v>#NAME?</v>
      </c>
      <c r="BG52" s="235" t="e">
        <f t="shared" si="33"/>
        <v>#NAME?</v>
      </c>
      <c r="BH52" s="233" t="e">
        <f t="shared" si="70"/>
        <v>#NAME?</v>
      </c>
      <c r="BI52" s="175">
        <f t="shared" si="87"/>
        <v>55.199999999999996</v>
      </c>
      <c r="BJ52" s="292">
        <v>92.42737306034725</v>
      </c>
      <c r="BK52" s="235">
        <f t="shared" si="71"/>
        <v>0.92427373060347251</v>
      </c>
      <c r="BL52" s="376">
        <v>85.013498258999789</v>
      </c>
      <c r="BM52" s="294"/>
      <c r="BN52" s="387" t="e">
        <f t="shared" si="72"/>
        <v>#NAME?</v>
      </c>
      <c r="BO52" s="387" t="e">
        <f t="shared" si="73"/>
        <v>#NAME?</v>
      </c>
      <c r="BP52" s="175" t="e">
        <f t="shared" si="74"/>
        <v>#NAME?</v>
      </c>
      <c r="BQ52" s="235"/>
      <c r="BR52" s="235"/>
      <c r="BS52" s="235"/>
      <c r="BT52" s="235"/>
    </row>
    <row r="53" spans="1:72" x14ac:dyDescent="0.2">
      <c r="A53" s="334" t="s">
        <v>390</v>
      </c>
      <c r="B53" s="335">
        <v>0</v>
      </c>
      <c r="C53" s="174" t="s">
        <v>391</v>
      </c>
      <c r="D53" s="306">
        <f>B53/1000000</f>
        <v>0</v>
      </c>
      <c r="E53" s="174" t="s">
        <v>392</v>
      </c>
      <c r="H53" s="173">
        <v>47</v>
      </c>
      <c r="I53" s="513">
        <f t="shared" si="75"/>
        <v>5.6399999999999992E-2</v>
      </c>
      <c r="J53" s="175" t="e">
        <f t="shared" si="76"/>
        <v>#NAME?</v>
      </c>
      <c r="K53" s="232" t="e">
        <f t="shared" si="77"/>
        <v>#NAME?</v>
      </c>
      <c r="L53" s="290" t="e">
        <f t="shared" si="88"/>
        <v>#NAME?</v>
      </c>
      <c r="M53" s="208" t="e">
        <f t="shared" si="55"/>
        <v>#NAME?</v>
      </c>
      <c r="N53" s="291" t="e">
        <f t="shared" si="78"/>
        <v>#NAME?</v>
      </c>
      <c r="O53" s="291">
        <f t="shared" si="79"/>
        <v>7.2487720580133728E-5</v>
      </c>
      <c r="P53" s="233" t="e">
        <f t="shared" si="56"/>
        <v>#NAME?</v>
      </c>
      <c r="Q53" s="232" t="e">
        <f t="shared" si="80"/>
        <v>#NAME?</v>
      </c>
      <c r="R53" s="232" t="e">
        <f t="shared" si="89"/>
        <v>#NAME?</v>
      </c>
      <c r="S53" s="517" t="e">
        <f t="shared" si="81"/>
        <v>#NAME?</v>
      </c>
      <c r="T53" s="232" t="e">
        <f t="shared" si="57"/>
        <v>#NAME?</v>
      </c>
      <c r="U53" s="233" t="e">
        <f t="shared" si="82"/>
        <v>#NAME?</v>
      </c>
      <c r="V53" s="232" t="e">
        <f t="shared" si="10"/>
        <v>#NAME?</v>
      </c>
      <c r="W53" s="232" t="e">
        <f t="shared" si="58"/>
        <v>#NAME?</v>
      </c>
      <c r="X53" s="232" t="e">
        <f t="shared" si="90"/>
        <v>#NAME?</v>
      </c>
      <c r="Y53" s="234" t="e">
        <f t="shared" si="12"/>
        <v>#NAME?</v>
      </c>
      <c r="Z53" s="234" t="e">
        <f t="shared" si="59"/>
        <v>#NAME?</v>
      </c>
      <c r="AA53" s="232" t="e">
        <f t="shared" si="91"/>
        <v>#NAME?</v>
      </c>
      <c r="AB53" s="232" t="e">
        <f t="shared" si="92"/>
        <v>#NAME?</v>
      </c>
      <c r="AC53" s="232" t="e">
        <f t="shared" si="93"/>
        <v>#NAME?</v>
      </c>
      <c r="AD53">
        <v>20</v>
      </c>
      <c r="AE53" s="208">
        <v>10</v>
      </c>
      <c r="AF53" s="232" t="e">
        <f t="shared" si="94"/>
        <v>#NAME?</v>
      </c>
      <c r="AG53" s="232" t="e">
        <f t="shared" si="95"/>
        <v>#NAME?</v>
      </c>
      <c r="AH53" s="232" t="e">
        <f t="shared" si="60"/>
        <v>#NAME?</v>
      </c>
      <c r="AI53" s="232" t="e">
        <f t="shared" si="96"/>
        <v>#NAME?</v>
      </c>
      <c r="AJ53" s="232" t="e">
        <f t="shared" si="97"/>
        <v>#NAME?</v>
      </c>
      <c r="AK53" s="232" t="e">
        <f t="shared" si="98"/>
        <v>#NAME?</v>
      </c>
      <c r="AL53" s="232">
        <f t="shared" si="99"/>
        <v>0</v>
      </c>
      <c r="AM53" s="232" t="e">
        <f t="shared" si="100"/>
        <v>#NAME?</v>
      </c>
      <c r="AN53" s="232" t="e">
        <f t="shared" si="61"/>
        <v>#NAME?</v>
      </c>
      <c r="AO53" s="232" t="e">
        <f t="shared" si="83"/>
        <v>#NAME?</v>
      </c>
      <c r="AP53" s="232" t="e">
        <f t="shared" si="101"/>
        <v>#NAME?</v>
      </c>
      <c r="AQ53" s="232" t="e">
        <f t="shared" si="62"/>
        <v>#NAME?</v>
      </c>
      <c r="AR53" s="232" t="e">
        <f t="shared" si="63"/>
        <v>#NAME?</v>
      </c>
      <c r="AS53" s="232" t="e">
        <f t="shared" si="25"/>
        <v>#NAME?</v>
      </c>
      <c r="AT53" s="232">
        <f t="shared" si="84"/>
        <v>0.28199999999999997</v>
      </c>
      <c r="AU53" s="292" t="e">
        <f t="shared" si="64"/>
        <v>#NAME?</v>
      </c>
      <c r="AV53" s="235" t="e">
        <f t="shared" si="65"/>
        <v>#NAME?</v>
      </c>
      <c r="AW53" s="235" t="e">
        <f t="shared" si="66"/>
        <v>#NAME?</v>
      </c>
      <c r="AX53" s="235" t="e">
        <f t="shared" si="102"/>
        <v>#NAME?</v>
      </c>
      <c r="AY53" s="235" t="e">
        <f t="shared" si="67"/>
        <v>#NAME?</v>
      </c>
      <c r="AZ53" s="235" t="e">
        <f t="shared" si="28"/>
        <v>#NAME?</v>
      </c>
      <c r="BA53" s="235" t="e">
        <f t="shared" si="29"/>
        <v>#NAME?</v>
      </c>
      <c r="BB53" s="235" t="e">
        <f t="shared" si="85"/>
        <v>#NAME?</v>
      </c>
      <c r="BC53" s="235" t="e">
        <f t="shared" si="86"/>
        <v>#NAME?</v>
      </c>
      <c r="BD53" s="235" t="e">
        <f t="shared" si="32"/>
        <v>#NAME?</v>
      </c>
      <c r="BE53" s="235" t="e">
        <f t="shared" si="68"/>
        <v>#NAME?</v>
      </c>
      <c r="BF53" s="235" t="e">
        <f t="shared" si="69"/>
        <v>#NAME?</v>
      </c>
      <c r="BG53" s="235" t="e">
        <f t="shared" si="33"/>
        <v>#NAME?</v>
      </c>
      <c r="BH53" s="233" t="e">
        <f t="shared" si="70"/>
        <v>#NAME?</v>
      </c>
      <c r="BI53" s="175">
        <f t="shared" si="87"/>
        <v>56.399999999999991</v>
      </c>
      <c r="BJ53" s="292">
        <v>92.431799806694343</v>
      </c>
      <c r="BK53" s="235">
        <f t="shared" si="71"/>
        <v>0.92431799806694348</v>
      </c>
      <c r="BL53" s="376">
        <v>85.450299481057854</v>
      </c>
      <c r="BM53" s="294"/>
      <c r="BN53" s="387" t="e">
        <f t="shared" si="72"/>
        <v>#NAME?</v>
      </c>
      <c r="BO53" s="387" t="e">
        <f t="shared" si="73"/>
        <v>#NAME?</v>
      </c>
      <c r="BP53" s="175" t="e">
        <f t="shared" si="74"/>
        <v>#NAME?</v>
      </c>
      <c r="BQ53" s="235"/>
      <c r="BR53" s="235"/>
      <c r="BS53" s="235"/>
      <c r="BT53" s="235"/>
    </row>
    <row r="54" spans="1:72" x14ac:dyDescent="0.2">
      <c r="H54" s="173">
        <v>48</v>
      </c>
      <c r="I54" s="513">
        <f t="shared" si="75"/>
        <v>5.7599999999999998E-2</v>
      </c>
      <c r="J54" s="175" t="e">
        <f t="shared" si="76"/>
        <v>#NAME?</v>
      </c>
      <c r="K54" s="232" t="e">
        <f t="shared" si="77"/>
        <v>#NAME?</v>
      </c>
      <c r="L54" s="290" t="e">
        <f t="shared" si="88"/>
        <v>#NAME?</v>
      </c>
      <c r="M54" s="208" t="e">
        <f t="shared" si="55"/>
        <v>#NAME?</v>
      </c>
      <c r="N54" s="291" t="e">
        <f t="shared" si="78"/>
        <v>#NAME?</v>
      </c>
      <c r="O54" s="291">
        <f t="shared" si="79"/>
        <v>7.0977559734714275E-5</v>
      </c>
      <c r="P54" s="233" t="e">
        <f t="shared" si="56"/>
        <v>#NAME?</v>
      </c>
      <c r="Q54" s="232" t="e">
        <f t="shared" si="80"/>
        <v>#NAME?</v>
      </c>
      <c r="R54" s="232" t="e">
        <f t="shared" si="89"/>
        <v>#NAME?</v>
      </c>
      <c r="S54" s="517" t="e">
        <f t="shared" si="81"/>
        <v>#NAME?</v>
      </c>
      <c r="T54" s="232" t="e">
        <f t="shared" si="57"/>
        <v>#NAME?</v>
      </c>
      <c r="U54" s="233" t="e">
        <f t="shared" si="82"/>
        <v>#NAME?</v>
      </c>
      <c r="V54" s="232" t="e">
        <f t="shared" si="10"/>
        <v>#NAME?</v>
      </c>
      <c r="W54" s="232" t="e">
        <f t="shared" si="58"/>
        <v>#NAME?</v>
      </c>
      <c r="X54" s="232" t="e">
        <f t="shared" si="90"/>
        <v>#NAME?</v>
      </c>
      <c r="Y54" s="234" t="e">
        <f t="shared" si="12"/>
        <v>#NAME?</v>
      </c>
      <c r="Z54" s="234" t="e">
        <f t="shared" si="59"/>
        <v>#NAME?</v>
      </c>
      <c r="AA54" s="232" t="e">
        <f t="shared" si="91"/>
        <v>#NAME?</v>
      </c>
      <c r="AB54" s="232" t="e">
        <f t="shared" si="92"/>
        <v>#NAME?</v>
      </c>
      <c r="AC54" s="232" t="e">
        <f t="shared" si="93"/>
        <v>#NAME?</v>
      </c>
      <c r="AD54">
        <v>20</v>
      </c>
      <c r="AE54" s="208">
        <v>10</v>
      </c>
      <c r="AF54" s="232" t="e">
        <f t="shared" si="94"/>
        <v>#NAME?</v>
      </c>
      <c r="AG54" s="232" t="e">
        <f t="shared" si="95"/>
        <v>#NAME?</v>
      </c>
      <c r="AH54" s="232" t="e">
        <f t="shared" si="60"/>
        <v>#NAME?</v>
      </c>
      <c r="AI54" s="232" t="e">
        <f t="shared" si="96"/>
        <v>#NAME?</v>
      </c>
      <c r="AJ54" s="232" t="e">
        <f t="shared" si="97"/>
        <v>#NAME?</v>
      </c>
      <c r="AK54" s="232" t="e">
        <f t="shared" si="98"/>
        <v>#NAME?</v>
      </c>
      <c r="AL54" s="232">
        <f t="shared" si="99"/>
        <v>0</v>
      </c>
      <c r="AM54" s="232" t="e">
        <f t="shared" si="100"/>
        <v>#NAME?</v>
      </c>
      <c r="AN54" s="232" t="e">
        <f t="shared" si="61"/>
        <v>#NAME?</v>
      </c>
      <c r="AO54" s="232" t="e">
        <f t="shared" si="83"/>
        <v>#NAME?</v>
      </c>
      <c r="AP54" s="232" t="e">
        <f t="shared" si="101"/>
        <v>#NAME?</v>
      </c>
      <c r="AQ54" s="232" t="e">
        <f t="shared" si="62"/>
        <v>#NAME?</v>
      </c>
      <c r="AR54" s="232" t="e">
        <f t="shared" si="63"/>
        <v>#NAME?</v>
      </c>
      <c r="AS54" s="232" t="e">
        <f t="shared" si="25"/>
        <v>#NAME?</v>
      </c>
      <c r="AT54" s="232">
        <f t="shared" si="84"/>
        <v>0.28799999999999998</v>
      </c>
      <c r="AU54" s="292" t="e">
        <f t="shared" si="64"/>
        <v>#NAME?</v>
      </c>
      <c r="AV54" s="235" t="e">
        <f t="shared" si="65"/>
        <v>#NAME?</v>
      </c>
      <c r="AW54" s="235" t="e">
        <f t="shared" si="66"/>
        <v>#NAME?</v>
      </c>
      <c r="AX54" s="235" t="e">
        <f t="shared" si="102"/>
        <v>#NAME?</v>
      </c>
      <c r="AY54" s="235" t="e">
        <f t="shared" si="67"/>
        <v>#NAME?</v>
      </c>
      <c r="AZ54" s="235" t="e">
        <f t="shared" si="28"/>
        <v>#NAME?</v>
      </c>
      <c r="BA54" s="235" t="e">
        <f t="shared" si="29"/>
        <v>#NAME?</v>
      </c>
      <c r="BB54" s="235" t="e">
        <f t="shared" si="85"/>
        <v>#NAME?</v>
      </c>
      <c r="BC54" s="235" t="e">
        <f t="shared" si="86"/>
        <v>#NAME?</v>
      </c>
      <c r="BD54" s="235" t="e">
        <f t="shared" si="32"/>
        <v>#NAME?</v>
      </c>
      <c r="BE54" s="235" t="e">
        <f t="shared" si="68"/>
        <v>#NAME?</v>
      </c>
      <c r="BF54" s="235" t="e">
        <f t="shared" si="69"/>
        <v>#NAME?</v>
      </c>
      <c r="BG54" s="235" t="e">
        <f t="shared" si="33"/>
        <v>#NAME?</v>
      </c>
      <c r="BH54" s="233" t="e">
        <f t="shared" si="70"/>
        <v>#NAME?</v>
      </c>
      <c r="BI54" s="175">
        <f t="shared" si="87"/>
        <v>57.6</v>
      </c>
      <c r="BJ54" s="292">
        <v>92.436055549705159</v>
      </c>
      <c r="BK54" s="235">
        <f t="shared" si="71"/>
        <v>0.92436055549705154</v>
      </c>
      <c r="BL54" s="376">
        <v>85.852606905132433</v>
      </c>
      <c r="BM54" s="294"/>
      <c r="BN54" s="387" t="e">
        <f t="shared" si="72"/>
        <v>#NAME?</v>
      </c>
      <c r="BO54" s="387" t="e">
        <f t="shared" si="73"/>
        <v>#NAME?</v>
      </c>
      <c r="BP54" s="175" t="e">
        <f t="shared" si="74"/>
        <v>#NAME?</v>
      </c>
      <c r="BQ54" s="235"/>
      <c r="BR54" s="235"/>
      <c r="BS54" s="235"/>
      <c r="BT54" s="235"/>
    </row>
    <row r="55" spans="1:72" x14ac:dyDescent="0.2">
      <c r="H55" s="173">
        <v>49</v>
      </c>
      <c r="I55" s="513">
        <f t="shared" si="75"/>
        <v>5.8799999999999998E-2</v>
      </c>
      <c r="J55" s="175" t="e">
        <f t="shared" si="76"/>
        <v>#NAME?</v>
      </c>
      <c r="K55" s="232" t="e">
        <f t="shared" si="77"/>
        <v>#NAME?</v>
      </c>
      <c r="L55" s="290" t="e">
        <f t="shared" si="88"/>
        <v>#NAME?</v>
      </c>
      <c r="M55" s="208" t="e">
        <f t="shared" si="55"/>
        <v>#NAME?</v>
      </c>
      <c r="N55" s="291" t="e">
        <f t="shared" si="78"/>
        <v>#NAME?</v>
      </c>
      <c r="O55" s="291">
        <f t="shared" si="79"/>
        <v>6.9529038107475201E-5</v>
      </c>
      <c r="P55" s="233" t="e">
        <f t="shared" si="56"/>
        <v>#NAME?</v>
      </c>
      <c r="Q55" s="232" t="e">
        <f t="shared" si="80"/>
        <v>#NAME?</v>
      </c>
      <c r="R55" s="232" t="e">
        <f t="shared" si="89"/>
        <v>#NAME?</v>
      </c>
      <c r="S55" s="517" t="e">
        <f t="shared" si="81"/>
        <v>#NAME?</v>
      </c>
      <c r="T55" s="232" t="e">
        <f t="shared" si="57"/>
        <v>#NAME?</v>
      </c>
      <c r="U55" s="233" t="e">
        <f t="shared" si="82"/>
        <v>#NAME?</v>
      </c>
      <c r="V55" s="232" t="e">
        <f t="shared" si="10"/>
        <v>#NAME?</v>
      </c>
      <c r="W55" s="232" t="e">
        <f t="shared" si="58"/>
        <v>#NAME?</v>
      </c>
      <c r="X55" s="232" t="e">
        <f t="shared" si="90"/>
        <v>#NAME?</v>
      </c>
      <c r="Y55" s="234" t="e">
        <f t="shared" si="12"/>
        <v>#NAME?</v>
      </c>
      <c r="Z55" s="234" t="e">
        <f t="shared" si="59"/>
        <v>#NAME?</v>
      </c>
      <c r="AA55" s="232" t="e">
        <f t="shared" si="91"/>
        <v>#NAME?</v>
      </c>
      <c r="AB55" s="232" t="e">
        <f t="shared" si="92"/>
        <v>#NAME?</v>
      </c>
      <c r="AC55" s="232" t="e">
        <f t="shared" si="93"/>
        <v>#NAME?</v>
      </c>
      <c r="AD55">
        <v>20</v>
      </c>
      <c r="AE55" s="208">
        <v>10</v>
      </c>
      <c r="AF55" s="232" t="e">
        <f t="shared" si="94"/>
        <v>#NAME?</v>
      </c>
      <c r="AG55" s="232" t="e">
        <f t="shared" si="95"/>
        <v>#NAME?</v>
      </c>
      <c r="AH55" s="232" t="e">
        <f t="shared" si="60"/>
        <v>#NAME?</v>
      </c>
      <c r="AI55" s="232" t="e">
        <f t="shared" si="96"/>
        <v>#NAME?</v>
      </c>
      <c r="AJ55" s="232" t="e">
        <f t="shared" si="97"/>
        <v>#NAME?</v>
      </c>
      <c r="AK55" s="232" t="e">
        <f t="shared" si="98"/>
        <v>#NAME?</v>
      </c>
      <c r="AL55" s="232">
        <f t="shared" si="99"/>
        <v>0</v>
      </c>
      <c r="AM55" s="232" t="e">
        <f t="shared" si="100"/>
        <v>#NAME?</v>
      </c>
      <c r="AN55" s="232" t="e">
        <f t="shared" si="61"/>
        <v>#NAME?</v>
      </c>
      <c r="AO55" s="232" t="e">
        <f t="shared" si="83"/>
        <v>#NAME?</v>
      </c>
      <c r="AP55" s="232" t="e">
        <f t="shared" si="101"/>
        <v>#NAME?</v>
      </c>
      <c r="AQ55" s="232" t="e">
        <f t="shared" si="62"/>
        <v>#NAME?</v>
      </c>
      <c r="AR55" s="232" t="e">
        <f t="shared" si="63"/>
        <v>#NAME?</v>
      </c>
      <c r="AS55" s="232" t="e">
        <f t="shared" si="25"/>
        <v>#NAME?</v>
      </c>
      <c r="AT55" s="232">
        <f t="shared" si="84"/>
        <v>0.29399999999999998</v>
      </c>
      <c r="AU55" s="292" t="e">
        <f t="shared" si="64"/>
        <v>#NAME?</v>
      </c>
      <c r="AV55" s="235" t="e">
        <f t="shared" si="65"/>
        <v>#NAME?</v>
      </c>
      <c r="AW55" s="235" t="e">
        <f t="shared" si="66"/>
        <v>#NAME?</v>
      </c>
      <c r="AX55" s="235" t="e">
        <f t="shared" si="102"/>
        <v>#NAME?</v>
      </c>
      <c r="AY55" s="235" t="e">
        <f t="shared" si="67"/>
        <v>#NAME?</v>
      </c>
      <c r="AZ55" s="235" t="e">
        <f t="shared" si="28"/>
        <v>#NAME?</v>
      </c>
      <c r="BA55" s="235" t="e">
        <f t="shared" si="29"/>
        <v>#NAME?</v>
      </c>
      <c r="BB55" s="235" t="e">
        <f t="shared" si="85"/>
        <v>#NAME?</v>
      </c>
      <c r="BC55" s="235" t="e">
        <f t="shared" si="86"/>
        <v>#NAME?</v>
      </c>
      <c r="BD55" s="235" t="e">
        <f t="shared" si="32"/>
        <v>#NAME?</v>
      </c>
      <c r="BE55" s="235" t="e">
        <f t="shared" si="68"/>
        <v>#NAME?</v>
      </c>
      <c r="BF55" s="235" t="e">
        <f t="shared" si="69"/>
        <v>#NAME?</v>
      </c>
      <c r="BG55" s="235" t="e">
        <f t="shared" si="33"/>
        <v>#NAME?</v>
      </c>
      <c r="BH55" s="233" t="e">
        <f t="shared" si="70"/>
        <v>#NAME?</v>
      </c>
      <c r="BI55" s="175">
        <f t="shared" si="87"/>
        <v>58.8</v>
      </c>
      <c r="BJ55" s="292">
        <v>92.440150741976623</v>
      </c>
      <c r="BK55" s="235">
        <f t="shared" si="71"/>
        <v>0.92440150741976623</v>
      </c>
      <c r="BL55" s="376">
        <v>86.22284161520011</v>
      </c>
      <c r="BM55" s="294"/>
      <c r="BN55" s="387" t="e">
        <f t="shared" si="72"/>
        <v>#NAME?</v>
      </c>
      <c r="BO55" s="387" t="e">
        <f t="shared" si="73"/>
        <v>#NAME?</v>
      </c>
      <c r="BP55" s="175" t="e">
        <f t="shared" si="74"/>
        <v>#NAME?</v>
      </c>
      <c r="BQ55" s="235"/>
      <c r="BR55" s="235"/>
      <c r="BS55" s="235"/>
      <c r="BT55" s="235"/>
    </row>
    <row r="56" spans="1:72" x14ac:dyDescent="0.2">
      <c r="H56" s="173">
        <v>50</v>
      </c>
      <c r="I56" s="513">
        <f t="shared" si="75"/>
        <v>0.06</v>
      </c>
      <c r="J56" s="175" t="e">
        <f t="shared" si="76"/>
        <v>#NAME?</v>
      </c>
      <c r="K56" s="232" t="e">
        <f t="shared" si="77"/>
        <v>#NAME?</v>
      </c>
      <c r="L56" s="290" t="e">
        <f t="shared" si="88"/>
        <v>#NAME?</v>
      </c>
      <c r="M56" s="208" t="e">
        <f t="shared" si="55"/>
        <v>#NAME?</v>
      </c>
      <c r="N56" s="291" t="e">
        <f t="shared" si="78"/>
        <v>#NAME?</v>
      </c>
      <c r="O56" s="291">
        <f t="shared" si="79"/>
        <v>6.8138457345325704E-5</v>
      </c>
      <c r="P56" s="233" t="e">
        <f t="shared" si="56"/>
        <v>#NAME?</v>
      </c>
      <c r="Q56" s="232" t="e">
        <f t="shared" si="80"/>
        <v>#NAME?</v>
      </c>
      <c r="R56" s="232" t="e">
        <f t="shared" si="89"/>
        <v>#NAME?</v>
      </c>
      <c r="S56" s="517" t="e">
        <f t="shared" si="81"/>
        <v>#NAME?</v>
      </c>
      <c r="T56" s="232" t="e">
        <f t="shared" si="57"/>
        <v>#NAME?</v>
      </c>
      <c r="U56" s="233" t="e">
        <f t="shared" si="82"/>
        <v>#NAME?</v>
      </c>
      <c r="V56" s="232" t="e">
        <f t="shared" si="10"/>
        <v>#NAME?</v>
      </c>
      <c r="W56" s="232" t="e">
        <f t="shared" si="58"/>
        <v>#NAME?</v>
      </c>
      <c r="X56" s="232" t="e">
        <f t="shared" si="90"/>
        <v>#NAME?</v>
      </c>
      <c r="Y56" s="234" t="e">
        <f t="shared" si="12"/>
        <v>#NAME?</v>
      </c>
      <c r="Z56" s="234" t="e">
        <f t="shared" si="59"/>
        <v>#NAME?</v>
      </c>
      <c r="AA56" s="232" t="e">
        <f t="shared" si="91"/>
        <v>#NAME?</v>
      </c>
      <c r="AB56" s="232" t="e">
        <f t="shared" si="92"/>
        <v>#NAME?</v>
      </c>
      <c r="AC56" s="232" t="e">
        <f t="shared" si="93"/>
        <v>#NAME?</v>
      </c>
      <c r="AD56">
        <v>20</v>
      </c>
      <c r="AE56" s="208">
        <v>10</v>
      </c>
      <c r="AF56" s="232" t="e">
        <f t="shared" si="94"/>
        <v>#NAME?</v>
      </c>
      <c r="AG56" s="232" t="e">
        <f t="shared" si="95"/>
        <v>#NAME?</v>
      </c>
      <c r="AH56" s="232" t="e">
        <f t="shared" si="60"/>
        <v>#NAME?</v>
      </c>
      <c r="AI56" s="232" t="e">
        <f t="shared" si="96"/>
        <v>#NAME?</v>
      </c>
      <c r="AJ56" s="232" t="e">
        <f t="shared" si="97"/>
        <v>#NAME?</v>
      </c>
      <c r="AK56" s="232" t="e">
        <f t="shared" si="98"/>
        <v>#NAME?</v>
      </c>
      <c r="AL56" s="232">
        <f t="shared" si="99"/>
        <v>0</v>
      </c>
      <c r="AM56" s="232" t="e">
        <f t="shared" si="100"/>
        <v>#NAME?</v>
      </c>
      <c r="AN56" s="232" t="e">
        <f t="shared" si="61"/>
        <v>#NAME?</v>
      </c>
      <c r="AO56" s="232" t="e">
        <f t="shared" si="83"/>
        <v>#NAME?</v>
      </c>
      <c r="AP56" s="232" t="e">
        <f t="shared" si="101"/>
        <v>#NAME?</v>
      </c>
      <c r="AQ56" s="232" t="e">
        <f t="shared" si="62"/>
        <v>#NAME?</v>
      </c>
      <c r="AR56" s="232" t="e">
        <f t="shared" si="63"/>
        <v>#NAME?</v>
      </c>
      <c r="AS56" s="232" t="e">
        <f t="shared" si="25"/>
        <v>#NAME?</v>
      </c>
      <c r="AT56" s="232">
        <f t="shared" si="84"/>
        <v>0.3</v>
      </c>
      <c r="AU56" s="292" t="e">
        <f t="shared" si="64"/>
        <v>#NAME?</v>
      </c>
      <c r="AV56" s="235" t="e">
        <f t="shared" si="65"/>
        <v>#NAME?</v>
      </c>
      <c r="AW56" s="235" t="e">
        <f t="shared" si="66"/>
        <v>#NAME?</v>
      </c>
      <c r="AX56" s="235" t="e">
        <f t="shared" si="102"/>
        <v>#NAME?</v>
      </c>
      <c r="AY56" s="235" t="e">
        <f t="shared" si="67"/>
        <v>#NAME?</v>
      </c>
      <c r="AZ56" s="235" t="e">
        <f t="shared" si="28"/>
        <v>#NAME?</v>
      </c>
      <c r="BA56" s="235" t="e">
        <f t="shared" si="29"/>
        <v>#NAME?</v>
      </c>
      <c r="BB56" s="235" t="e">
        <f t="shared" si="85"/>
        <v>#NAME?</v>
      </c>
      <c r="BC56" s="235" t="e">
        <f t="shared" si="86"/>
        <v>#NAME?</v>
      </c>
      <c r="BD56" s="235" t="e">
        <f t="shared" si="32"/>
        <v>#NAME?</v>
      </c>
      <c r="BE56" s="235" t="e">
        <f t="shared" si="68"/>
        <v>#NAME?</v>
      </c>
      <c r="BF56" s="235" t="e">
        <f t="shared" si="69"/>
        <v>#NAME?</v>
      </c>
      <c r="BG56" s="235" t="e">
        <f t="shared" si="33"/>
        <v>#NAME?</v>
      </c>
      <c r="BH56" s="233" t="e">
        <f t="shared" si="70"/>
        <v>#NAME?</v>
      </c>
      <c r="BI56" s="175">
        <f t="shared" si="87"/>
        <v>60</v>
      </c>
      <c r="BJ56" s="292">
        <v>92.444095001495995</v>
      </c>
      <c r="BK56" s="235">
        <f t="shared" si="71"/>
        <v>0.92444095001495996</v>
      </c>
      <c r="BL56" s="376">
        <v>86.563304603609339</v>
      </c>
      <c r="BM56" s="294"/>
      <c r="BN56" s="387" t="e">
        <f t="shared" si="72"/>
        <v>#NAME?</v>
      </c>
      <c r="BO56" s="387" t="e">
        <f t="shared" si="73"/>
        <v>#NAME?</v>
      </c>
      <c r="BP56" s="175" t="e">
        <f t="shared" si="74"/>
        <v>#NAME?</v>
      </c>
      <c r="BQ56" s="235"/>
      <c r="BR56" s="235"/>
      <c r="BS56" s="235"/>
      <c r="BT56" s="235"/>
    </row>
    <row r="57" spans="1:72" x14ac:dyDescent="0.2">
      <c r="H57" s="173">
        <v>51</v>
      </c>
      <c r="I57" s="513">
        <f t="shared" si="75"/>
        <v>6.1199999999999997E-2</v>
      </c>
      <c r="J57" s="175" t="e">
        <f t="shared" si="76"/>
        <v>#NAME?</v>
      </c>
      <c r="K57" s="232" t="e">
        <f t="shared" si="77"/>
        <v>#NAME?</v>
      </c>
      <c r="L57" s="290" t="e">
        <f t="shared" si="88"/>
        <v>#NAME?</v>
      </c>
      <c r="M57" s="208" t="e">
        <f t="shared" si="55"/>
        <v>#NAME?</v>
      </c>
      <c r="N57" s="291" t="e">
        <f t="shared" si="78"/>
        <v>#NAME?</v>
      </c>
      <c r="O57" s="291">
        <f t="shared" si="79"/>
        <v>6.6802409162084017E-5</v>
      </c>
      <c r="P57" s="233" t="e">
        <f t="shared" si="56"/>
        <v>#NAME?</v>
      </c>
      <c r="Q57" s="232" t="e">
        <f t="shared" si="80"/>
        <v>#NAME?</v>
      </c>
      <c r="R57" s="232" t="e">
        <f t="shared" si="89"/>
        <v>#NAME?</v>
      </c>
      <c r="S57" s="517" t="e">
        <f t="shared" si="81"/>
        <v>#NAME?</v>
      </c>
      <c r="T57" s="232" t="e">
        <f t="shared" si="57"/>
        <v>#NAME?</v>
      </c>
      <c r="U57" s="233" t="e">
        <f t="shared" si="82"/>
        <v>#NAME?</v>
      </c>
      <c r="V57" s="232" t="e">
        <f t="shared" si="10"/>
        <v>#NAME?</v>
      </c>
      <c r="W57" s="232" t="e">
        <f t="shared" si="58"/>
        <v>#NAME?</v>
      </c>
      <c r="X57" s="232" t="e">
        <f t="shared" si="90"/>
        <v>#NAME?</v>
      </c>
      <c r="Y57" s="234" t="e">
        <f t="shared" si="12"/>
        <v>#NAME?</v>
      </c>
      <c r="Z57" s="234" t="e">
        <f t="shared" si="59"/>
        <v>#NAME?</v>
      </c>
      <c r="AA57" s="232" t="e">
        <f t="shared" si="91"/>
        <v>#NAME?</v>
      </c>
      <c r="AB57" s="232" t="e">
        <f t="shared" si="92"/>
        <v>#NAME?</v>
      </c>
      <c r="AC57" s="232" t="e">
        <f t="shared" si="93"/>
        <v>#NAME?</v>
      </c>
      <c r="AD57">
        <v>20</v>
      </c>
      <c r="AE57" s="208">
        <v>10</v>
      </c>
      <c r="AF57" s="232" t="e">
        <f t="shared" si="94"/>
        <v>#NAME?</v>
      </c>
      <c r="AG57" s="232" t="e">
        <f t="shared" si="95"/>
        <v>#NAME?</v>
      </c>
      <c r="AH57" s="232" t="e">
        <f t="shared" si="60"/>
        <v>#NAME?</v>
      </c>
      <c r="AI57" s="232" t="e">
        <f t="shared" si="96"/>
        <v>#NAME?</v>
      </c>
      <c r="AJ57" s="232" t="e">
        <f t="shared" si="97"/>
        <v>#NAME?</v>
      </c>
      <c r="AK57" s="232" t="e">
        <f t="shared" si="98"/>
        <v>#NAME?</v>
      </c>
      <c r="AL57" s="232">
        <f t="shared" si="99"/>
        <v>0</v>
      </c>
      <c r="AM57" s="232" t="e">
        <f t="shared" si="100"/>
        <v>#NAME?</v>
      </c>
      <c r="AN57" s="232" t="e">
        <f t="shared" si="61"/>
        <v>#NAME?</v>
      </c>
      <c r="AO57" s="232" t="e">
        <f t="shared" si="83"/>
        <v>#NAME?</v>
      </c>
      <c r="AP57" s="232" t="e">
        <f t="shared" si="101"/>
        <v>#NAME?</v>
      </c>
      <c r="AQ57" s="232" t="e">
        <f t="shared" si="62"/>
        <v>#NAME?</v>
      </c>
      <c r="AR57" s="232" t="e">
        <f t="shared" si="63"/>
        <v>#NAME?</v>
      </c>
      <c r="AS57" s="232" t="e">
        <f t="shared" si="25"/>
        <v>#NAME?</v>
      </c>
      <c r="AT57" s="232">
        <f t="shared" si="84"/>
        <v>0.30599999999999999</v>
      </c>
      <c r="AU57" s="292" t="e">
        <f t="shared" si="64"/>
        <v>#NAME?</v>
      </c>
      <c r="AV57" s="235" t="e">
        <f t="shared" si="65"/>
        <v>#NAME?</v>
      </c>
      <c r="AW57" s="235" t="e">
        <f t="shared" si="66"/>
        <v>#NAME?</v>
      </c>
      <c r="AX57" s="235" t="e">
        <f t="shared" si="102"/>
        <v>#NAME?</v>
      </c>
      <c r="AY57" s="235" t="e">
        <f t="shared" si="67"/>
        <v>#NAME?</v>
      </c>
      <c r="AZ57" s="235" t="e">
        <f t="shared" si="28"/>
        <v>#NAME?</v>
      </c>
      <c r="BA57" s="235" t="e">
        <f t="shared" si="29"/>
        <v>#NAME?</v>
      </c>
      <c r="BB57" s="235" t="e">
        <f t="shared" si="85"/>
        <v>#NAME?</v>
      </c>
      <c r="BC57" s="235" t="e">
        <f t="shared" si="86"/>
        <v>#NAME?</v>
      </c>
      <c r="BD57" s="235" t="e">
        <f t="shared" si="32"/>
        <v>#NAME?</v>
      </c>
      <c r="BE57" s="235" t="e">
        <f t="shared" si="68"/>
        <v>#NAME?</v>
      </c>
      <c r="BF57" s="235" t="e">
        <f t="shared" si="69"/>
        <v>#NAME?</v>
      </c>
      <c r="BG57" s="235" t="e">
        <f t="shared" si="33"/>
        <v>#NAME?</v>
      </c>
      <c r="BH57" s="233" t="e">
        <f t="shared" si="70"/>
        <v>#NAME?</v>
      </c>
      <c r="BI57" s="175">
        <f t="shared" si="87"/>
        <v>61.199999999999996</v>
      </c>
      <c r="BJ57" s="292">
        <v>92.447897193306034</v>
      </c>
      <c r="BK57" s="235">
        <f t="shared" si="71"/>
        <v>0.92447897193306039</v>
      </c>
      <c r="BL57" s="376">
        <v>86.876174091204305</v>
      </c>
      <c r="BM57" s="294"/>
      <c r="BN57" s="387" t="e">
        <f t="shared" si="72"/>
        <v>#NAME?</v>
      </c>
      <c r="BO57" s="387" t="e">
        <f t="shared" si="73"/>
        <v>#NAME?</v>
      </c>
      <c r="BP57" s="175" t="e">
        <f t="shared" si="74"/>
        <v>#NAME?</v>
      </c>
      <c r="BQ57" s="235"/>
      <c r="BR57" s="235"/>
      <c r="BS57" s="235"/>
      <c r="BT57" s="235"/>
    </row>
    <row r="58" spans="1:72" x14ac:dyDescent="0.2">
      <c r="H58" s="173">
        <v>52</v>
      </c>
      <c r="I58" s="513">
        <f t="shared" si="75"/>
        <v>6.2399999999999997E-2</v>
      </c>
      <c r="J58" s="175" t="e">
        <f t="shared" si="76"/>
        <v>#NAME?</v>
      </c>
      <c r="K58" s="232" t="e">
        <f t="shared" si="77"/>
        <v>#NAME?</v>
      </c>
      <c r="L58" s="290" t="e">
        <f t="shared" si="88"/>
        <v>#NAME?</v>
      </c>
      <c r="M58" s="208" t="e">
        <f t="shared" si="55"/>
        <v>#NAME?</v>
      </c>
      <c r="N58" s="291" t="e">
        <f t="shared" si="78"/>
        <v>#NAME?</v>
      </c>
      <c r="O58" s="291">
        <f t="shared" si="79"/>
        <v>6.5517747447428566E-5</v>
      </c>
      <c r="P58" s="233" t="e">
        <f t="shared" si="56"/>
        <v>#NAME?</v>
      </c>
      <c r="Q58" s="232" t="e">
        <f t="shared" si="80"/>
        <v>#NAME?</v>
      </c>
      <c r="R58" s="232" t="e">
        <f t="shared" si="89"/>
        <v>#NAME?</v>
      </c>
      <c r="S58" s="517" t="e">
        <f t="shared" si="81"/>
        <v>#NAME?</v>
      </c>
      <c r="T58" s="232" t="e">
        <f t="shared" si="57"/>
        <v>#NAME?</v>
      </c>
      <c r="U58" s="233" t="e">
        <f t="shared" si="82"/>
        <v>#NAME?</v>
      </c>
      <c r="V58" s="232" t="e">
        <f t="shared" si="10"/>
        <v>#NAME?</v>
      </c>
      <c r="W58" s="232" t="e">
        <f t="shared" si="58"/>
        <v>#NAME?</v>
      </c>
      <c r="X58" s="232" t="e">
        <f t="shared" si="90"/>
        <v>#NAME?</v>
      </c>
      <c r="Y58" s="234" t="e">
        <f t="shared" si="12"/>
        <v>#NAME?</v>
      </c>
      <c r="Z58" s="234" t="e">
        <f t="shared" si="59"/>
        <v>#NAME?</v>
      </c>
      <c r="AA58" s="232" t="e">
        <f t="shared" si="91"/>
        <v>#NAME?</v>
      </c>
      <c r="AB58" s="232" t="e">
        <f t="shared" si="92"/>
        <v>#NAME?</v>
      </c>
      <c r="AC58" s="232" t="e">
        <f t="shared" si="93"/>
        <v>#NAME?</v>
      </c>
      <c r="AD58">
        <v>20</v>
      </c>
      <c r="AE58" s="208">
        <v>10</v>
      </c>
      <c r="AF58" s="232" t="e">
        <f t="shared" si="94"/>
        <v>#NAME?</v>
      </c>
      <c r="AG58" s="232" t="e">
        <f t="shared" si="95"/>
        <v>#NAME?</v>
      </c>
      <c r="AH58" s="232" t="e">
        <f t="shared" si="60"/>
        <v>#NAME?</v>
      </c>
      <c r="AI58" s="232" t="e">
        <f t="shared" si="96"/>
        <v>#NAME?</v>
      </c>
      <c r="AJ58" s="232" t="e">
        <f t="shared" si="97"/>
        <v>#NAME?</v>
      </c>
      <c r="AK58" s="232" t="e">
        <f t="shared" si="98"/>
        <v>#NAME?</v>
      </c>
      <c r="AL58" s="232">
        <f t="shared" si="99"/>
        <v>0</v>
      </c>
      <c r="AM58" s="232" t="e">
        <f t="shared" si="100"/>
        <v>#NAME?</v>
      </c>
      <c r="AN58" s="232" t="e">
        <f t="shared" si="61"/>
        <v>#NAME?</v>
      </c>
      <c r="AO58" s="232" t="e">
        <f t="shared" si="83"/>
        <v>#NAME?</v>
      </c>
      <c r="AP58" s="232" t="e">
        <f t="shared" si="101"/>
        <v>#NAME?</v>
      </c>
      <c r="AQ58" s="232" t="e">
        <f t="shared" si="62"/>
        <v>#NAME?</v>
      </c>
      <c r="AR58" s="232" t="e">
        <f t="shared" si="63"/>
        <v>#NAME?</v>
      </c>
      <c r="AS58" s="232" t="e">
        <f t="shared" si="25"/>
        <v>#NAME?</v>
      </c>
      <c r="AT58" s="232">
        <f t="shared" si="84"/>
        <v>0.312</v>
      </c>
      <c r="AU58" s="292" t="e">
        <f t="shared" si="64"/>
        <v>#NAME?</v>
      </c>
      <c r="AV58" s="235" t="e">
        <f t="shared" si="65"/>
        <v>#NAME?</v>
      </c>
      <c r="AW58" s="235" t="e">
        <f t="shared" si="66"/>
        <v>#NAME?</v>
      </c>
      <c r="AX58" s="235" t="e">
        <f t="shared" si="102"/>
        <v>#NAME?</v>
      </c>
      <c r="AY58" s="235" t="e">
        <f t="shared" si="67"/>
        <v>#NAME?</v>
      </c>
      <c r="AZ58" s="235" t="e">
        <f t="shared" si="28"/>
        <v>#NAME?</v>
      </c>
      <c r="BA58" s="235" t="e">
        <f t="shared" si="29"/>
        <v>#NAME?</v>
      </c>
      <c r="BB58" s="235" t="e">
        <f t="shared" si="85"/>
        <v>#NAME?</v>
      </c>
      <c r="BC58" s="235" t="e">
        <f t="shared" si="86"/>
        <v>#NAME?</v>
      </c>
      <c r="BD58" s="235" t="e">
        <f t="shared" si="32"/>
        <v>#NAME?</v>
      </c>
      <c r="BE58" s="235" t="e">
        <f t="shared" si="68"/>
        <v>#NAME?</v>
      </c>
      <c r="BF58" s="235" t="e">
        <f t="shared" si="69"/>
        <v>#NAME?</v>
      </c>
      <c r="BG58" s="235" t="e">
        <f t="shared" si="33"/>
        <v>#NAME?</v>
      </c>
      <c r="BH58" s="233" t="e">
        <f t="shared" si="70"/>
        <v>#NAME?</v>
      </c>
      <c r="BI58" s="175">
        <f t="shared" si="87"/>
        <v>62.4</v>
      </c>
      <c r="BJ58" s="292">
        <v>92.451565501764364</v>
      </c>
      <c r="BK58" s="235">
        <f t="shared" si="71"/>
        <v>0.92451565501764366</v>
      </c>
      <c r="BL58" s="376">
        <v>87.163504797093893</v>
      </c>
      <c r="BM58" s="294"/>
      <c r="BN58" s="387" t="e">
        <f t="shared" si="72"/>
        <v>#NAME?</v>
      </c>
      <c r="BO58" s="387" t="e">
        <f t="shared" si="73"/>
        <v>#NAME?</v>
      </c>
      <c r="BP58" s="175" t="e">
        <f t="shared" si="74"/>
        <v>#NAME?</v>
      </c>
      <c r="BQ58" s="235"/>
      <c r="BR58" s="235"/>
      <c r="BS58" s="235"/>
      <c r="BT58" s="235"/>
    </row>
    <row r="59" spans="1:72" x14ac:dyDescent="0.2">
      <c r="H59" s="173">
        <v>53</v>
      </c>
      <c r="I59" s="513">
        <f t="shared" si="75"/>
        <v>6.3600000000000004E-2</v>
      </c>
      <c r="J59" s="175" t="e">
        <f t="shared" si="76"/>
        <v>#NAME?</v>
      </c>
      <c r="K59" s="232" t="e">
        <f t="shared" si="77"/>
        <v>#NAME?</v>
      </c>
      <c r="L59" s="290" t="e">
        <f t="shared" si="88"/>
        <v>#NAME?</v>
      </c>
      <c r="M59" s="208" t="e">
        <f t="shared" si="55"/>
        <v>#NAME?</v>
      </c>
      <c r="N59" s="291" t="e">
        <f t="shared" si="78"/>
        <v>#NAME?</v>
      </c>
      <c r="O59" s="291">
        <f t="shared" si="79"/>
        <v>6.4281563533326127E-5</v>
      </c>
      <c r="P59" s="233" t="e">
        <f t="shared" si="56"/>
        <v>#NAME?</v>
      </c>
      <c r="Q59" s="232" t="e">
        <f t="shared" si="80"/>
        <v>#NAME?</v>
      </c>
      <c r="R59" s="232" t="e">
        <f t="shared" si="89"/>
        <v>#NAME?</v>
      </c>
      <c r="S59" s="517" t="e">
        <f t="shared" si="81"/>
        <v>#NAME?</v>
      </c>
      <c r="T59" s="232" t="e">
        <f t="shared" si="57"/>
        <v>#NAME?</v>
      </c>
      <c r="U59" s="233" t="e">
        <f t="shared" si="82"/>
        <v>#NAME?</v>
      </c>
      <c r="V59" s="232" t="e">
        <f t="shared" si="10"/>
        <v>#NAME?</v>
      </c>
      <c r="W59" s="232" t="e">
        <f t="shared" si="58"/>
        <v>#NAME?</v>
      </c>
      <c r="X59" s="232" t="e">
        <f t="shared" si="90"/>
        <v>#NAME?</v>
      </c>
      <c r="Y59" s="234" t="e">
        <f t="shared" si="12"/>
        <v>#NAME?</v>
      </c>
      <c r="Z59" s="234" t="e">
        <f t="shared" si="59"/>
        <v>#NAME?</v>
      </c>
      <c r="AA59" s="232" t="e">
        <f t="shared" si="91"/>
        <v>#NAME?</v>
      </c>
      <c r="AB59" s="232" t="e">
        <f t="shared" si="92"/>
        <v>#NAME?</v>
      </c>
      <c r="AC59" s="232" t="e">
        <f t="shared" si="93"/>
        <v>#NAME?</v>
      </c>
      <c r="AD59">
        <v>20</v>
      </c>
      <c r="AE59" s="208">
        <v>10</v>
      </c>
      <c r="AF59" s="232" t="e">
        <f t="shared" si="94"/>
        <v>#NAME?</v>
      </c>
      <c r="AG59" s="232" t="e">
        <f t="shared" si="95"/>
        <v>#NAME?</v>
      </c>
      <c r="AH59" s="232" t="e">
        <f t="shared" si="60"/>
        <v>#NAME?</v>
      </c>
      <c r="AI59" s="232" t="e">
        <f t="shared" si="96"/>
        <v>#NAME?</v>
      </c>
      <c r="AJ59" s="232" t="e">
        <f t="shared" si="97"/>
        <v>#NAME?</v>
      </c>
      <c r="AK59" s="232" t="e">
        <f t="shared" si="98"/>
        <v>#NAME?</v>
      </c>
      <c r="AL59" s="232">
        <f t="shared" si="99"/>
        <v>0</v>
      </c>
      <c r="AM59" s="232" t="e">
        <f t="shared" si="100"/>
        <v>#NAME?</v>
      </c>
      <c r="AN59" s="232" t="e">
        <f t="shared" si="61"/>
        <v>#NAME?</v>
      </c>
      <c r="AO59" s="232" t="e">
        <f t="shared" si="83"/>
        <v>#NAME?</v>
      </c>
      <c r="AP59" s="232" t="e">
        <f t="shared" si="101"/>
        <v>#NAME?</v>
      </c>
      <c r="AQ59" s="232" t="e">
        <f t="shared" si="62"/>
        <v>#NAME?</v>
      </c>
      <c r="AR59" s="232" t="e">
        <f t="shared" si="63"/>
        <v>#NAME?</v>
      </c>
      <c r="AS59" s="232" t="e">
        <f t="shared" si="25"/>
        <v>#NAME?</v>
      </c>
      <c r="AT59" s="232">
        <f t="shared" si="84"/>
        <v>0.318</v>
      </c>
      <c r="AU59" s="292" t="e">
        <f t="shared" si="64"/>
        <v>#NAME?</v>
      </c>
      <c r="AV59" s="235" t="e">
        <f t="shared" si="65"/>
        <v>#NAME?</v>
      </c>
      <c r="AW59" s="235" t="e">
        <f t="shared" si="66"/>
        <v>#NAME?</v>
      </c>
      <c r="AX59" s="235" t="e">
        <f t="shared" si="102"/>
        <v>#NAME?</v>
      </c>
      <c r="AY59" s="235" t="e">
        <f t="shared" si="67"/>
        <v>#NAME?</v>
      </c>
      <c r="AZ59" s="235" t="e">
        <f t="shared" si="28"/>
        <v>#NAME?</v>
      </c>
      <c r="BA59" s="235" t="e">
        <f t="shared" si="29"/>
        <v>#NAME?</v>
      </c>
      <c r="BB59" s="235" t="e">
        <f t="shared" si="85"/>
        <v>#NAME?</v>
      </c>
      <c r="BC59" s="235" t="e">
        <f t="shared" si="86"/>
        <v>#NAME?</v>
      </c>
      <c r="BD59" s="235" t="e">
        <f t="shared" si="32"/>
        <v>#NAME?</v>
      </c>
      <c r="BE59" s="235" t="e">
        <f t="shared" si="68"/>
        <v>#NAME?</v>
      </c>
      <c r="BF59" s="235" t="e">
        <f t="shared" si="69"/>
        <v>#NAME?</v>
      </c>
      <c r="BG59" s="235" t="e">
        <f t="shared" si="33"/>
        <v>#NAME?</v>
      </c>
      <c r="BH59" s="233" t="e">
        <f t="shared" si="70"/>
        <v>#NAME?</v>
      </c>
      <c r="BI59" s="175">
        <f t="shared" si="87"/>
        <v>63.6</v>
      </c>
      <c r="BJ59" s="292">
        <v>92.455107494637488</v>
      </c>
      <c r="BK59" s="235">
        <f t="shared" si="71"/>
        <v>0.9245510749463749</v>
      </c>
      <c r="BL59" s="376">
        <v>87.427228807536096</v>
      </c>
      <c r="BM59" s="294"/>
      <c r="BN59" s="387" t="e">
        <f t="shared" si="72"/>
        <v>#NAME?</v>
      </c>
      <c r="BO59" s="387" t="e">
        <f t="shared" si="73"/>
        <v>#NAME?</v>
      </c>
      <c r="BP59" s="175" t="e">
        <f t="shared" si="74"/>
        <v>#NAME?</v>
      </c>
      <c r="BQ59" s="235"/>
      <c r="BR59" s="235"/>
      <c r="BS59" s="235"/>
      <c r="BT59" s="235"/>
    </row>
    <row r="60" spans="1:72" x14ac:dyDescent="0.2">
      <c r="H60" s="173">
        <v>54</v>
      </c>
      <c r="I60" s="513">
        <f t="shared" si="75"/>
        <v>6.4799999999999996E-2</v>
      </c>
      <c r="J60" s="175" t="e">
        <f t="shared" si="76"/>
        <v>#NAME?</v>
      </c>
      <c r="K60" s="232" t="e">
        <f t="shared" si="77"/>
        <v>#NAME?</v>
      </c>
      <c r="L60" s="290" t="e">
        <f t="shared" si="88"/>
        <v>#NAME?</v>
      </c>
      <c r="M60" s="208" t="e">
        <f t="shared" si="55"/>
        <v>#NAME?</v>
      </c>
      <c r="N60" s="291" t="e">
        <f t="shared" si="78"/>
        <v>#NAME?</v>
      </c>
      <c r="O60" s="291">
        <f t="shared" si="79"/>
        <v>6.3091164208634913E-5</v>
      </c>
      <c r="P60" s="233" t="e">
        <f t="shared" si="56"/>
        <v>#NAME?</v>
      </c>
      <c r="Q60" s="232" t="e">
        <f t="shared" si="80"/>
        <v>#NAME?</v>
      </c>
      <c r="R60" s="232" t="e">
        <f t="shared" si="89"/>
        <v>#NAME?</v>
      </c>
      <c r="S60" s="517" t="e">
        <f t="shared" si="81"/>
        <v>#NAME?</v>
      </c>
      <c r="T60" s="232" t="e">
        <f t="shared" si="57"/>
        <v>#NAME?</v>
      </c>
      <c r="U60" s="233" t="e">
        <f t="shared" si="82"/>
        <v>#NAME?</v>
      </c>
      <c r="V60" s="232" t="e">
        <f t="shared" si="10"/>
        <v>#NAME?</v>
      </c>
      <c r="W60" s="232" t="e">
        <f t="shared" si="58"/>
        <v>#NAME?</v>
      </c>
      <c r="X60" s="232" t="e">
        <f t="shared" si="90"/>
        <v>#NAME?</v>
      </c>
      <c r="Y60" s="234" t="e">
        <f t="shared" si="12"/>
        <v>#NAME?</v>
      </c>
      <c r="Z60" s="234" t="e">
        <f t="shared" si="59"/>
        <v>#NAME?</v>
      </c>
      <c r="AA60" s="232" t="e">
        <f t="shared" si="91"/>
        <v>#NAME?</v>
      </c>
      <c r="AB60" s="232" t="e">
        <f t="shared" si="92"/>
        <v>#NAME?</v>
      </c>
      <c r="AC60" s="232" t="e">
        <f t="shared" si="93"/>
        <v>#NAME?</v>
      </c>
      <c r="AD60">
        <v>20</v>
      </c>
      <c r="AE60" s="208">
        <v>10</v>
      </c>
      <c r="AF60" s="232" t="e">
        <f t="shared" si="94"/>
        <v>#NAME?</v>
      </c>
      <c r="AG60" s="232" t="e">
        <f t="shared" si="95"/>
        <v>#NAME?</v>
      </c>
      <c r="AH60" s="232" t="e">
        <f t="shared" si="60"/>
        <v>#NAME?</v>
      </c>
      <c r="AI60" s="232" t="e">
        <f t="shared" si="96"/>
        <v>#NAME?</v>
      </c>
      <c r="AJ60" s="232" t="e">
        <f t="shared" si="97"/>
        <v>#NAME?</v>
      </c>
      <c r="AK60" s="232" t="e">
        <f t="shared" si="98"/>
        <v>#NAME?</v>
      </c>
      <c r="AL60" s="232">
        <f t="shared" si="99"/>
        <v>0</v>
      </c>
      <c r="AM60" s="232" t="e">
        <f t="shared" si="100"/>
        <v>#NAME?</v>
      </c>
      <c r="AN60" s="232" t="e">
        <f t="shared" si="61"/>
        <v>#NAME?</v>
      </c>
      <c r="AO60" s="232" t="e">
        <f t="shared" si="83"/>
        <v>#NAME?</v>
      </c>
      <c r="AP60" s="232" t="e">
        <f t="shared" si="101"/>
        <v>#NAME?</v>
      </c>
      <c r="AQ60" s="232" t="e">
        <f t="shared" si="62"/>
        <v>#NAME?</v>
      </c>
      <c r="AR60" s="232" t="e">
        <f t="shared" si="63"/>
        <v>#NAME?</v>
      </c>
      <c r="AS60" s="232" t="e">
        <f t="shared" si="25"/>
        <v>#NAME?</v>
      </c>
      <c r="AT60" s="232">
        <f t="shared" si="84"/>
        <v>0.32399999999999995</v>
      </c>
      <c r="AU60" s="292" t="e">
        <f t="shared" si="64"/>
        <v>#NAME?</v>
      </c>
      <c r="AV60" s="235" t="e">
        <f t="shared" si="65"/>
        <v>#NAME?</v>
      </c>
      <c r="AW60" s="235" t="e">
        <f t="shared" si="66"/>
        <v>#NAME?</v>
      </c>
      <c r="AX60" s="235" t="e">
        <f t="shared" si="102"/>
        <v>#NAME?</v>
      </c>
      <c r="AY60" s="235" t="e">
        <f t="shared" si="67"/>
        <v>#NAME?</v>
      </c>
      <c r="AZ60" s="235" t="e">
        <f t="shared" si="28"/>
        <v>#NAME?</v>
      </c>
      <c r="BA60" s="235" t="e">
        <f t="shared" si="29"/>
        <v>#NAME?</v>
      </c>
      <c r="BB60" s="235" t="e">
        <f t="shared" si="85"/>
        <v>#NAME?</v>
      </c>
      <c r="BC60" s="235" t="e">
        <f t="shared" si="86"/>
        <v>#NAME?</v>
      </c>
      <c r="BD60" s="235" t="e">
        <f t="shared" si="32"/>
        <v>#NAME?</v>
      </c>
      <c r="BE60" s="235" t="e">
        <f t="shared" si="68"/>
        <v>#NAME?</v>
      </c>
      <c r="BF60" s="235" t="e">
        <f t="shared" si="69"/>
        <v>#NAME?</v>
      </c>
      <c r="BG60" s="235" t="e">
        <f t="shared" si="33"/>
        <v>#NAME?</v>
      </c>
      <c r="BH60" s="233" t="e">
        <f t="shared" si="70"/>
        <v>#NAME?</v>
      </c>
      <c r="BI60" s="175">
        <f t="shared" si="87"/>
        <v>64.8</v>
      </c>
      <c r="BJ60" s="292">
        <v>92.458530180085759</v>
      </c>
      <c r="BK60" s="235">
        <f t="shared" si="71"/>
        <v>0.92458530180085763</v>
      </c>
      <c r="BL60" s="376">
        <v>87.669157732427976</v>
      </c>
      <c r="BM60" s="294"/>
      <c r="BN60" s="387" t="e">
        <f t="shared" si="72"/>
        <v>#NAME?</v>
      </c>
      <c r="BO60" s="387" t="e">
        <f t="shared" si="73"/>
        <v>#NAME?</v>
      </c>
      <c r="BP60" s="175" t="e">
        <f t="shared" si="74"/>
        <v>#NAME?</v>
      </c>
      <c r="BQ60" s="235"/>
      <c r="BR60" s="235"/>
      <c r="BS60" s="235"/>
      <c r="BT60" s="235"/>
    </row>
    <row r="61" spans="1:72" x14ac:dyDescent="0.2">
      <c r="H61" s="173">
        <v>55</v>
      </c>
      <c r="I61" s="513">
        <f t="shared" si="75"/>
        <v>6.6000000000000003E-2</v>
      </c>
      <c r="J61" s="175" t="e">
        <f t="shared" si="76"/>
        <v>#NAME?</v>
      </c>
      <c r="K61" s="232" t="e">
        <f t="shared" si="77"/>
        <v>#NAME?</v>
      </c>
      <c r="L61" s="290" t="e">
        <f t="shared" si="88"/>
        <v>#NAME?</v>
      </c>
      <c r="M61" s="208" t="e">
        <f t="shared" si="55"/>
        <v>#NAME?</v>
      </c>
      <c r="N61" s="291" t="e">
        <f t="shared" si="78"/>
        <v>#NAME?</v>
      </c>
      <c r="O61" s="291">
        <f t="shared" si="79"/>
        <v>6.1944052132114274E-5</v>
      </c>
      <c r="P61" s="233" t="e">
        <f t="shared" si="56"/>
        <v>#NAME?</v>
      </c>
      <c r="Q61" s="232" t="e">
        <f t="shared" si="80"/>
        <v>#NAME?</v>
      </c>
      <c r="R61" s="232" t="e">
        <f t="shared" si="89"/>
        <v>#NAME?</v>
      </c>
      <c r="S61" s="517" t="e">
        <f t="shared" si="81"/>
        <v>#NAME?</v>
      </c>
      <c r="T61" s="232" t="e">
        <f t="shared" si="57"/>
        <v>#NAME?</v>
      </c>
      <c r="U61" s="233" t="e">
        <f t="shared" si="82"/>
        <v>#NAME?</v>
      </c>
      <c r="V61" s="232" t="e">
        <f t="shared" si="10"/>
        <v>#NAME?</v>
      </c>
      <c r="W61" s="232" t="e">
        <f t="shared" si="58"/>
        <v>#NAME?</v>
      </c>
      <c r="X61" s="232" t="e">
        <f t="shared" si="90"/>
        <v>#NAME?</v>
      </c>
      <c r="Y61" s="234" t="e">
        <f t="shared" si="12"/>
        <v>#NAME?</v>
      </c>
      <c r="Z61" s="234" t="e">
        <f t="shared" si="59"/>
        <v>#NAME?</v>
      </c>
      <c r="AA61" s="232" t="e">
        <f t="shared" si="91"/>
        <v>#NAME?</v>
      </c>
      <c r="AB61" s="232" t="e">
        <f t="shared" si="92"/>
        <v>#NAME?</v>
      </c>
      <c r="AC61" s="232" t="e">
        <f t="shared" si="93"/>
        <v>#NAME?</v>
      </c>
      <c r="AD61">
        <v>20</v>
      </c>
      <c r="AE61" s="208">
        <v>10</v>
      </c>
      <c r="AF61" s="232" t="e">
        <f t="shared" si="94"/>
        <v>#NAME?</v>
      </c>
      <c r="AG61" s="232" t="e">
        <f t="shared" si="95"/>
        <v>#NAME?</v>
      </c>
      <c r="AH61" s="232" t="e">
        <f t="shared" si="60"/>
        <v>#NAME?</v>
      </c>
      <c r="AI61" s="232" t="e">
        <f t="shared" si="96"/>
        <v>#NAME?</v>
      </c>
      <c r="AJ61" s="232" t="e">
        <f t="shared" si="97"/>
        <v>#NAME?</v>
      </c>
      <c r="AK61" s="232" t="e">
        <f t="shared" si="98"/>
        <v>#NAME?</v>
      </c>
      <c r="AL61" s="232">
        <f t="shared" si="99"/>
        <v>0</v>
      </c>
      <c r="AM61" s="232" t="e">
        <f t="shared" si="100"/>
        <v>#NAME?</v>
      </c>
      <c r="AN61" s="232" t="e">
        <f t="shared" si="61"/>
        <v>#NAME?</v>
      </c>
      <c r="AO61" s="232" t="e">
        <f t="shared" si="83"/>
        <v>#NAME?</v>
      </c>
      <c r="AP61" s="232" t="e">
        <f t="shared" si="101"/>
        <v>#NAME?</v>
      </c>
      <c r="AQ61" s="232" t="e">
        <f t="shared" si="62"/>
        <v>#NAME?</v>
      </c>
      <c r="AR61" s="232" t="e">
        <f t="shared" si="63"/>
        <v>#NAME?</v>
      </c>
      <c r="AS61" s="232" t="e">
        <f t="shared" si="25"/>
        <v>#NAME?</v>
      </c>
      <c r="AT61" s="232">
        <f t="shared" si="84"/>
        <v>0.33</v>
      </c>
      <c r="AU61" s="292" t="e">
        <f t="shared" si="64"/>
        <v>#NAME?</v>
      </c>
      <c r="AV61" s="235" t="e">
        <f t="shared" si="65"/>
        <v>#NAME?</v>
      </c>
      <c r="AW61" s="235" t="e">
        <f t="shared" si="66"/>
        <v>#NAME?</v>
      </c>
      <c r="AX61" s="235" t="e">
        <f t="shared" si="102"/>
        <v>#NAME?</v>
      </c>
      <c r="AY61" s="235" t="e">
        <f t="shared" si="67"/>
        <v>#NAME?</v>
      </c>
      <c r="AZ61" s="235" t="e">
        <f t="shared" si="28"/>
        <v>#NAME?</v>
      </c>
      <c r="BA61" s="235" t="e">
        <f t="shared" si="29"/>
        <v>#NAME?</v>
      </c>
      <c r="BB61" s="235" t="e">
        <f t="shared" si="85"/>
        <v>#NAME?</v>
      </c>
      <c r="BC61" s="235" t="e">
        <f t="shared" si="86"/>
        <v>#NAME?</v>
      </c>
      <c r="BD61" s="235" t="e">
        <f t="shared" si="32"/>
        <v>#NAME?</v>
      </c>
      <c r="BE61" s="235" t="e">
        <f t="shared" si="68"/>
        <v>#NAME?</v>
      </c>
      <c r="BF61" s="235" t="e">
        <f t="shared" si="69"/>
        <v>#NAME?</v>
      </c>
      <c r="BG61" s="235" t="e">
        <f t="shared" si="33"/>
        <v>#NAME?</v>
      </c>
      <c r="BH61" s="233" t="e">
        <f t="shared" si="70"/>
        <v>#NAME?</v>
      </c>
      <c r="BI61" s="175">
        <f t="shared" si="87"/>
        <v>66</v>
      </c>
      <c r="BJ61" s="292">
        <v>92.461840057442586</v>
      </c>
      <c r="BK61" s="235">
        <f t="shared" si="71"/>
        <v>0.9246184005744259</v>
      </c>
      <c r="BL61" s="376">
        <v>87.890985876194023</v>
      </c>
      <c r="BM61" s="294"/>
      <c r="BN61" s="387" t="e">
        <f t="shared" si="72"/>
        <v>#NAME?</v>
      </c>
      <c r="BO61" s="387" t="e">
        <f t="shared" si="73"/>
        <v>#NAME?</v>
      </c>
      <c r="BP61" s="175" t="e">
        <f t="shared" si="74"/>
        <v>#NAME?</v>
      </c>
      <c r="BQ61" s="235"/>
      <c r="BR61" s="235"/>
      <c r="BS61" s="235"/>
      <c r="BT61" s="235"/>
    </row>
    <row r="62" spans="1:72" x14ac:dyDescent="0.2">
      <c r="H62" s="173">
        <v>56</v>
      </c>
      <c r="I62" s="513">
        <f t="shared" si="75"/>
        <v>6.720000000000001E-2</v>
      </c>
      <c r="J62" s="175" t="e">
        <f t="shared" si="76"/>
        <v>#NAME?</v>
      </c>
      <c r="K62" s="232" t="e">
        <f t="shared" si="77"/>
        <v>#NAME?</v>
      </c>
      <c r="L62" s="290" t="e">
        <f t="shared" si="88"/>
        <v>#NAME?</v>
      </c>
      <c r="M62" s="208" t="e">
        <f t="shared" si="55"/>
        <v>#NAME?</v>
      </c>
      <c r="N62" s="291" t="e">
        <f t="shared" si="78"/>
        <v>#NAME?</v>
      </c>
      <c r="O62" s="291">
        <f t="shared" si="79"/>
        <v>6.0837908344040793E-5</v>
      </c>
      <c r="P62" s="233" t="e">
        <f t="shared" si="56"/>
        <v>#NAME?</v>
      </c>
      <c r="Q62" s="232" t="e">
        <f t="shared" si="80"/>
        <v>#NAME?</v>
      </c>
      <c r="R62" s="232" t="e">
        <f t="shared" si="89"/>
        <v>#NAME?</v>
      </c>
      <c r="S62" s="517" t="e">
        <f t="shared" si="81"/>
        <v>#NAME?</v>
      </c>
      <c r="T62" s="232" t="e">
        <f t="shared" si="57"/>
        <v>#NAME?</v>
      </c>
      <c r="U62" s="233" t="e">
        <f t="shared" si="82"/>
        <v>#NAME?</v>
      </c>
      <c r="V62" s="232" t="e">
        <f t="shared" si="10"/>
        <v>#NAME?</v>
      </c>
      <c r="W62" s="232" t="e">
        <f t="shared" si="58"/>
        <v>#NAME?</v>
      </c>
      <c r="X62" s="232" t="e">
        <f t="shared" si="90"/>
        <v>#NAME?</v>
      </c>
      <c r="Y62" s="234" t="e">
        <f t="shared" si="12"/>
        <v>#NAME?</v>
      </c>
      <c r="Z62" s="234" t="e">
        <f t="shared" si="59"/>
        <v>#NAME?</v>
      </c>
      <c r="AA62" s="232" t="e">
        <f t="shared" si="91"/>
        <v>#NAME?</v>
      </c>
      <c r="AB62" s="232" t="e">
        <f t="shared" si="92"/>
        <v>#NAME?</v>
      </c>
      <c r="AC62" s="232" t="e">
        <f t="shared" si="93"/>
        <v>#NAME?</v>
      </c>
      <c r="AD62">
        <v>20</v>
      </c>
      <c r="AE62" s="208">
        <v>10</v>
      </c>
      <c r="AF62" s="232" t="e">
        <f t="shared" si="94"/>
        <v>#NAME?</v>
      </c>
      <c r="AG62" s="232" t="e">
        <f t="shared" si="95"/>
        <v>#NAME?</v>
      </c>
      <c r="AH62" s="232" t="e">
        <f t="shared" si="60"/>
        <v>#NAME?</v>
      </c>
      <c r="AI62" s="232" t="e">
        <f t="shared" si="96"/>
        <v>#NAME?</v>
      </c>
      <c r="AJ62" s="232" t="e">
        <f t="shared" si="97"/>
        <v>#NAME?</v>
      </c>
      <c r="AK62" s="232" t="e">
        <f t="shared" si="98"/>
        <v>#NAME?</v>
      </c>
      <c r="AL62" s="232">
        <f t="shared" si="99"/>
        <v>0</v>
      </c>
      <c r="AM62" s="232" t="e">
        <f t="shared" si="100"/>
        <v>#NAME?</v>
      </c>
      <c r="AN62" s="232" t="e">
        <f t="shared" si="61"/>
        <v>#NAME?</v>
      </c>
      <c r="AO62" s="232" t="e">
        <f t="shared" si="83"/>
        <v>#NAME?</v>
      </c>
      <c r="AP62" s="232" t="e">
        <f t="shared" si="101"/>
        <v>#NAME?</v>
      </c>
      <c r="AQ62" s="232" t="e">
        <f t="shared" si="62"/>
        <v>#NAME?</v>
      </c>
      <c r="AR62" s="232" t="e">
        <f t="shared" si="63"/>
        <v>#NAME?</v>
      </c>
      <c r="AS62" s="232" t="e">
        <f t="shared" si="25"/>
        <v>#NAME?</v>
      </c>
      <c r="AT62" s="232">
        <f t="shared" si="84"/>
        <v>0.33600000000000008</v>
      </c>
      <c r="AU62" s="292" t="e">
        <f t="shared" si="64"/>
        <v>#NAME?</v>
      </c>
      <c r="AV62" s="235" t="e">
        <f t="shared" si="65"/>
        <v>#NAME?</v>
      </c>
      <c r="AW62" s="235" t="e">
        <f t="shared" si="66"/>
        <v>#NAME?</v>
      </c>
      <c r="AX62" s="235" t="e">
        <f t="shared" si="102"/>
        <v>#NAME?</v>
      </c>
      <c r="AY62" s="235" t="e">
        <f t="shared" si="67"/>
        <v>#NAME?</v>
      </c>
      <c r="AZ62" s="235" t="e">
        <f t="shared" si="28"/>
        <v>#NAME?</v>
      </c>
      <c r="BA62" s="235" t="e">
        <f t="shared" si="29"/>
        <v>#NAME?</v>
      </c>
      <c r="BB62" s="235" t="e">
        <f t="shared" si="85"/>
        <v>#NAME?</v>
      </c>
      <c r="BC62" s="235" t="e">
        <f t="shared" si="86"/>
        <v>#NAME?</v>
      </c>
      <c r="BD62" s="235" t="e">
        <f t="shared" si="32"/>
        <v>#NAME?</v>
      </c>
      <c r="BE62" s="235" t="e">
        <f t="shared" si="68"/>
        <v>#NAME?</v>
      </c>
      <c r="BF62" s="235" t="e">
        <f t="shared" si="69"/>
        <v>#NAME?</v>
      </c>
      <c r="BG62" s="235" t="e">
        <f t="shared" si="33"/>
        <v>#NAME?</v>
      </c>
      <c r="BH62" s="233" t="e">
        <f t="shared" si="70"/>
        <v>#NAME?</v>
      </c>
      <c r="BI62" s="175">
        <f t="shared" si="87"/>
        <v>67.2</v>
      </c>
      <c r="BJ62" s="292">
        <v>92.46504316256231</v>
      </c>
      <c r="BK62" s="235">
        <f t="shared" si="71"/>
        <v>0.9246504316256231</v>
      </c>
      <c r="BL62" s="376">
        <v>88.094294186393796</v>
      </c>
      <c r="BM62" s="294"/>
      <c r="BN62" s="387" t="e">
        <f t="shared" si="72"/>
        <v>#NAME?</v>
      </c>
      <c r="BO62" s="387" t="e">
        <f t="shared" si="73"/>
        <v>#NAME?</v>
      </c>
      <c r="BP62" s="175" t="e">
        <f t="shared" si="74"/>
        <v>#NAME?</v>
      </c>
      <c r="BQ62" s="235"/>
      <c r="BR62" s="235"/>
      <c r="BS62" s="235"/>
      <c r="BT62" s="235"/>
    </row>
    <row r="63" spans="1:72" x14ac:dyDescent="0.2">
      <c r="H63" s="173">
        <v>57</v>
      </c>
      <c r="I63" s="513">
        <f t="shared" si="75"/>
        <v>6.8399999999999989E-2</v>
      </c>
      <c r="J63" s="175" t="e">
        <f t="shared" si="76"/>
        <v>#NAME?</v>
      </c>
      <c r="K63" s="232" t="e">
        <f t="shared" si="77"/>
        <v>#NAME?</v>
      </c>
      <c r="L63" s="290" t="e">
        <f t="shared" si="88"/>
        <v>#NAME?</v>
      </c>
      <c r="M63" s="208" t="e">
        <f t="shared" si="55"/>
        <v>#NAME?</v>
      </c>
      <c r="N63" s="291" t="e">
        <f t="shared" si="78"/>
        <v>#NAME?</v>
      </c>
      <c r="O63" s="291">
        <f t="shared" si="79"/>
        <v>5.9770576618706767E-5</v>
      </c>
      <c r="P63" s="233" t="e">
        <f t="shared" si="56"/>
        <v>#NAME?</v>
      </c>
      <c r="Q63" s="232" t="e">
        <f t="shared" si="80"/>
        <v>#NAME?</v>
      </c>
      <c r="R63" s="232" t="e">
        <f t="shared" si="89"/>
        <v>#NAME?</v>
      </c>
      <c r="S63" s="517" t="e">
        <f t="shared" si="81"/>
        <v>#NAME?</v>
      </c>
      <c r="T63" s="232" t="e">
        <f t="shared" si="57"/>
        <v>#NAME?</v>
      </c>
      <c r="U63" s="233" t="e">
        <f t="shared" si="82"/>
        <v>#NAME?</v>
      </c>
      <c r="V63" s="232" t="e">
        <f t="shared" si="10"/>
        <v>#NAME?</v>
      </c>
      <c r="W63" s="232" t="e">
        <f t="shared" si="58"/>
        <v>#NAME?</v>
      </c>
      <c r="X63" s="232" t="e">
        <f t="shared" si="90"/>
        <v>#NAME?</v>
      </c>
      <c r="Y63" s="234" t="e">
        <f t="shared" si="12"/>
        <v>#NAME?</v>
      </c>
      <c r="Z63" s="234" t="e">
        <f t="shared" si="59"/>
        <v>#NAME?</v>
      </c>
      <c r="AA63" s="232" t="e">
        <f t="shared" si="91"/>
        <v>#NAME?</v>
      </c>
      <c r="AB63" s="232" t="e">
        <f t="shared" si="92"/>
        <v>#NAME?</v>
      </c>
      <c r="AC63" s="232" t="e">
        <f t="shared" si="93"/>
        <v>#NAME?</v>
      </c>
      <c r="AD63">
        <v>20</v>
      </c>
      <c r="AE63" s="208">
        <v>10</v>
      </c>
      <c r="AF63" s="232" t="e">
        <f t="shared" si="94"/>
        <v>#NAME?</v>
      </c>
      <c r="AG63" s="232" t="e">
        <f t="shared" si="95"/>
        <v>#NAME?</v>
      </c>
      <c r="AH63" s="232" t="e">
        <f t="shared" si="60"/>
        <v>#NAME?</v>
      </c>
      <c r="AI63" s="232" t="e">
        <f t="shared" si="96"/>
        <v>#NAME?</v>
      </c>
      <c r="AJ63" s="232" t="e">
        <f t="shared" si="97"/>
        <v>#NAME?</v>
      </c>
      <c r="AK63" s="232" t="e">
        <f t="shared" si="98"/>
        <v>#NAME?</v>
      </c>
      <c r="AL63" s="232">
        <f t="shared" si="99"/>
        <v>0</v>
      </c>
      <c r="AM63" s="232" t="e">
        <f t="shared" si="100"/>
        <v>#NAME?</v>
      </c>
      <c r="AN63" s="232" t="e">
        <f t="shared" si="61"/>
        <v>#NAME?</v>
      </c>
      <c r="AO63" s="232" t="e">
        <f t="shared" si="83"/>
        <v>#NAME?</v>
      </c>
      <c r="AP63" s="232" t="e">
        <f t="shared" si="101"/>
        <v>#NAME?</v>
      </c>
      <c r="AQ63" s="232" t="e">
        <f t="shared" si="62"/>
        <v>#NAME?</v>
      </c>
      <c r="AR63" s="232" t="e">
        <f t="shared" si="63"/>
        <v>#NAME?</v>
      </c>
      <c r="AS63" s="232" t="e">
        <f t="shared" si="25"/>
        <v>#NAME?</v>
      </c>
      <c r="AT63" s="232">
        <f t="shared" si="84"/>
        <v>0.34199999999999997</v>
      </c>
      <c r="AU63" s="292" t="e">
        <f t="shared" si="64"/>
        <v>#NAME?</v>
      </c>
      <c r="AV63" s="235" t="e">
        <f t="shared" si="65"/>
        <v>#NAME?</v>
      </c>
      <c r="AW63" s="235" t="e">
        <f t="shared" si="66"/>
        <v>#NAME?</v>
      </c>
      <c r="AX63" s="235" t="e">
        <f t="shared" si="102"/>
        <v>#NAME?</v>
      </c>
      <c r="AY63" s="235" t="e">
        <f t="shared" si="67"/>
        <v>#NAME?</v>
      </c>
      <c r="AZ63" s="235" t="e">
        <f t="shared" si="28"/>
        <v>#NAME?</v>
      </c>
      <c r="BA63" s="235" t="e">
        <f t="shared" si="29"/>
        <v>#NAME?</v>
      </c>
      <c r="BB63" s="235" t="e">
        <f t="shared" si="85"/>
        <v>#NAME?</v>
      </c>
      <c r="BC63" s="235" t="e">
        <f t="shared" si="86"/>
        <v>#NAME?</v>
      </c>
      <c r="BD63" s="235" t="e">
        <f t="shared" si="32"/>
        <v>#NAME?</v>
      </c>
      <c r="BE63" s="235" t="e">
        <f t="shared" si="68"/>
        <v>#NAME?</v>
      </c>
      <c r="BF63" s="235" t="e">
        <f t="shared" si="69"/>
        <v>#NAME?</v>
      </c>
      <c r="BG63" s="235" t="e">
        <f t="shared" si="33"/>
        <v>#NAME?</v>
      </c>
      <c r="BH63" s="233" t="e">
        <f t="shared" si="70"/>
        <v>#NAME?</v>
      </c>
      <c r="BI63" s="175">
        <f t="shared" si="87"/>
        <v>68.399999999999991</v>
      </c>
      <c r="BJ63" s="292">
        <v>92.468145108402524</v>
      </c>
      <c r="BK63" s="235">
        <f t="shared" si="71"/>
        <v>0.92468145108402522</v>
      </c>
      <c r="BL63" s="376">
        <v>88.280554777425039</v>
      </c>
      <c r="BM63" s="294"/>
      <c r="BN63" s="387" t="e">
        <f t="shared" si="72"/>
        <v>#NAME?</v>
      </c>
      <c r="BO63" s="387" t="e">
        <f t="shared" si="73"/>
        <v>#NAME?</v>
      </c>
      <c r="BP63" s="175" t="e">
        <f t="shared" si="74"/>
        <v>#NAME?</v>
      </c>
      <c r="BQ63" s="235"/>
      <c r="BR63" s="235"/>
      <c r="BS63" s="235"/>
      <c r="BT63" s="235"/>
    </row>
    <row r="64" spans="1:72" x14ac:dyDescent="0.2">
      <c r="H64" s="173">
        <v>58</v>
      </c>
      <c r="I64" s="513">
        <f t="shared" si="75"/>
        <v>6.9599999999999995E-2</v>
      </c>
      <c r="J64" s="175" t="e">
        <f t="shared" si="76"/>
        <v>#NAME?</v>
      </c>
      <c r="K64" s="232" t="e">
        <f t="shared" si="77"/>
        <v>#NAME?</v>
      </c>
      <c r="L64" s="290" t="e">
        <f t="shared" si="88"/>
        <v>#NAME?</v>
      </c>
      <c r="M64" s="208" t="e">
        <f t="shared" si="55"/>
        <v>#NAME?</v>
      </c>
      <c r="N64" s="291" t="e">
        <f t="shared" si="78"/>
        <v>#NAME?</v>
      </c>
      <c r="O64" s="291">
        <f t="shared" si="79"/>
        <v>5.8740049435625607E-5</v>
      </c>
      <c r="P64" s="233" t="e">
        <f t="shared" si="56"/>
        <v>#NAME?</v>
      </c>
      <c r="Q64" s="232" t="e">
        <f t="shared" si="80"/>
        <v>#NAME?</v>
      </c>
      <c r="R64" s="232" t="e">
        <f t="shared" si="89"/>
        <v>#NAME?</v>
      </c>
      <c r="S64" s="517" t="e">
        <f t="shared" si="81"/>
        <v>#NAME?</v>
      </c>
      <c r="T64" s="232" t="e">
        <f t="shared" si="57"/>
        <v>#NAME?</v>
      </c>
      <c r="U64" s="233" t="e">
        <f t="shared" si="82"/>
        <v>#NAME?</v>
      </c>
      <c r="V64" s="232" t="e">
        <f t="shared" si="10"/>
        <v>#NAME?</v>
      </c>
      <c r="W64" s="232" t="e">
        <f t="shared" si="58"/>
        <v>#NAME?</v>
      </c>
      <c r="X64" s="232" t="e">
        <f t="shared" si="90"/>
        <v>#NAME?</v>
      </c>
      <c r="Y64" s="234" t="e">
        <f t="shared" si="12"/>
        <v>#NAME?</v>
      </c>
      <c r="Z64" s="234" t="e">
        <f t="shared" si="59"/>
        <v>#NAME?</v>
      </c>
      <c r="AA64" s="232" t="e">
        <f t="shared" si="91"/>
        <v>#NAME?</v>
      </c>
      <c r="AB64" s="232" t="e">
        <f t="shared" si="92"/>
        <v>#NAME?</v>
      </c>
      <c r="AC64" s="232" t="e">
        <f t="shared" si="93"/>
        <v>#NAME?</v>
      </c>
      <c r="AD64">
        <v>20</v>
      </c>
      <c r="AE64" s="208">
        <v>10</v>
      </c>
      <c r="AF64" s="232" t="e">
        <f t="shared" si="94"/>
        <v>#NAME?</v>
      </c>
      <c r="AG64" s="232" t="e">
        <f t="shared" si="95"/>
        <v>#NAME?</v>
      </c>
      <c r="AH64" s="232" t="e">
        <f t="shared" si="60"/>
        <v>#NAME?</v>
      </c>
      <c r="AI64" s="232" t="e">
        <f t="shared" si="96"/>
        <v>#NAME?</v>
      </c>
      <c r="AJ64" s="232" t="e">
        <f t="shared" si="97"/>
        <v>#NAME?</v>
      </c>
      <c r="AK64" s="232" t="e">
        <f t="shared" si="98"/>
        <v>#NAME?</v>
      </c>
      <c r="AL64" s="232">
        <f t="shared" si="99"/>
        <v>0</v>
      </c>
      <c r="AM64" s="232" t="e">
        <f t="shared" si="100"/>
        <v>#NAME?</v>
      </c>
      <c r="AN64" s="232" t="e">
        <f t="shared" si="61"/>
        <v>#NAME?</v>
      </c>
      <c r="AO64" s="232" t="e">
        <f t="shared" si="83"/>
        <v>#NAME?</v>
      </c>
      <c r="AP64" s="232" t="e">
        <f t="shared" si="101"/>
        <v>#NAME?</v>
      </c>
      <c r="AQ64" s="232" t="e">
        <f t="shared" si="62"/>
        <v>#NAME?</v>
      </c>
      <c r="AR64" s="232" t="e">
        <f t="shared" si="63"/>
        <v>#NAME?</v>
      </c>
      <c r="AS64" s="232" t="e">
        <f t="shared" si="25"/>
        <v>#NAME?</v>
      </c>
      <c r="AT64" s="232">
        <f t="shared" si="84"/>
        <v>0.34799999999999998</v>
      </c>
      <c r="AU64" s="292" t="e">
        <f t="shared" si="64"/>
        <v>#NAME?</v>
      </c>
      <c r="AV64" s="235" t="e">
        <f t="shared" si="65"/>
        <v>#NAME?</v>
      </c>
      <c r="AW64" s="235" t="e">
        <f t="shared" si="66"/>
        <v>#NAME?</v>
      </c>
      <c r="AX64" s="235" t="e">
        <f t="shared" si="102"/>
        <v>#NAME?</v>
      </c>
      <c r="AY64" s="235" t="e">
        <f t="shared" si="67"/>
        <v>#NAME?</v>
      </c>
      <c r="AZ64" s="235" t="e">
        <f t="shared" si="28"/>
        <v>#NAME?</v>
      </c>
      <c r="BA64" s="235" t="e">
        <f t="shared" si="29"/>
        <v>#NAME?</v>
      </c>
      <c r="BB64" s="235" t="e">
        <f t="shared" si="85"/>
        <v>#NAME?</v>
      </c>
      <c r="BC64" s="235" t="e">
        <f t="shared" si="86"/>
        <v>#NAME?</v>
      </c>
      <c r="BD64" s="235" t="e">
        <f t="shared" si="32"/>
        <v>#NAME?</v>
      </c>
      <c r="BE64" s="235" t="e">
        <f t="shared" si="68"/>
        <v>#NAME?</v>
      </c>
      <c r="BF64" s="235" t="e">
        <f t="shared" si="69"/>
        <v>#NAME?</v>
      </c>
      <c r="BG64" s="235" t="e">
        <f t="shared" si="33"/>
        <v>#NAME?</v>
      </c>
      <c r="BH64" s="233" t="e">
        <f t="shared" si="70"/>
        <v>#NAME?</v>
      </c>
      <c r="BI64" s="175">
        <f t="shared" si="87"/>
        <v>69.599999999999994</v>
      </c>
      <c r="BJ64" s="292">
        <v>92.471151121415275</v>
      </c>
      <c r="BK64" s="235">
        <f t="shared" si="71"/>
        <v>0.92471151121415274</v>
      </c>
      <c r="BL64" s="376">
        <v>88.451135857864216</v>
      </c>
      <c r="BM64" s="294"/>
      <c r="BN64" s="387" t="e">
        <f t="shared" si="72"/>
        <v>#NAME?</v>
      </c>
      <c r="BO64" s="387" t="e">
        <f t="shared" si="73"/>
        <v>#NAME?</v>
      </c>
      <c r="BP64" s="175" t="e">
        <f t="shared" si="74"/>
        <v>#NAME?</v>
      </c>
      <c r="BQ64" s="235"/>
      <c r="BR64" s="235"/>
      <c r="BS64" s="235"/>
      <c r="BT64" s="235"/>
    </row>
    <row r="65" spans="6:72" x14ac:dyDescent="0.2">
      <c r="H65" s="173">
        <v>59</v>
      </c>
      <c r="I65" s="513">
        <f t="shared" si="75"/>
        <v>7.0799999999999988E-2</v>
      </c>
      <c r="J65" s="175" t="e">
        <f t="shared" si="76"/>
        <v>#NAME?</v>
      </c>
      <c r="K65" s="232" t="e">
        <f t="shared" si="77"/>
        <v>#NAME?</v>
      </c>
      <c r="L65" s="290" t="e">
        <f t="shared" si="88"/>
        <v>#NAME?</v>
      </c>
      <c r="M65" s="208" t="e">
        <f t="shared" si="55"/>
        <v>#NAME?</v>
      </c>
      <c r="N65" s="291" t="e">
        <f t="shared" si="78"/>
        <v>#NAME?</v>
      </c>
      <c r="O65" s="291">
        <f t="shared" si="79"/>
        <v>5.7744455377394668E-5</v>
      </c>
      <c r="P65" s="233" t="e">
        <f t="shared" si="56"/>
        <v>#NAME?</v>
      </c>
      <c r="Q65" s="232" t="e">
        <f t="shared" si="80"/>
        <v>#NAME?</v>
      </c>
      <c r="R65" s="232" t="e">
        <f t="shared" si="89"/>
        <v>#NAME?</v>
      </c>
      <c r="S65" s="517" t="e">
        <f t="shared" si="81"/>
        <v>#NAME?</v>
      </c>
      <c r="T65" s="232" t="e">
        <f t="shared" si="57"/>
        <v>#NAME?</v>
      </c>
      <c r="U65" s="233" t="e">
        <f t="shared" si="82"/>
        <v>#NAME?</v>
      </c>
      <c r="V65" s="232" t="e">
        <f t="shared" si="10"/>
        <v>#NAME?</v>
      </c>
      <c r="W65" s="232" t="e">
        <f t="shared" si="58"/>
        <v>#NAME?</v>
      </c>
      <c r="X65" s="232" t="e">
        <f t="shared" si="90"/>
        <v>#NAME?</v>
      </c>
      <c r="Y65" s="234" t="e">
        <f t="shared" si="12"/>
        <v>#NAME?</v>
      </c>
      <c r="Z65" s="234" t="e">
        <f t="shared" si="59"/>
        <v>#NAME?</v>
      </c>
      <c r="AA65" s="232" t="e">
        <f t="shared" si="91"/>
        <v>#NAME?</v>
      </c>
      <c r="AB65" s="232" t="e">
        <f t="shared" si="92"/>
        <v>#NAME?</v>
      </c>
      <c r="AC65" s="232" t="e">
        <f t="shared" si="93"/>
        <v>#NAME?</v>
      </c>
      <c r="AD65">
        <v>20</v>
      </c>
      <c r="AE65" s="208">
        <v>10</v>
      </c>
      <c r="AF65" s="232" t="e">
        <f t="shared" si="94"/>
        <v>#NAME?</v>
      </c>
      <c r="AG65" s="232" t="e">
        <f t="shared" si="95"/>
        <v>#NAME?</v>
      </c>
      <c r="AH65" s="232" t="e">
        <f t="shared" si="60"/>
        <v>#NAME?</v>
      </c>
      <c r="AI65" s="232" t="e">
        <f t="shared" si="96"/>
        <v>#NAME?</v>
      </c>
      <c r="AJ65" s="232" t="e">
        <f t="shared" si="97"/>
        <v>#NAME?</v>
      </c>
      <c r="AK65" s="232" t="e">
        <f t="shared" si="98"/>
        <v>#NAME?</v>
      </c>
      <c r="AL65" s="232">
        <f t="shared" si="99"/>
        <v>0</v>
      </c>
      <c r="AM65" s="232" t="e">
        <f t="shared" si="100"/>
        <v>#NAME?</v>
      </c>
      <c r="AN65" s="232" t="e">
        <f t="shared" si="61"/>
        <v>#NAME?</v>
      </c>
      <c r="AO65" s="232" t="e">
        <f t="shared" si="83"/>
        <v>#NAME?</v>
      </c>
      <c r="AP65" s="232" t="e">
        <f t="shared" si="101"/>
        <v>#NAME?</v>
      </c>
      <c r="AQ65" s="232" t="e">
        <f t="shared" si="62"/>
        <v>#NAME?</v>
      </c>
      <c r="AR65" s="232" t="e">
        <f t="shared" si="63"/>
        <v>#NAME?</v>
      </c>
      <c r="AS65" s="232" t="e">
        <f t="shared" si="25"/>
        <v>#NAME?</v>
      </c>
      <c r="AT65" s="232">
        <f t="shared" si="84"/>
        <v>0.35399999999999993</v>
      </c>
      <c r="AU65" s="292" t="e">
        <f t="shared" si="64"/>
        <v>#NAME?</v>
      </c>
      <c r="AV65" s="235" t="e">
        <f t="shared" si="65"/>
        <v>#NAME?</v>
      </c>
      <c r="AW65" s="235" t="e">
        <f t="shared" si="66"/>
        <v>#NAME?</v>
      </c>
      <c r="AX65" s="235" t="e">
        <f t="shared" si="102"/>
        <v>#NAME?</v>
      </c>
      <c r="AY65" s="235" t="e">
        <f t="shared" si="67"/>
        <v>#NAME?</v>
      </c>
      <c r="AZ65" s="235" t="e">
        <f t="shared" si="28"/>
        <v>#NAME?</v>
      </c>
      <c r="BA65" s="235" t="e">
        <f t="shared" si="29"/>
        <v>#NAME?</v>
      </c>
      <c r="BB65" s="235" t="e">
        <f t="shared" si="85"/>
        <v>#NAME?</v>
      </c>
      <c r="BC65" s="235" t="e">
        <f t="shared" si="86"/>
        <v>#NAME?</v>
      </c>
      <c r="BD65" s="235" t="e">
        <f t="shared" si="32"/>
        <v>#NAME?</v>
      </c>
      <c r="BE65" s="235" t="e">
        <f t="shared" si="68"/>
        <v>#NAME?</v>
      </c>
      <c r="BF65" s="235" t="e">
        <f t="shared" si="69"/>
        <v>#NAME?</v>
      </c>
      <c r="BG65" s="235" t="e">
        <f t="shared" si="33"/>
        <v>#NAME?</v>
      </c>
      <c r="BH65" s="233" t="e">
        <f t="shared" si="70"/>
        <v>#NAME?</v>
      </c>
      <c r="BI65" s="175">
        <f t="shared" si="87"/>
        <v>70.799999999999983</v>
      </c>
      <c r="BJ65" s="292">
        <v>92.474066074243098</v>
      </c>
      <c r="BK65" s="235">
        <f t="shared" si="71"/>
        <v>0.924740660742431</v>
      </c>
      <c r="BL65" s="376">
        <v>88.607306918069966</v>
      </c>
      <c r="BM65" s="294"/>
      <c r="BN65" s="387" t="e">
        <f t="shared" si="72"/>
        <v>#NAME?</v>
      </c>
      <c r="BO65" s="387" t="e">
        <f t="shared" si="73"/>
        <v>#NAME?</v>
      </c>
      <c r="BP65" s="175" t="e">
        <f t="shared" si="74"/>
        <v>#NAME?</v>
      </c>
      <c r="BQ65" s="235"/>
      <c r="BR65" s="235"/>
      <c r="BS65" s="235"/>
      <c r="BT65" s="235"/>
    </row>
    <row r="66" spans="6:72" x14ac:dyDescent="0.2">
      <c r="F66" s="316" t="s">
        <v>393</v>
      </c>
      <c r="G66" s="316" t="s">
        <v>394</v>
      </c>
      <c r="H66" s="173">
        <v>60</v>
      </c>
      <c r="I66" s="513">
        <f t="shared" si="75"/>
        <v>7.1999999999999995E-2</v>
      </c>
      <c r="J66" s="175" t="e">
        <f t="shared" si="76"/>
        <v>#NAME?</v>
      </c>
      <c r="K66" s="232" t="e">
        <f t="shared" si="77"/>
        <v>#NAME?</v>
      </c>
      <c r="L66" s="290" t="e">
        <f t="shared" si="88"/>
        <v>#NAME?</v>
      </c>
      <c r="M66" s="208" t="e">
        <f t="shared" si="55"/>
        <v>#NAME?</v>
      </c>
      <c r="N66" s="291" t="e">
        <f t="shared" si="78"/>
        <v>#NAME?</v>
      </c>
      <c r="O66" s="291">
        <f t="shared" si="79"/>
        <v>5.678204778777142E-5</v>
      </c>
      <c r="P66" s="233" t="e">
        <f t="shared" si="56"/>
        <v>#NAME?</v>
      </c>
      <c r="Q66" s="232" t="e">
        <f t="shared" si="80"/>
        <v>#NAME?</v>
      </c>
      <c r="R66" s="232" t="e">
        <f t="shared" si="89"/>
        <v>#NAME?</v>
      </c>
      <c r="S66" s="517" t="e">
        <f t="shared" si="81"/>
        <v>#NAME?</v>
      </c>
      <c r="T66" s="232" t="e">
        <f t="shared" si="57"/>
        <v>#NAME?</v>
      </c>
      <c r="U66" s="233" t="e">
        <f t="shared" si="82"/>
        <v>#NAME?</v>
      </c>
      <c r="V66" s="232" t="e">
        <f t="shared" si="10"/>
        <v>#NAME?</v>
      </c>
      <c r="W66" s="232" t="e">
        <f t="shared" si="58"/>
        <v>#NAME?</v>
      </c>
      <c r="X66" s="232" t="e">
        <f t="shared" si="90"/>
        <v>#NAME?</v>
      </c>
      <c r="Y66" s="234" t="e">
        <f t="shared" si="12"/>
        <v>#NAME?</v>
      </c>
      <c r="Z66" s="234" t="e">
        <f t="shared" si="59"/>
        <v>#NAME?</v>
      </c>
      <c r="AA66" s="232" t="e">
        <f t="shared" si="91"/>
        <v>#NAME?</v>
      </c>
      <c r="AB66" s="232" t="e">
        <f t="shared" si="92"/>
        <v>#NAME?</v>
      </c>
      <c r="AC66" s="232" t="e">
        <f t="shared" si="93"/>
        <v>#NAME?</v>
      </c>
      <c r="AD66">
        <v>20</v>
      </c>
      <c r="AE66" s="208">
        <v>10</v>
      </c>
      <c r="AF66" s="232" t="e">
        <f t="shared" si="94"/>
        <v>#NAME?</v>
      </c>
      <c r="AG66" s="232" t="e">
        <f t="shared" si="95"/>
        <v>#NAME?</v>
      </c>
      <c r="AH66" s="232" t="e">
        <f t="shared" si="60"/>
        <v>#NAME?</v>
      </c>
      <c r="AI66" s="232" t="e">
        <f t="shared" si="96"/>
        <v>#NAME?</v>
      </c>
      <c r="AJ66" s="232" t="e">
        <f t="shared" si="97"/>
        <v>#NAME?</v>
      </c>
      <c r="AK66" s="232" t="e">
        <f t="shared" si="98"/>
        <v>#NAME?</v>
      </c>
      <c r="AL66" s="232">
        <f t="shared" si="99"/>
        <v>0</v>
      </c>
      <c r="AM66" s="232" t="e">
        <f t="shared" si="100"/>
        <v>#NAME?</v>
      </c>
      <c r="AN66" s="232" t="e">
        <f t="shared" si="61"/>
        <v>#NAME?</v>
      </c>
      <c r="AO66" s="232" t="e">
        <f t="shared" si="83"/>
        <v>#NAME?</v>
      </c>
      <c r="AP66" s="232" t="e">
        <f t="shared" si="101"/>
        <v>#NAME?</v>
      </c>
      <c r="AQ66" s="232" t="e">
        <f t="shared" si="62"/>
        <v>#NAME?</v>
      </c>
      <c r="AR66" s="232" t="e">
        <f t="shared" si="63"/>
        <v>#NAME?</v>
      </c>
      <c r="AS66" s="232" t="e">
        <f t="shared" si="25"/>
        <v>#NAME?</v>
      </c>
      <c r="AT66" s="232">
        <f t="shared" si="84"/>
        <v>0.36</v>
      </c>
      <c r="AU66" s="292" t="e">
        <f t="shared" si="64"/>
        <v>#NAME?</v>
      </c>
      <c r="AV66" s="235" t="e">
        <f t="shared" si="65"/>
        <v>#NAME?</v>
      </c>
      <c r="AW66" s="235" t="e">
        <f t="shared" si="66"/>
        <v>#NAME?</v>
      </c>
      <c r="AX66" s="235" t="e">
        <f t="shared" si="102"/>
        <v>#NAME?</v>
      </c>
      <c r="AY66" s="235" t="e">
        <f t="shared" si="67"/>
        <v>#NAME?</v>
      </c>
      <c r="AZ66" s="235" t="e">
        <f t="shared" si="28"/>
        <v>#NAME?</v>
      </c>
      <c r="BA66" s="235" t="e">
        <f t="shared" si="29"/>
        <v>#NAME?</v>
      </c>
      <c r="BB66" s="235" t="e">
        <f t="shared" si="85"/>
        <v>#NAME?</v>
      </c>
      <c r="BC66" s="235" t="e">
        <f t="shared" si="86"/>
        <v>#NAME?</v>
      </c>
      <c r="BD66" s="235" t="e">
        <f t="shared" si="32"/>
        <v>#NAME?</v>
      </c>
      <c r="BE66" s="235" t="e">
        <f t="shared" si="68"/>
        <v>#NAME?</v>
      </c>
      <c r="BF66" s="235" t="e">
        <f t="shared" si="69"/>
        <v>#NAME?</v>
      </c>
      <c r="BG66" s="235" t="e">
        <f t="shared" si="33"/>
        <v>#NAME?</v>
      </c>
      <c r="BH66" s="233" t="e">
        <f t="shared" si="70"/>
        <v>#NAME?</v>
      </c>
      <c r="BI66" s="175">
        <f t="shared" si="87"/>
        <v>72</v>
      </c>
      <c r="BJ66" s="292">
        <v>92.476894515150917</v>
      </c>
      <c r="BK66" s="235">
        <f t="shared" si="71"/>
        <v>0.9247689451515092</v>
      </c>
      <c r="BL66" s="376">
        <v>88.750244059636927</v>
      </c>
      <c r="BM66" s="294"/>
      <c r="BN66" s="387" t="e">
        <f t="shared" si="72"/>
        <v>#NAME?</v>
      </c>
      <c r="BO66" s="387" t="e">
        <f t="shared" si="73"/>
        <v>#NAME?</v>
      </c>
      <c r="BP66" s="175" t="e">
        <f t="shared" si="74"/>
        <v>#NAME?</v>
      </c>
      <c r="BQ66" s="235"/>
      <c r="BR66" s="235"/>
      <c r="BS66" s="235"/>
      <c r="BT66" s="235"/>
    </row>
    <row r="67" spans="6:72" x14ac:dyDescent="0.2">
      <c r="F67" s="340" t="e">
        <f>AU56</f>
        <v>#NAME?</v>
      </c>
      <c r="G67" s="341">
        <f>I56*1000</f>
        <v>60</v>
      </c>
      <c r="H67" s="173">
        <v>61</v>
      </c>
      <c r="I67" s="513">
        <f t="shared" si="75"/>
        <v>7.3200000000000001E-2</v>
      </c>
      <c r="J67" s="175" t="e">
        <f t="shared" si="76"/>
        <v>#NAME?</v>
      </c>
      <c r="K67" s="232" t="e">
        <f t="shared" si="77"/>
        <v>#NAME?</v>
      </c>
      <c r="L67" s="290" t="e">
        <f t="shared" si="88"/>
        <v>#NAME?</v>
      </c>
      <c r="M67" s="208" t="e">
        <f t="shared" si="55"/>
        <v>#NAME?</v>
      </c>
      <c r="N67" s="291" t="e">
        <f t="shared" si="78"/>
        <v>#NAME?</v>
      </c>
      <c r="O67" s="291">
        <f t="shared" si="79"/>
        <v>5.5851194545348931E-5</v>
      </c>
      <c r="P67" s="233" t="e">
        <f t="shared" si="56"/>
        <v>#NAME?</v>
      </c>
      <c r="Q67" s="232" t="e">
        <f t="shared" si="80"/>
        <v>#NAME?</v>
      </c>
      <c r="R67" s="232" t="e">
        <f t="shared" si="89"/>
        <v>#NAME?</v>
      </c>
      <c r="S67" s="517" t="e">
        <f t="shared" si="81"/>
        <v>#NAME?</v>
      </c>
      <c r="T67" s="232" t="e">
        <f t="shared" si="57"/>
        <v>#NAME?</v>
      </c>
      <c r="U67" s="233" t="e">
        <f t="shared" si="82"/>
        <v>#NAME?</v>
      </c>
      <c r="V67" s="232" t="e">
        <f t="shared" si="10"/>
        <v>#NAME?</v>
      </c>
      <c r="W67" s="232" t="e">
        <f t="shared" si="58"/>
        <v>#NAME?</v>
      </c>
      <c r="X67" s="232" t="e">
        <f t="shared" si="90"/>
        <v>#NAME?</v>
      </c>
      <c r="Y67" s="234" t="e">
        <f t="shared" si="12"/>
        <v>#NAME?</v>
      </c>
      <c r="Z67" s="234" t="e">
        <f t="shared" si="59"/>
        <v>#NAME?</v>
      </c>
      <c r="AA67" s="232" t="e">
        <f t="shared" si="91"/>
        <v>#NAME?</v>
      </c>
      <c r="AB67" s="232" t="e">
        <f t="shared" si="92"/>
        <v>#NAME?</v>
      </c>
      <c r="AC67" s="232" t="e">
        <f t="shared" si="93"/>
        <v>#NAME?</v>
      </c>
      <c r="AD67">
        <v>20</v>
      </c>
      <c r="AE67" s="208">
        <v>10</v>
      </c>
      <c r="AF67" s="232" t="e">
        <f t="shared" si="94"/>
        <v>#NAME?</v>
      </c>
      <c r="AG67" s="232" t="e">
        <f t="shared" si="95"/>
        <v>#NAME?</v>
      </c>
      <c r="AH67" s="232" t="e">
        <f t="shared" si="60"/>
        <v>#NAME?</v>
      </c>
      <c r="AI67" s="232" t="e">
        <f t="shared" si="96"/>
        <v>#NAME?</v>
      </c>
      <c r="AJ67" s="232" t="e">
        <f t="shared" si="97"/>
        <v>#NAME?</v>
      </c>
      <c r="AK67" s="232" t="e">
        <f t="shared" si="98"/>
        <v>#NAME?</v>
      </c>
      <c r="AL67" s="232">
        <f t="shared" si="99"/>
        <v>0</v>
      </c>
      <c r="AM67" s="232" t="e">
        <f t="shared" si="100"/>
        <v>#NAME?</v>
      </c>
      <c r="AN67" s="232" t="e">
        <f t="shared" si="61"/>
        <v>#NAME?</v>
      </c>
      <c r="AO67" s="232" t="e">
        <f t="shared" si="83"/>
        <v>#NAME?</v>
      </c>
      <c r="AP67" s="232" t="e">
        <f t="shared" si="101"/>
        <v>#NAME?</v>
      </c>
      <c r="AQ67" s="232" t="e">
        <f t="shared" si="62"/>
        <v>#NAME?</v>
      </c>
      <c r="AR67" s="232" t="e">
        <f t="shared" si="63"/>
        <v>#NAME?</v>
      </c>
      <c r="AS67" s="232" t="e">
        <f t="shared" si="25"/>
        <v>#NAME?</v>
      </c>
      <c r="AT67" s="232">
        <f t="shared" si="84"/>
        <v>0.36599999999999999</v>
      </c>
      <c r="AU67" s="292" t="e">
        <f t="shared" si="64"/>
        <v>#NAME?</v>
      </c>
      <c r="AV67" s="235" t="e">
        <f t="shared" si="65"/>
        <v>#NAME?</v>
      </c>
      <c r="AW67" s="235" t="e">
        <f t="shared" si="66"/>
        <v>#NAME?</v>
      </c>
      <c r="AX67" s="235" t="e">
        <f t="shared" si="102"/>
        <v>#NAME?</v>
      </c>
      <c r="AY67" s="235" t="e">
        <f t="shared" si="67"/>
        <v>#NAME?</v>
      </c>
      <c r="AZ67" s="235" t="e">
        <f t="shared" si="28"/>
        <v>#NAME?</v>
      </c>
      <c r="BA67" s="235" t="e">
        <f t="shared" si="29"/>
        <v>#NAME?</v>
      </c>
      <c r="BB67" s="235" t="e">
        <f t="shared" si="85"/>
        <v>#NAME?</v>
      </c>
      <c r="BC67" s="235" t="e">
        <f t="shared" si="86"/>
        <v>#NAME?</v>
      </c>
      <c r="BD67" s="235" t="e">
        <f t="shared" si="32"/>
        <v>#NAME?</v>
      </c>
      <c r="BE67" s="235" t="e">
        <f t="shared" si="68"/>
        <v>#NAME?</v>
      </c>
      <c r="BF67" s="235" t="e">
        <f t="shared" si="69"/>
        <v>#NAME?</v>
      </c>
      <c r="BG67" s="235" t="e">
        <f t="shared" si="33"/>
        <v>#NAME?</v>
      </c>
      <c r="BH67" s="233" t="e">
        <f t="shared" si="70"/>
        <v>#NAME?</v>
      </c>
      <c r="BI67" s="175">
        <f t="shared" si="87"/>
        <v>73.2</v>
      </c>
      <c r="BJ67" s="292">
        <v>92.479640694567323</v>
      </c>
      <c r="BK67" s="235">
        <f t="shared" si="71"/>
        <v>0.92479640694567322</v>
      </c>
      <c r="BL67" s="376">
        <v>88.881035370214562</v>
      </c>
      <c r="BM67" s="294"/>
      <c r="BN67" s="387" t="e">
        <f t="shared" si="72"/>
        <v>#NAME?</v>
      </c>
      <c r="BO67" s="387" t="e">
        <f t="shared" si="73"/>
        <v>#NAME?</v>
      </c>
      <c r="BP67" s="175" t="e">
        <f t="shared" si="74"/>
        <v>#NAME?</v>
      </c>
      <c r="BQ67" s="235"/>
      <c r="BR67" s="235"/>
      <c r="BS67" s="235"/>
      <c r="BT67" s="235"/>
    </row>
    <row r="68" spans="6:72" x14ac:dyDescent="0.2">
      <c r="F68" s="340" t="e">
        <f>AU81</f>
        <v>#NAME?</v>
      </c>
      <c r="G68" s="341">
        <f>I81*1000</f>
        <v>90</v>
      </c>
      <c r="H68" s="173">
        <v>62</v>
      </c>
      <c r="I68" s="513">
        <f t="shared" si="75"/>
        <v>7.4399999999999994E-2</v>
      </c>
      <c r="J68" s="175" t="e">
        <f t="shared" si="76"/>
        <v>#NAME?</v>
      </c>
      <c r="K68" s="232" t="e">
        <f t="shared" si="77"/>
        <v>#NAME?</v>
      </c>
      <c r="L68" s="290" t="e">
        <f t="shared" si="88"/>
        <v>#NAME?</v>
      </c>
      <c r="M68" s="208" t="e">
        <f t="shared" si="55"/>
        <v>#NAME?</v>
      </c>
      <c r="N68" s="291" t="e">
        <f t="shared" si="78"/>
        <v>#NAME?</v>
      </c>
      <c r="O68" s="291">
        <f t="shared" si="79"/>
        <v>5.495036882687557E-5</v>
      </c>
      <c r="P68" s="233" t="e">
        <f t="shared" si="56"/>
        <v>#NAME?</v>
      </c>
      <c r="Q68" s="232" t="e">
        <f t="shared" si="80"/>
        <v>#NAME?</v>
      </c>
      <c r="R68" s="232" t="e">
        <f t="shared" si="89"/>
        <v>#NAME?</v>
      </c>
      <c r="S68" s="517" t="e">
        <f t="shared" si="81"/>
        <v>#NAME?</v>
      </c>
      <c r="T68" s="232" t="e">
        <f t="shared" si="57"/>
        <v>#NAME?</v>
      </c>
      <c r="U68" s="233" t="e">
        <f t="shared" si="82"/>
        <v>#NAME?</v>
      </c>
      <c r="V68" s="232" t="e">
        <f t="shared" si="10"/>
        <v>#NAME?</v>
      </c>
      <c r="W68" s="232" t="e">
        <f t="shared" si="58"/>
        <v>#NAME?</v>
      </c>
      <c r="X68" s="232" t="e">
        <f t="shared" si="90"/>
        <v>#NAME?</v>
      </c>
      <c r="Y68" s="234" t="e">
        <f t="shared" si="12"/>
        <v>#NAME?</v>
      </c>
      <c r="Z68" s="234" t="e">
        <f t="shared" si="59"/>
        <v>#NAME?</v>
      </c>
      <c r="AA68" s="232" t="e">
        <f t="shared" si="91"/>
        <v>#NAME?</v>
      </c>
      <c r="AB68" s="232" t="e">
        <f t="shared" si="92"/>
        <v>#NAME?</v>
      </c>
      <c r="AC68" s="232" t="e">
        <f t="shared" si="93"/>
        <v>#NAME?</v>
      </c>
      <c r="AD68">
        <v>20</v>
      </c>
      <c r="AE68" s="208">
        <v>10</v>
      </c>
      <c r="AF68" s="232" t="e">
        <f t="shared" si="94"/>
        <v>#NAME?</v>
      </c>
      <c r="AG68" s="232" t="e">
        <f t="shared" si="95"/>
        <v>#NAME?</v>
      </c>
      <c r="AH68" s="232" t="e">
        <f t="shared" si="60"/>
        <v>#NAME?</v>
      </c>
      <c r="AI68" s="232" t="e">
        <f t="shared" si="96"/>
        <v>#NAME?</v>
      </c>
      <c r="AJ68" s="232" t="e">
        <f t="shared" si="97"/>
        <v>#NAME?</v>
      </c>
      <c r="AK68" s="232" t="e">
        <f t="shared" si="98"/>
        <v>#NAME?</v>
      </c>
      <c r="AL68" s="232">
        <f t="shared" si="99"/>
        <v>0</v>
      </c>
      <c r="AM68" s="232" t="e">
        <f t="shared" si="100"/>
        <v>#NAME?</v>
      </c>
      <c r="AN68" s="232" t="e">
        <f t="shared" si="61"/>
        <v>#NAME?</v>
      </c>
      <c r="AO68" s="232" t="e">
        <f t="shared" si="83"/>
        <v>#NAME?</v>
      </c>
      <c r="AP68" s="232" t="e">
        <f t="shared" si="101"/>
        <v>#NAME?</v>
      </c>
      <c r="AQ68" s="232" t="e">
        <f t="shared" si="62"/>
        <v>#NAME?</v>
      </c>
      <c r="AR68" s="232" t="e">
        <f t="shared" si="63"/>
        <v>#NAME?</v>
      </c>
      <c r="AS68" s="232" t="e">
        <f t="shared" si="25"/>
        <v>#NAME?</v>
      </c>
      <c r="AT68" s="232">
        <f t="shared" si="84"/>
        <v>0.372</v>
      </c>
      <c r="AU68" s="292" t="e">
        <f t="shared" si="64"/>
        <v>#NAME?</v>
      </c>
      <c r="AV68" s="235" t="e">
        <f t="shared" si="65"/>
        <v>#NAME?</v>
      </c>
      <c r="AW68" s="235" t="e">
        <f t="shared" si="66"/>
        <v>#NAME?</v>
      </c>
      <c r="AX68" s="235" t="e">
        <f t="shared" si="102"/>
        <v>#NAME?</v>
      </c>
      <c r="AY68" s="235" t="e">
        <f t="shared" si="67"/>
        <v>#NAME?</v>
      </c>
      <c r="AZ68" s="235" t="e">
        <f t="shared" si="28"/>
        <v>#NAME?</v>
      </c>
      <c r="BA68" s="235" t="e">
        <f t="shared" si="29"/>
        <v>#NAME?</v>
      </c>
      <c r="BB68" s="235" t="e">
        <f t="shared" si="85"/>
        <v>#NAME?</v>
      </c>
      <c r="BC68" s="235" t="e">
        <f t="shared" si="86"/>
        <v>#NAME?</v>
      </c>
      <c r="BD68" s="235" t="e">
        <f t="shared" si="32"/>
        <v>#NAME?</v>
      </c>
      <c r="BE68" s="235" t="e">
        <f t="shared" si="68"/>
        <v>#NAME?</v>
      </c>
      <c r="BF68" s="235" t="e">
        <f t="shared" si="69"/>
        <v>#NAME?</v>
      </c>
      <c r="BG68" s="235" t="e">
        <f t="shared" si="33"/>
        <v>#NAME?</v>
      </c>
      <c r="BH68" s="233" t="e">
        <f t="shared" si="70"/>
        <v>#NAME?</v>
      </c>
      <c r="BI68" s="175">
        <f t="shared" si="87"/>
        <v>74.399999999999991</v>
      </c>
      <c r="BJ68" s="292">
        <v>92.482308589061347</v>
      </c>
      <c r="BK68" s="235">
        <f t="shared" si="71"/>
        <v>0.92482308589061346</v>
      </c>
      <c r="BL68" s="376">
        <v>89.00068626625567</v>
      </c>
      <c r="BM68" s="294"/>
      <c r="BN68" s="387" t="e">
        <f t="shared" si="72"/>
        <v>#NAME?</v>
      </c>
      <c r="BO68" s="387" t="e">
        <f t="shared" si="73"/>
        <v>#NAME?</v>
      </c>
      <c r="BP68" s="175" t="e">
        <f t="shared" si="74"/>
        <v>#NAME?</v>
      </c>
      <c r="BQ68" s="235"/>
      <c r="BR68" s="235"/>
      <c r="BS68" s="235"/>
      <c r="BT68" s="235"/>
    </row>
    <row r="69" spans="6:72" x14ac:dyDescent="0.2">
      <c r="F69" s="340" t="e">
        <f>AU106</f>
        <v>#NAME?</v>
      </c>
      <c r="G69" s="341">
        <f>I106*1000</f>
        <v>120</v>
      </c>
      <c r="H69" s="173">
        <v>63</v>
      </c>
      <c r="I69" s="513">
        <f t="shared" si="75"/>
        <v>7.5600000000000001E-2</v>
      </c>
      <c r="J69" s="175" t="e">
        <f t="shared" si="76"/>
        <v>#NAME?</v>
      </c>
      <c r="K69" s="232" t="e">
        <f t="shared" si="77"/>
        <v>#NAME?</v>
      </c>
      <c r="L69" s="290" t="e">
        <f t="shared" si="88"/>
        <v>#NAME?</v>
      </c>
      <c r="M69" s="208" t="e">
        <f t="shared" si="55"/>
        <v>#NAME?</v>
      </c>
      <c r="N69" s="291" t="e">
        <f t="shared" si="78"/>
        <v>#NAME?</v>
      </c>
      <c r="O69" s="291">
        <f t="shared" si="79"/>
        <v>5.4078140750258494E-5</v>
      </c>
      <c r="P69" s="233" t="e">
        <f t="shared" si="56"/>
        <v>#NAME?</v>
      </c>
      <c r="Q69" s="232" t="e">
        <f t="shared" si="80"/>
        <v>#NAME?</v>
      </c>
      <c r="R69" s="232" t="e">
        <f t="shared" si="89"/>
        <v>#NAME?</v>
      </c>
      <c r="S69" s="517" t="e">
        <f t="shared" si="81"/>
        <v>#NAME?</v>
      </c>
      <c r="T69" s="232" t="e">
        <f t="shared" si="57"/>
        <v>#NAME?</v>
      </c>
      <c r="U69" s="233" t="e">
        <f t="shared" si="82"/>
        <v>#NAME?</v>
      </c>
      <c r="V69" s="232" t="e">
        <f t="shared" si="10"/>
        <v>#NAME?</v>
      </c>
      <c r="W69" s="232" t="e">
        <f t="shared" si="58"/>
        <v>#NAME?</v>
      </c>
      <c r="X69" s="232" t="e">
        <f t="shared" si="90"/>
        <v>#NAME?</v>
      </c>
      <c r="Y69" s="234" t="e">
        <f t="shared" si="12"/>
        <v>#NAME?</v>
      </c>
      <c r="Z69" s="234" t="e">
        <f t="shared" si="59"/>
        <v>#NAME?</v>
      </c>
      <c r="AA69" s="232" t="e">
        <f t="shared" si="91"/>
        <v>#NAME?</v>
      </c>
      <c r="AB69" s="232" t="e">
        <f t="shared" si="92"/>
        <v>#NAME?</v>
      </c>
      <c r="AC69" s="232" t="e">
        <f t="shared" si="93"/>
        <v>#NAME?</v>
      </c>
      <c r="AD69">
        <v>20</v>
      </c>
      <c r="AE69" s="208">
        <v>10</v>
      </c>
      <c r="AF69" s="232" t="e">
        <f t="shared" si="94"/>
        <v>#NAME?</v>
      </c>
      <c r="AG69" s="232" t="e">
        <f t="shared" si="95"/>
        <v>#NAME?</v>
      </c>
      <c r="AH69" s="232" t="e">
        <f t="shared" si="60"/>
        <v>#NAME?</v>
      </c>
      <c r="AI69" s="232" t="e">
        <f t="shared" si="96"/>
        <v>#NAME?</v>
      </c>
      <c r="AJ69" s="232" t="e">
        <f t="shared" si="97"/>
        <v>#NAME?</v>
      </c>
      <c r="AK69" s="232" t="e">
        <f t="shared" si="98"/>
        <v>#NAME?</v>
      </c>
      <c r="AL69" s="232">
        <f t="shared" si="99"/>
        <v>0</v>
      </c>
      <c r="AM69" s="232" t="e">
        <f t="shared" si="100"/>
        <v>#NAME?</v>
      </c>
      <c r="AN69" s="232" t="e">
        <f t="shared" si="61"/>
        <v>#NAME?</v>
      </c>
      <c r="AO69" s="232" t="e">
        <f t="shared" si="83"/>
        <v>#NAME?</v>
      </c>
      <c r="AP69" s="232" t="e">
        <f t="shared" si="101"/>
        <v>#NAME?</v>
      </c>
      <c r="AQ69" s="232" t="e">
        <f t="shared" si="62"/>
        <v>#NAME?</v>
      </c>
      <c r="AR69" s="232" t="e">
        <f t="shared" si="63"/>
        <v>#NAME?</v>
      </c>
      <c r="AS69" s="232" t="e">
        <f t="shared" si="25"/>
        <v>#NAME?</v>
      </c>
      <c r="AT69" s="232">
        <f t="shared" si="84"/>
        <v>0.378</v>
      </c>
      <c r="AU69" s="292" t="e">
        <f t="shared" si="64"/>
        <v>#NAME?</v>
      </c>
      <c r="AV69" s="235" t="e">
        <f t="shared" si="65"/>
        <v>#NAME?</v>
      </c>
      <c r="AW69" s="235" t="e">
        <f t="shared" si="66"/>
        <v>#NAME?</v>
      </c>
      <c r="AX69" s="235" t="e">
        <f t="shared" si="102"/>
        <v>#NAME?</v>
      </c>
      <c r="AY69" s="235" t="e">
        <f t="shared" si="67"/>
        <v>#NAME?</v>
      </c>
      <c r="AZ69" s="235" t="e">
        <f t="shared" si="28"/>
        <v>#NAME?</v>
      </c>
      <c r="BA69" s="235" t="e">
        <f t="shared" si="29"/>
        <v>#NAME?</v>
      </c>
      <c r="BB69" s="235" t="e">
        <f t="shared" si="85"/>
        <v>#NAME?</v>
      </c>
      <c r="BC69" s="235" t="e">
        <f t="shared" si="86"/>
        <v>#NAME?</v>
      </c>
      <c r="BD69" s="235" t="e">
        <f t="shared" si="32"/>
        <v>#NAME?</v>
      </c>
      <c r="BE69" s="235" t="e">
        <f t="shared" si="68"/>
        <v>#NAME?</v>
      </c>
      <c r="BF69" s="235" t="e">
        <f t="shared" si="69"/>
        <v>#NAME?</v>
      </c>
      <c r="BG69" s="235" t="e">
        <f t="shared" si="33"/>
        <v>#NAME?</v>
      </c>
      <c r="BH69" s="233" t="e">
        <f t="shared" si="70"/>
        <v>#NAME?</v>
      </c>
      <c r="BI69" s="175">
        <f t="shared" si="87"/>
        <v>75.599999999999994</v>
      </c>
      <c r="BJ69" s="292">
        <v>92.484901923038976</v>
      </c>
      <c r="BK69" s="235">
        <f t="shared" si="71"/>
        <v>0.92484901923038976</v>
      </c>
      <c r="BL69" s="376">
        <v>89.110124742644544</v>
      </c>
      <c r="BM69" s="294"/>
      <c r="BN69" s="387" t="e">
        <f t="shared" si="72"/>
        <v>#NAME?</v>
      </c>
      <c r="BO69" s="387" t="e">
        <f t="shared" si="73"/>
        <v>#NAME?</v>
      </c>
      <c r="BP69" s="175" t="e">
        <f t="shared" si="74"/>
        <v>#NAME?</v>
      </c>
      <c r="BQ69" s="235"/>
      <c r="BR69" s="235"/>
      <c r="BS69" s="235"/>
      <c r="BT69" s="235"/>
    </row>
    <row r="70" spans="6:72" x14ac:dyDescent="0.2">
      <c r="H70" s="173">
        <v>64</v>
      </c>
      <c r="I70" s="513">
        <f t="shared" ref="I70:I101" si="104">IF(PLOT_TYPE=1, H70/100*Iout_maxload_PFM, min_I*EXP(H70*rr/100))</f>
        <v>7.6799999999999993E-2</v>
      </c>
      <c r="J70" s="175" t="e">
        <f t="shared" ref="J70:J106" si="105">IripplePFM</f>
        <v>#NAME?</v>
      </c>
      <c r="K70" s="232" t="e">
        <f t="shared" ref="K70:K106" si="106">I70*D*P70</f>
        <v>#NAME?</v>
      </c>
      <c r="L70" s="290" t="e">
        <f t="shared" si="88"/>
        <v>#NAME?</v>
      </c>
      <c r="M70" s="208" t="e">
        <f t="shared" si="55"/>
        <v>#NAME?</v>
      </c>
      <c r="N70" s="291" t="e">
        <f t="shared" ref="N70:N106" si="107">Cout*Vout_hys/(Ioutmax-I70)</f>
        <v>#NAME?</v>
      </c>
      <c r="O70" s="291">
        <f t="shared" ref="O70:O106" si="108">Cout*Vout_hys/I70</f>
        <v>5.323316980103571E-5</v>
      </c>
      <c r="P70" s="233" t="e">
        <f t="shared" si="56"/>
        <v>#NAME?</v>
      </c>
      <c r="Q70" s="232" t="e">
        <f t="shared" ref="Q70:Q101" si="109">IripplePFM/SQRT(3)*SQRT(P70)</f>
        <v>#NAME?</v>
      </c>
      <c r="R70" s="232" t="e">
        <f t="shared" si="89"/>
        <v>#NAME?</v>
      </c>
      <c r="S70" s="517" t="e">
        <f t="shared" ref="S70:S106" si="110">P70*Fsw^2.5*(IripplePFM/2)^2.5*k_core</f>
        <v>#NAME?</v>
      </c>
      <c r="T70" s="232" t="e">
        <f t="shared" si="57"/>
        <v>#NAME?</v>
      </c>
      <c r="U70" s="233" t="e">
        <f t="shared" ref="U70:U106" si="111">SQRT((((I70*(1-P70)/P70)^2+Ilim^2/12)*P70)+I70^2*(1-P70))</f>
        <v>#NAME?</v>
      </c>
      <c r="V70" s="232" t="e">
        <f t="shared" si="10"/>
        <v>#NAME?</v>
      </c>
      <c r="W70" s="232" t="e">
        <f t="shared" si="58"/>
        <v>#NAME?</v>
      </c>
      <c r="X70" s="232" t="e">
        <f t="shared" si="90"/>
        <v>#NAME?</v>
      </c>
      <c r="Y70" s="234" t="e">
        <f t="shared" si="12"/>
        <v>#NAME?</v>
      </c>
      <c r="Z70" s="234" t="e">
        <f t="shared" si="59"/>
        <v>#NAME?</v>
      </c>
      <c r="AA70" s="232" t="e">
        <f t="shared" si="91"/>
        <v>#NAME?</v>
      </c>
      <c r="AB70" s="232" t="e">
        <f t="shared" si="92"/>
        <v>#NAME?</v>
      </c>
      <c r="AC70" s="232" t="e">
        <f t="shared" si="93"/>
        <v>#NAME?</v>
      </c>
      <c r="AD70">
        <v>20</v>
      </c>
      <c r="AE70" s="208">
        <v>10</v>
      </c>
      <c r="AF70" s="232" t="e">
        <f t="shared" si="94"/>
        <v>#NAME?</v>
      </c>
      <c r="AG70" s="232" t="e">
        <f t="shared" si="95"/>
        <v>#NAME?</v>
      </c>
      <c r="AH70" s="232" t="e">
        <f t="shared" si="60"/>
        <v>#NAME?</v>
      </c>
      <c r="AI70" s="232" t="e">
        <f t="shared" si="96"/>
        <v>#NAME?</v>
      </c>
      <c r="AJ70" s="232" t="e">
        <f t="shared" si="97"/>
        <v>#NAME?</v>
      </c>
      <c r="AK70" s="232" t="e">
        <f t="shared" si="98"/>
        <v>#NAME?</v>
      </c>
      <c r="AL70" s="232">
        <f t="shared" si="99"/>
        <v>0</v>
      </c>
      <c r="AM70" s="232" t="e">
        <f t="shared" si="100"/>
        <v>#NAME?</v>
      </c>
      <c r="AN70" s="232" t="e">
        <f t="shared" si="61"/>
        <v>#NAME?</v>
      </c>
      <c r="AO70" s="232" t="e">
        <f t="shared" ref="AO70:AO106" si="112">Vin*(Iq_active*(N70+Tsleep)+Iq_sleep*(O70-Tsleep))/(N70+O70)+Vout*Ifb/0.7</f>
        <v>#NAME?</v>
      </c>
      <c r="AP70" s="232" t="e">
        <f t="shared" si="101"/>
        <v>#NAME?</v>
      </c>
      <c r="AQ70" s="232" t="e">
        <f t="shared" si="62"/>
        <v>#NAME?</v>
      </c>
      <c r="AR70" s="232" t="e">
        <f t="shared" si="63"/>
        <v>#NAME?</v>
      </c>
      <c r="AS70" s="232" t="e">
        <f t="shared" si="25"/>
        <v>#NAME?</v>
      </c>
      <c r="AT70" s="232">
        <f t="shared" ref="AT70:AT106" si="113">Vout*I70</f>
        <v>0.38399999999999995</v>
      </c>
      <c r="AU70" s="292" t="e">
        <f t="shared" si="64"/>
        <v>#NAME?</v>
      </c>
      <c r="AV70" s="235" t="e">
        <f t="shared" si="65"/>
        <v>#NAME?</v>
      </c>
      <c r="AW70" s="235" t="e">
        <f t="shared" si="66"/>
        <v>#NAME?</v>
      </c>
      <c r="AX70" s="235" t="e">
        <f t="shared" si="102"/>
        <v>#NAME?</v>
      </c>
      <c r="AY70" s="235" t="e">
        <f t="shared" si="67"/>
        <v>#NAME?</v>
      </c>
      <c r="AZ70" s="235" t="e">
        <f t="shared" si="28"/>
        <v>#NAME?</v>
      </c>
      <c r="BA70" s="235" t="e">
        <f t="shared" si="29"/>
        <v>#NAME?</v>
      </c>
      <c r="BB70" s="235" t="e">
        <f t="shared" ref="BB70:BB106" si="114">R70/($AT70+$AS70)</f>
        <v>#NAME?</v>
      </c>
      <c r="BC70" s="235" t="e">
        <f t="shared" ref="BC70:BC106" si="115">S70/($AT70+$AS70)</f>
        <v>#NAME?</v>
      </c>
      <c r="BD70" s="235" t="e">
        <f t="shared" si="32"/>
        <v>#NAME?</v>
      </c>
      <c r="BE70" s="235" t="e">
        <f t="shared" si="68"/>
        <v>#NAME?</v>
      </c>
      <c r="BF70" s="235" t="e">
        <f t="shared" si="69"/>
        <v>#NAME?</v>
      </c>
      <c r="BG70" s="235" t="e">
        <f t="shared" si="33"/>
        <v>#NAME?</v>
      </c>
      <c r="BH70" s="233" t="e">
        <f t="shared" si="70"/>
        <v>#NAME?</v>
      </c>
      <c r="BI70" s="175">
        <f t="shared" ref="BI70:BI106" si="116">I70*1000</f>
        <v>76.8</v>
      </c>
      <c r="BJ70" s="292">
        <v>92.487424188408724</v>
      </c>
      <c r="BK70" s="235">
        <f t="shared" si="71"/>
        <v>0.92487424188408729</v>
      </c>
      <c r="BL70" s="376">
        <v>89.210206482112255</v>
      </c>
      <c r="BM70" s="294"/>
      <c r="BN70" s="387" t="e">
        <f t="shared" si="72"/>
        <v>#NAME?</v>
      </c>
      <c r="BO70" s="387" t="e">
        <f t="shared" si="73"/>
        <v>#NAME?</v>
      </c>
      <c r="BP70" s="175" t="e">
        <f t="shared" si="74"/>
        <v>#NAME?</v>
      </c>
      <c r="BQ70" s="235"/>
      <c r="BR70" s="235"/>
      <c r="BS70" s="235"/>
      <c r="BT70" s="235"/>
    </row>
    <row r="71" spans="6:72" x14ac:dyDescent="0.2">
      <c r="H71" s="173">
        <v>65</v>
      </c>
      <c r="I71" s="513">
        <f t="shared" si="104"/>
        <v>7.8E-2</v>
      </c>
      <c r="J71" s="175" t="e">
        <f t="shared" si="105"/>
        <v>#NAME?</v>
      </c>
      <c r="K71" s="232" t="e">
        <f t="shared" si="106"/>
        <v>#NAME?</v>
      </c>
      <c r="L71" s="290" t="e">
        <f t="shared" ref="L71:L106" si="117">OffTime</f>
        <v>#NAME?</v>
      </c>
      <c r="M71" s="208" t="e">
        <f t="shared" si="55"/>
        <v>#NAME?</v>
      </c>
      <c r="N71" s="291" t="e">
        <f t="shared" si="107"/>
        <v>#NAME?</v>
      </c>
      <c r="O71" s="291">
        <f t="shared" si="108"/>
        <v>5.2414197957942847E-5</v>
      </c>
      <c r="P71" s="233" t="e">
        <f t="shared" si="56"/>
        <v>#NAME?</v>
      </c>
      <c r="Q71" s="232" t="e">
        <f t="shared" si="109"/>
        <v>#NAME?</v>
      </c>
      <c r="R71" s="232" t="e">
        <f t="shared" ref="R71:R106" si="118">Q71^2*Rdcr</f>
        <v>#NAME?</v>
      </c>
      <c r="S71" s="517" t="e">
        <f t="shared" si="110"/>
        <v>#NAME?</v>
      </c>
      <c r="T71" s="232" t="e">
        <f t="shared" si="57"/>
        <v>#NAME?</v>
      </c>
      <c r="U71" s="233" t="e">
        <f t="shared" si="111"/>
        <v>#NAME?</v>
      </c>
      <c r="V71" s="232" t="e">
        <f t="shared" ref="V71:V106" si="119">RCoutEsr*U71^2</f>
        <v>#NAME?</v>
      </c>
      <c r="W71" s="232" t="e">
        <f t="shared" si="58"/>
        <v>#NAME?</v>
      </c>
      <c r="X71" s="232" t="e">
        <f t="shared" ref="X71:X106" si="120">SQRT((K71^2*(1-D)+(K71-Ilim)^2*D/3))*P71+(K71^2*(1-P71))</f>
        <v>#NAME?</v>
      </c>
      <c r="Y71" s="234" t="e">
        <f t="shared" ref="Y71:Y106" si="121">RCinEsr*X71^2</f>
        <v>#NAME?</v>
      </c>
      <c r="Z71" s="234" t="e">
        <f t="shared" si="59"/>
        <v>#NAME?</v>
      </c>
      <c r="AA71" s="232" t="e">
        <f t="shared" ref="AA71:AA106" si="122">Ilim*SQRT(P71*D/3)</f>
        <v>#NAME?</v>
      </c>
      <c r="AB71" s="232" t="e">
        <f t="shared" ref="AB71:AB102" si="123">RdsonTop*AA71^2</f>
        <v>#NAME?</v>
      </c>
      <c r="AC71" s="232" t="e">
        <f t="shared" ref="AC71:AC106" si="124">QgTop*P71*Vdd*Fsw</f>
        <v>#NAME?</v>
      </c>
      <c r="AD71">
        <v>20</v>
      </c>
      <c r="AE71" s="208">
        <v>10</v>
      </c>
      <c r="AF71" s="232" t="e">
        <f t="shared" ref="AF71:AF106" si="125">Vin*Ilim*Tf/2*Fsw*P71</f>
        <v>#NAME?</v>
      </c>
      <c r="AG71" s="232" t="e">
        <f t="shared" ref="AG71:AG106" si="126">Coss*Vin^2*Fsw*P71/2</f>
        <v>#NAME?</v>
      </c>
      <c r="AH71" s="232" t="e">
        <f t="shared" si="60"/>
        <v>#NAME?</v>
      </c>
      <c r="AI71" s="232" t="e">
        <f t="shared" ref="AI71:AI106" si="127">Ilim*SQRT(P71*(1-D)/3)</f>
        <v>#NAME?</v>
      </c>
      <c r="AJ71" s="232" t="e">
        <f t="shared" ref="AJ71:AJ102" si="128">RdsonBot*AI71^2</f>
        <v>#NAME?</v>
      </c>
      <c r="AK71" s="232" t="e">
        <f t="shared" ref="AK71:AK106" si="129">QgBot*P71*Vdd*Fsw</f>
        <v>#NAME?</v>
      </c>
      <c r="AL71" s="232">
        <f t="shared" ref="AL71:AL106" si="130">Vin*Idss</f>
        <v>0</v>
      </c>
      <c r="AM71" s="232" t="e">
        <f t="shared" ref="AM71:AM106" si="131">dead1*P71*Ilim*((Ilim)*BDserR+VSD)*Fsw</f>
        <v>#NAME?</v>
      </c>
      <c r="AN71" s="232" t="e">
        <f t="shared" si="61"/>
        <v>#NAME?</v>
      </c>
      <c r="AO71" s="232" t="e">
        <f t="shared" si="112"/>
        <v>#NAME?</v>
      </c>
      <c r="AP71" s="232" t="e">
        <f t="shared" ref="AP71:AP102" si="132">(Vin-Vdd)*Fsw*(QgBot+QgTop)*P71+AO71</f>
        <v>#NAME?</v>
      </c>
      <c r="AQ71" s="232" t="e">
        <f t="shared" si="62"/>
        <v>#NAME?</v>
      </c>
      <c r="AR71" s="232" t="e">
        <f t="shared" si="63"/>
        <v>#NAME?</v>
      </c>
      <c r="AS71" s="232" t="e">
        <f t="shared" ref="AS71:AS105" si="133">SUM(T71,W71,Z71,AR71)</f>
        <v>#NAME?</v>
      </c>
      <c r="AT71" s="232">
        <f t="shared" si="113"/>
        <v>0.39</v>
      </c>
      <c r="AU71" s="292" t="e">
        <f t="shared" si="64"/>
        <v>#NAME?</v>
      </c>
      <c r="AV71" s="235" t="e">
        <f t="shared" si="65"/>
        <v>#NAME?</v>
      </c>
      <c r="AW71" s="235" t="e">
        <f t="shared" si="66"/>
        <v>#NAME?</v>
      </c>
      <c r="AX71" s="235" t="e">
        <f t="shared" ref="AX71:AX106" si="134">Vin*Fsw*P71*(QgBot+QgTop)/($AT71+$AS71)</f>
        <v>#NAME?</v>
      </c>
      <c r="AY71" s="235" t="e">
        <f t="shared" si="67"/>
        <v>#NAME?</v>
      </c>
      <c r="AZ71" s="235" t="e">
        <f t="shared" ref="AZ71:AZ106" si="135">AL71/(AS71+AT71)</f>
        <v>#NAME?</v>
      </c>
      <c r="BA71" s="235" t="e">
        <f t="shared" ref="BA71:BA106" si="136">AM71/($AT71+$AS71)</f>
        <v>#NAME?</v>
      </c>
      <c r="BB71" s="235" t="e">
        <f t="shared" si="114"/>
        <v>#NAME?</v>
      </c>
      <c r="BC71" s="235" t="e">
        <f t="shared" si="115"/>
        <v>#NAME?</v>
      </c>
      <c r="BD71" s="235" t="e">
        <f t="shared" ref="BD71:BD106" si="137">(W71+Z71)/($AT71+$AS71)</f>
        <v>#NAME?</v>
      </c>
      <c r="BE71" s="235" t="e">
        <f t="shared" si="68"/>
        <v>#NAME?</v>
      </c>
      <c r="BF71" s="235" t="e">
        <f t="shared" si="69"/>
        <v>#NAME?</v>
      </c>
      <c r="BG71" s="235" t="e">
        <f t="shared" ref="BG71:BG106" si="138">AU71/100</f>
        <v>#NAME?</v>
      </c>
      <c r="BH71" s="233" t="e">
        <f t="shared" si="70"/>
        <v>#NAME?</v>
      </c>
      <c r="BI71" s="175">
        <f t="shared" si="116"/>
        <v>78</v>
      </c>
      <c r="BJ71" s="292">
        <v>92.489878662434649</v>
      </c>
      <c r="BK71" s="235">
        <f t="shared" si="71"/>
        <v>0.92489878662434644</v>
      </c>
      <c r="BL71" s="376">
        <v>89.301719789125713</v>
      </c>
      <c r="BM71" s="294"/>
      <c r="BN71" s="387" t="e">
        <f t="shared" si="72"/>
        <v>#NAME?</v>
      </c>
      <c r="BO71" s="387" t="e">
        <f t="shared" si="73"/>
        <v>#NAME?</v>
      </c>
      <c r="BP71" s="175" t="e">
        <f t="shared" si="74"/>
        <v>#NAME?</v>
      </c>
      <c r="BQ71" s="235"/>
      <c r="BR71" s="235"/>
      <c r="BS71" s="235"/>
      <c r="BT71" s="235"/>
    </row>
    <row r="72" spans="6:72" x14ac:dyDescent="0.2">
      <c r="H72" s="173">
        <v>66</v>
      </c>
      <c r="I72" s="513">
        <f t="shared" si="104"/>
        <v>7.9200000000000007E-2</v>
      </c>
      <c r="J72" s="175" t="e">
        <f t="shared" si="105"/>
        <v>#NAME?</v>
      </c>
      <c r="K72" s="232" t="e">
        <f t="shared" si="106"/>
        <v>#NAME?</v>
      </c>
      <c r="L72" s="290" t="e">
        <f t="shared" si="117"/>
        <v>#NAME?</v>
      </c>
      <c r="M72" s="208" t="e">
        <f t="shared" ref="M72:M106" si="139">1/(N72+O72)</f>
        <v>#NAME?</v>
      </c>
      <c r="N72" s="291" t="e">
        <f t="shared" si="107"/>
        <v>#NAME?</v>
      </c>
      <c r="O72" s="291">
        <f t="shared" si="108"/>
        <v>5.1620043443428559E-5</v>
      </c>
      <c r="P72" s="233" t="e">
        <f t="shared" ref="P72:P106" si="140">N72/(N72+O72)</f>
        <v>#NAME?</v>
      </c>
      <c r="Q72" s="232" t="e">
        <f t="shared" si="109"/>
        <v>#NAME?</v>
      </c>
      <c r="R72" s="232" t="e">
        <f t="shared" si="118"/>
        <v>#NAME?</v>
      </c>
      <c r="S72" s="517" t="e">
        <f t="shared" si="110"/>
        <v>#NAME?</v>
      </c>
      <c r="T72" s="232" t="e">
        <f t="shared" ref="T72:T106" si="141">R72+S72</f>
        <v>#NAME?</v>
      </c>
      <c r="U72" s="233" t="e">
        <f t="shared" si="111"/>
        <v>#NAME?</v>
      </c>
      <c r="V72" s="232" t="e">
        <f t="shared" si="119"/>
        <v>#NAME?</v>
      </c>
      <c r="W72" s="232" t="e">
        <f t="shared" ref="W72:W106" si="142">V72</f>
        <v>#NAME?</v>
      </c>
      <c r="X72" s="232" t="e">
        <f t="shared" si="120"/>
        <v>#NAME?</v>
      </c>
      <c r="Y72" s="234" t="e">
        <f t="shared" si="121"/>
        <v>#NAME?</v>
      </c>
      <c r="Z72" s="234" t="e">
        <f t="shared" ref="Z72:Z106" si="143">Y72</f>
        <v>#NAME?</v>
      </c>
      <c r="AA72" s="232" t="e">
        <f t="shared" si="122"/>
        <v>#NAME?</v>
      </c>
      <c r="AB72" s="232" t="e">
        <f t="shared" si="123"/>
        <v>#NAME?</v>
      </c>
      <c r="AC72" s="232" t="e">
        <f t="shared" si="124"/>
        <v>#NAME?</v>
      </c>
      <c r="AD72">
        <v>20</v>
      </c>
      <c r="AE72" s="208">
        <v>10</v>
      </c>
      <c r="AF72" s="232" t="e">
        <f t="shared" si="125"/>
        <v>#NAME?</v>
      </c>
      <c r="AG72" s="232" t="e">
        <f t="shared" si="126"/>
        <v>#NAME?</v>
      </c>
      <c r="AH72" s="232" t="e">
        <f t="shared" ref="AH72:AH106" si="144">AB72+AF72+AG72</f>
        <v>#NAME?</v>
      </c>
      <c r="AI72" s="232" t="e">
        <f t="shared" si="127"/>
        <v>#NAME?</v>
      </c>
      <c r="AJ72" s="232" t="e">
        <f t="shared" si="128"/>
        <v>#NAME?</v>
      </c>
      <c r="AK72" s="232" t="e">
        <f t="shared" si="129"/>
        <v>#NAME?</v>
      </c>
      <c r="AL72" s="232">
        <f t="shared" si="130"/>
        <v>0</v>
      </c>
      <c r="AM72" s="232" t="e">
        <f t="shared" si="131"/>
        <v>#NAME?</v>
      </c>
      <c r="AN72" s="232" t="e">
        <f t="shared" ref="AN72:AN106" si="145">AJ72+AL72+AM72</f>
        <v>#NAME?</v>
      </c>
      <c r="AO72" s="232" t="e">
        <f t="shared" si="112"/>
        <v>#NAME?</v>
      </c>
      <c r="AP72" s="232" t="e">
        <f t="shared" si="132"/>
        <v>#NAME?</v>
      </c>
      <c r="AQ72" s="232" t="e">
        <f t="shared" ref="AQ72:AQ106" si="146">AC72+AK72</f>
        <v>#NAME?</v>
      </c>
      <c r="AR72" s="232" t="e">
        <f t="shared" ref="AR72:AR106" si="147">AH72+AN72+AP72+AQ72</f>
        <v>#NAME?</v>
      </c>
      <c r="AS72" s="232" t="e">
        <f t="shared" si="133"/>
        <v>#NAME?</v>
      </c>
      <c r="AT72" s="232">
        <f t="shared" si="113"/>
        <v>0.39600000000000002</v>
      </c>
      <c r="AU72" s="292" t="e">
        <f t="shared" ref="AU72:AU106" si="148">100*AT72/(AT72+AS72)</f>
        <v>#NAME?</v>
      </c>
      <c r="AV72" s="235" t="e">
        <f t="shared" ref="AV72:AV106" si="149">AB72/($AT72+$AS72)</f>
        <v>#NAME?</v>
      </c>
      <c r="AW72" s="235" t="e">
        <f t="shared" ref="AW72:AW106" si="150">AJ72/($AT72+$AS72)</f>
        <v>#NAME?</v>
      </c>
      <c r="AX72" s="235" t="e">
        <f t="shared" si="134"/>
        <v>#NAME?</v>
      </c>
      <c r="AY72" s="235" t="e">
        <f t="shared" ref="AY72:AY106" si="151">(AF72+AG72)/($AT72+$AS72)</f>
        <v>#NAME?</v>
      </c>
      <c r="AZ72" s="235" t="e">
        <f t="shared" si="135"/>
        <v>#NAME?</v>
      </c>
      <c r="BA72" s="235" t="e">
        <f t="shared" si="136"/>
        <v>#NAME?</v>
      </c>
      <c r="BB72" s="235" t="e">
        <f t="shared" si="114"/>
        <v>#NAME?</v>
      </c>
      <c r="BC72" s="235" t="e">
        <f t="shared" si="115"/>
        <v>#NAME?</v>
      </c>
      <c r="BD72" s="235" t="e">
        <f t="shared" si="137"/>
        <v>#NAME?</v>
      </c>
      <c r="BE72" s="235" t="e">
        <f t="shared" ref="BE72:BE106" si="152">AO72/($AT72+$AS72)</f>
        <v>#NAME?</v>
      </c>
      <c r="BF72" s="235" t="e">
        <f t="shared" ref="BF72:BF106" si="153">SUM(AV72:BE72)</f>
        <v>#NAME?</v>
      </c>
      <c r="BG72" s="235" t="e">
        <f t="shared" si="138"/>
        <v>#NAME?</v>
      </c>
      <c r="BH72" s="233" t="e">
        <f t="shared" ref="BH72:BH106" si="154">BG72*100</f>
        <v>#NAME?</v>
      </c>
      <c r="BI72" s="175">
        <f t="shared" si="116"/>
        <v>79.2</v>
      </c>
      <c r="BJ72" s="292">
        <v>92.492268423968255</v>
      </c>
      <c r="BK72" s="235">
        <f t="shared" ref="BK72:BK106" si="155">BJ72/100</f>
        <v>0.9249226842396826</v>
      </c>
      <c r="BL72" s="376">
        <v>89.385390322784559</v>
      </c>
      <c r="BM72" s="294"/>
      <c r="BN72" s="387" t="e">
        <f t="shared" ref="BN72:BN106" si="156">1000*AR72</f>
        <v>#NAME?</v>
      </c>
      <c r="BO72" s="387" t="e">
        <f t="shared" ref="BO72:BO106" si="157">1000*AP72</f>
        <v>#NAME?</v>
      </c>
      <c r="BP72" s="175" t="e">
        <f t="shared" ref="BP72:BP106" si="158">1000*T72</f>
        <v>#NAME?</v>
      </c>
      <c r="BQ72" s="235"/>
      <c r="BR72" s="235"/>
      <c r="BS72" s="235"/>
      <c r="BT72" s="235"/>
    </row>
    <row r="73" spans="6:72" x14ac:dyDescent="0.2">
      <c r="H73" s="173">
        <v>67</v>
      </c>
      <c r="I73" s="513">
        <f t="shared" si="104"/>
        <v>8.0399999999999999E-2</v>
      </c>
      <c r="J73" s="175" t="e">
        <f t="shared" si="105"/>
        <v>#NAME?</v>
      </c>
      <c r="K73" s="232" t="e">
        <f t="shared" si="106"/>
        <v>#NAME?</v>
      </c>
      <c r="L73" s="290" t="e">
        <f t="shared" si="117"/>
        <v>#NAME?</v>
      </c>
      <c r="M73" s="208" t="e">
        <f t="shared" si="139"/>
        <v>#NAME?</v>
      </c>
      <c r="N73" s="291" t="e">
        <f t="shared" si="107"/>
        <v>#NAME?</v>
      </c>
      <c r="O73" s="291">
        <f t="shared" si="108"/>
        <v>5.0849595033825151E-5</v>
      </c>
      <c r="P73" s="233" t="e">
        <f t="shared" si="140"/>
        <v>#NAME?</v>
      </c>
      <c r="Q73" s="232" t="e">
        <f t="shared" si="109"/>
        <v>#NAME?</v>
      </c>
      <c r="R73" s="232" t="e">
        <f t="shared" si="118"/>
        <v>#NAME?</v>
      </c>
      <c r="S73" s="517" t="e">
        <f t="shared" si="110"/>
        <v>#NAME?</v>
      </c>
      <c r="T73" s="232" t="e">
        <f t="shared" si="141"/>
        <v>#NAME?</v>
      </c>
      <c r="U73" s="233" t="e">
        <f t="shared" si="111"/>
        <v>#NAME?</v>
      </c>
      <c r="V73" s="232" t="e">
        <f t="shared" si="119"/>
        <v>#NAME?</v>
      </c>
      <c r="W73" s="232" t="e">
        <f t="shared" si="142"/>
        <v>#NAME?</v>
      </c>
      <c r="X73" s="232" t="e">
        <f t="shared" si="120"/>
        <v>#NAME?</v>
      </c>
      <c r="Y73" s="234" t="e">
        <f t="shared" si="121"/>
        <v>#NAME?</v>
      </c>
      <c r="Z73" s="234" t="e">
        <f t="shared" si="143"/>
        <v>#NAME?</v>
      </c>
      <c r="AA73" s="232" t="e">
        <f t="shared" si="122"/>
        <v>#NAME?</v>
      </c>
      <c r="AB73" s="232" t="e">
        <f t="shared" si="123"/>
        <v>#NAME?</v>
      </c>
      <c r="AC73" s="232" t="e">
        <f t="shared" si="124"/>
        <v>#NAME?</v>
      </c>
      <c r="AD73">
        <v>20</v>
      </c>
      <c r="AE73" s="208">
        <v>10</v>
      </c>
      <c r="AF73" s="232" t="e">
        <f t="shared" si="125"/>
        <v>#NAME?</v>
      </c>
      <c r="AG73" s="232" t="e">
        <f t="shared" si="126"/>
        <v>#NAME?</v>
      </c>
      <c r="AH73" s="232" t="e">
        <f t="shared" si="144"/>
        <v>#NAME?</v>
      </c>
      <c r="AI73" s="232" t="e">
        <f t="shared" si="127"/>
        <v>#NAME?</v>
      </c>
      <c r="AJ73" s="232" t="e">
        <f t="shared" si="128"/>
        <v>#NAME?</v>
      </c>
      <c r="AK73" s="232" t="e">
        <f t="shared" si="129"/>
        <v>#NAME?</v>
      </c>
      <c r="AL73" s="232">
        <f t="shared" si="130"/>
        <v>0</v>
      </c>
      <c r="AM73" s="232" t="e">
        <f t="shared" si="131"/>
        <v>#NAME?</v>
      </c>
      <c r="AN73" s="232" t="e">
        <f t="shared" si="145"/>
        <v>#NAME?</v>
      </c>
      <c r="AO73" s="232" t="e">
        <f t="shared" si="112"/>
        <v>#NAME?</v>
      </c>
      <c r="AP73" s="232" t="e">
        <f t="shared" si="132"/>
        <v>#NAME?</v>
      </c>
      <c r="AQ73" s="232" t="e">
        <f t="shared" si="146"/>
        <v>#NAME?</v>
      </c>
      <c r="AR73" s="232" t="e">
        <f t="shared" si="147"/>
        <v>#NAME?</v>
      </c>
      <c r="AS73" s="232" t="e">
        <f t="shared" si="133"/>
        <v>#NAME?</v>
      </c>
      <c r="AT73" s="232">
        <f t="shared" si="113"/>
        <v>0.40200000000000002</v>
      </c>
      <c r="AU73" s="292" t="e">
        <f t="shared" si="148"/>
        <v>#NAME?</v>
      </c>
      <c r="AV73" s="235" t="e">
        <f t="shared" si="149"/>
        <v>#NAME?</v>
      </c>
      <c r="AW73" s="235" t="e">
        <f t="shared" si="150"/>
        <v>#NAME?</v>
      </c>
      <c r="AX73" s="235" t="e">
        <f t="shared" si="134"/>
        <v>#NAME?</v>
      </c>
      <c r="AY73" s="235" t="e">
        <f t="shared" si="151"/>
        <v>#NAME?</v>
      </c>
      <c r="AZ73" s="235" t="e">
        <f t="shared" si="135"/>
        <v>#NAME?</v>
      </c>
      <c r="BA73" s="235" t="e">
        <f t="shared" si="136"/>
        <v>#NAME?</v>
      </c>
      <c r="BB73" s="235" t="e">
        <f t="shared" si="114"/>
        <v>#NAME?</v>
      </c>
      <c r="BC73" s="235" t="e">
        <f t="shared" si="115"/>
        <v>#NAME?</v>
      </c>
      <c r="BD73" s="235" t="e">
        <f t="shared" si="137"/>
        <v>#NAME?</v>
      </c>
      <c r="BE73" s="235" t="e">
        <f t="shared" si="152"/>
        <v>#NAME?</v>
      </c>
      <c r="BF73" s="235" t="e">
        <f t="shared" si="153"/>
        <v>#NAME?</v>
      </c>
      <c r="BG73" s="235" t="e">
        <f t="shared" si="138"/>
        <v>#NAME?</v>
      </c>
      <c r="BH73" s="233" t="e">
        <f t="shared" si="154"/>
        <v>#NAME?</v>
      </c>
      <c r="BI73" s="175">
        <f t="shared" si="116"/>
        <v>80.400000000000006</v>
      </c>
      <c r="BJ73" s="292">
        <v>92.494596368229239</v>
      </c>
      <c r="BK73" s="235">
        <f t="shared" si="155"/>
        <v>0.92494596368229243</v>
      </c>
      <c r="BL73" s="376">
        <v>89.461885611413308</v>
      </c>
      <c r="BM73" s="294"/>
      <c r="BN73" s="387" t="e">
        <f t="shared" si="156"/>
        <v>#NAME?</v>
      </c>
      <c r="BO73" s="387" t="e">
        <f t="shared" si="157"/>
        <v>#NAME?</v>
      </c>
      <c r="BP73" s="175" t="e">
        <f t="shared" si="158"/>
        <v>#NAME?</v>
      </c>
      <c r="BQ73" s="235"/>
      <c r="BR73" s="235"/>
      <c r="BS73" s="235"/>
      <c r="BT73" s="235"/>
    </row>
    <row r="74" spans="6:72" x14ac:dyDescent="0.2">
      <c r="H74" s="173">
        <v>68</v>
      </c>
      <c r="I74" s="513">
        <f t="shared" si="104"/>
        <v>8.1600000000000006E-2</v>
      </c>
      <c r="J74" s="175" t="e">
        <f t="shared" si="105"/>
        <v>#NAME?</v>
      </c>
      <c r="K74" s="232" t="e">
        <f t="shared" si="106"/>
        <v>#NAME?</v>
      </c>
      <c r="L74" s="290" t="e">
        <f t="shared" si="117"/>
        <v>#NAME?</v>
      </c>
      <c r="M74" s="208" t="e">
        <f t="shared" si="139"/>
        <v>#NAME?</v>
      </c>
      <c r="N74" s="291" t="e">
        <f t="shared" si="107"/>
        <v>#NAME?</v>
      </c>
      <c r="O74" s="291">
        <f t="shared" si="108"/>
        <v>5.0101806871563013E-5</v>
      </c>
      <c r="P74" s="233" t="e">
        <f t="shared" si="140"/>
        <v>#NAME?</v>
      </c>
      <c r="Q74" s="232" t="e">
        <f t="shared" si="109"/>
        <v>#NAME?</v>
      </c>
      <c r="R74" s="232" t="e">
        <f t="shared" si="118"/>
        <v>#NAME?</v>
      </c>
      <c r="S74" s="517" t="e">
        <f t="shared" si="110"/>
        <v>#NAME?</v>
      </c>
      <c r="T74" s="232" t="e">
        <f t="shared" si="141"/>
        <v>#NAME?</v>
      </c>
      <c r="U74" s="233" t="e">
        <f t="shared" si="111"/>
        <v>#NAME?</v>
      </c>
      <c r="V74" s="232" t="e">
        <f t="shared" si="119"/>
        <v>#NAME?</v>
      </c>
      <c r="W74" s="232" t="e">
        <f t="shared" si="142"/>
        <v>#NAME?</v>
      </c>
      <c r="X74" s="232" t="e">
        <f t="shared" si="120"/>
        <v>#NAME?</v>
      </c>
      <c r="Y74" s="234" t="e">
        <f t="shared" si="121"/>
        <v>#NAME?</v>
      </c>
      <c r="Z74" s="234" t="e">
        <f t="shared" si="143"/>
        <v>#NAME?</v>
      </c>
      <c r="AA74" s="232" t="e">
        <f t="shared" si="122"/>
        <v>#NAME?</v>
      </c>
      <c r="AB74" s="232" t="e">
        <f t="shared" si="123"/>
        <v>#NAME?</v>
      </c>
      <c r="AC74" s="232" t="e">
        <f t="shared" si="124"/>
        <v>#NAME?</v>
      </c>
      <c r="AD74">
        <v>20</v>
      </c>
      <c r="AE74" s="208">
        <v>10</v>
      </c>
      <c r="AF74" s="232" t="e">
        <f t="shared" si="125"/>
        <v>#NAME?</v>
      </c>
      <c r="AG74" s="232" t="e">
        <f t="shared" si="126"/>
        <v>#NAME?</v>
      </c>
      <c r="AH74" s="232" t="e">
        <f t="shared" si="144"/>
        <v>#NAME?</v>
      </c>
      <c r="AI74" s="232" t="e">
        <f t="shared" si="127"/>
        <v>#NAME?</v>
      </c>
      <c r="AJ74" s="232" t="e">
        <f t="shared" si="128"/>
        <v>#NAME?</v>
      </c>
      <c r="AK74" s="232" t="e">
        <f t="shared" si="129"/>
        <v>#NAME?</v>
      </c>
      <c r="AL74" s="232">
        <f t="shared" si="130"/>
        <v>0</v>
      </c>
      <c r="AM74" s="232" t="e">
        <f t="shared" si="131"/>
        <v>#NAME?</v>
      </c>
      <c r="AN74" s="232" t="e">
        <f t="shared" si="145"/>
        <v>#NAME?</v>
      </c>
      <c r="AO74" s="232" t="e">
        <f t="shared" si="112"/>
        <v>#NAME?</v>
      </c>
      <c r="AP74" s="232" t="e">
        <f t="shared" si="132"/>
        <v>#NAME?</v>
      </c>
      <c r="AQ74" s="232" t="e">
        <f t="shared" si="146"/>
        <v>#NAME?</v>
      </c>
      <c r="AR74" s="232" t="e">
        <f t="shared" si="147"/>
        <v>#NAME?</v>
      </c>
      <c r="AS74" s="232" t="e">
        <f t="shared" si="133"/>
        <v>#NAME?</v>
      </c>
      <c r="AT74" s="232">
        <f t="shared" si="113"/>
        <v>0.40800000000000003</v>
      </c>
      <c r="AU74" s="292" t="e">
        <f t="shared" si="148"/>
        <v>#NAME?</v>
      </c>
      <c r="AV74" s="235" t="e">
        <f t="shared" si="149"/>
        <v>#NAME?</v>
      </c>
      <c r="AW74" s="235" t="e">
        <f t="shared" si="150"/>
        <v>#NAME?</v>
      </c>
      <c r="AX74" s="235" t="e">
        <f t="shared" si="134"/>
        <v>#NAME?</v>
      </c>
      <c r="AY74" s="235" t="e">
        <f t="shared" si="151"/>
        <v>#NAME?</v>
      </c>
      <c r="AZ74" s="235" t="e">
        <f t="shared" si="135"/>
        <v>#NAME?</v>
      </c>
      <c r="BA74" s="235" t="e">
        <f t="shared" si="136"/>
        <v>#NAME?</v>
      </c>
      <c r="BB74" s="235" t="e">
        <f t="shared" si="114"/>
        <v>#NAME?</v>
      </c>
      <c r="BC74" s="235" t="e">
        <f t="shared" si="115"/>
        <v>#NAME?</v>
      </c>
      <c r="BD74" s="235" t="e">
        <f t="shared" si="137"/>
        <v>#NAME?</v>
      </c>
      <c r="BE74" s="235" t="e">
        <f t="shared" si="152"/>
        <v>#NAME?</v>
      </c>
      <c r="BF74" s="235" t="e">
        <f t="shared" si="153"/>
        <v>#NAME?</v>
      </c>
      <c r="BG74" s="235" t="e">
        <f t="shared" si="138"/>
        <v>#NAME?</v>
      </c>
      <c r="BH74" s="233" t="e">
        <f t="shared" si="154"/>
        <v>#NAME?</v>
      </c>
      <c r="BI74" s="175">
        <f t="shared" si="116"/>
        <v>81.600000000000009</v>
      </c>
      <c r="BJ74" s="292">
        <v>92.496865220283595</v>
      </c>
      <c r="BK74" s="235">
        <f t="shared" si="155"/>
        <v>0.92496865220283597</v>
      </c>
      <c r="BL74" s="376">
        <v>89.53181933822033</v>
      </c>
      <c r="BM74" s="294"/>
      <c r="BN74" s="387" t="e">
        <f t="shared" si="156"/>
        <v>#NAME?</v>
      </c>
      <c r="BO74" s="387" t="e">
        <f t="shared" si="157"/>
        <v>#NAME?</v>
      </c>
      <c r="BP74" s="175" t="e">
        <f t="shared" si="158"/>
        <v>#NAME?</v>
      </c>
      <c r="BQ74" s="235"/>
      <c r="BR74" s="235"/>
      <c r="BS74" s="235"/>
      <c r="BT74" s="235"/>
    </row>
    <row r="75" spans="6:72" x14ac:dyDescent="0.2">
      <c r="H75" s="173">
        <v>69</v>
      </c>
      <c r="I75" s="513">
        <f t="shared" si="104"/>
        <v>8.2799999999999985E-2</v>
      </c>
      <c r="J75" s="175" t="e">
        <f t="shared" si="105"/>
        <v>#NAME?</v>
      </c>
      <c r="K75" s="232" t="e">
        <f t="shared" si="106"/>
        <v>#NAME?</v>
      </c>
      <c r="L75" s="290" t="e">
        <f t="shared" si="117"/>
        <v>#NAME?</v>
      </c>
      <c r="M75" s="208" t="e">
        <f t="shared" si="139"/>
        <v>#NAME?</v>
      </c>
      <c r="N75" s="291" t="e">
        <f t="shared" si="107"/>
        <v>#NAME?</v>
      </c>
      <c r="O75" s="291">
        <f t="shared" si="108"/>
        <v>4.937569372849689E-5</v>
      </c>
      <c r="P75" s="233" t="e">
        <f t="shared" si="140"/>
        <v>#NAME?</v>
      </c>
      <c r="Q75" s="232" t="e">
        <f t="shared" si="109"/>
        <v>#NAME?</v>
      </c>
      <c r="R75" s="232" t="e">
        <f t="shared" si="118"/>
        <v>#NAME?</v>
      </c>
      <c r="S75" s="517" t="e">
        <f t="shared" si="110"/>
        <v>#NAME?</v>
      </c>
      <c r="T75" s="232" t="e">
        <f t="shared" si="141"/>
        <v>#NAME?</v>
      </c>
      <c r="U75" s="233" t="e">
        <f t="shared" si="111"/>
        <v>#NAME?</v>
      </c>
      <c r="V75" s="232" t="e">
        <f t="shared" si="119"/>
        <v>#NAME?</v>
      </c>
      <c r="W75" s="232" t="e">
        <f t="shared" si="142"/>
        <v>#NAME?</v>
      </c>
      <c r="X75" s="232" t="e">
        <f t="shared" si="120"/>
        <v>#NAME?</v>
      </c>
      <c r="Y75" s="234" t="e">
        <f t="shared" si="121"/>
        <v>#NAME?</v>
      </c>
      <c r="Z75" s="234" t="e">
        <f t="shared" si="143"/>
        <v>#NAME?</v>
      </c>
      <c r="AA75" s="232" t="e">
        <f t="shared" si="122"/>
        <v>#NAME?</v>
      </c>
      <c r="AB75" s="232" t="e">
        <f t="shared" si="123"/>
        <v>#NAME?</v>
      </c>
      <c r="AC75" s="232" t="e">
        <f t="shared" si="124"/>
        <v>#NAME?</v>
      </c>
      <c r="AD75">
        <v>20</v>
      </c>
      <c r="AE75" s="208">
        <v>10</v>
      </c>
      <c r="AF75" s="232" t="e">
        <f t="shared" si="125"/>
        <v>#NAME?</v>
      </c>
      <c r="AG75" s="232" t="e">
        <f t="shared" si="126"/>
        <v>#NAME?</v>
      </c>
      <c r="AH75" s="232" t="e">
        <f t="shared" si="144"/>
        <v>#NAME?</v>
      </c>
      <c r="AI75" s="232" t="e">
        <f t="shared" si="127"/>
        <v>#NAME?</v>
      </c>
      <c r="AJ75" s="232" t="e">
        <f t="shared" si="128"/>
        <v>#NAME?</v>
      </c>
      <c r="AK75" s="232" t="e">
        <f t="shared" si="129"/>
        <v>#NAME?</v>
      </c>
      <c r="AL75" s="232">
        <f t="shared" si="130"/>
        <v>0</v>
      </c>
      <c r="AM75" s="232" t="e">
        <f t="shared" si="131"/>
        <v>#NAME?</v>
      </c>
      <c r="AN75" s="232" t="e">
        <f t="shared" si="145"/>
        <v>#NAME?</v>
      </c>
      <c r="AO75" s="232" t="e">
        <f t="shared" si="112"/>
        <v>#NAME?</v>
      </c>
      <c r="AP75" s="232" t="e">
        <f t="shared" si="132"/>
        <v>#NAME?</v>
      </c>
      <c r="AQ75" s="232" t="e">
        <f t="shared" si="146"/>
        <v>#NAME?</v>
      </c>
      <c r="AR75" s="232" t="e">
        <f t="shared" si="147"/>
        <v>#NAME?</v>
      </c>
      <c r="AS75" s="232" t="e">
        <f t="shared" si="133"/>
        <v>#NAME?</v>
      </c>
      <c r="AT75" s="232">
        <f t="shared" si="113"/>
        <v>0.41399999999999992</v>
      </c>
      <c r="AU75" s="292" t="e">
        <f t="shared" si="148"/>
        <v>#NAME?</v>
      </c>
      <c r="AV75" s="235" t="e">
        <f t="shared" si="149"/>
        <v>#NAME?</v>
      </c>
      <c r="AW75" s="235" t="e">
        <f t="shared" si="150"/>
        <v>#NAME?</v>
      </c>
      <c r="AX75" s="235" t="e">
        <f t="shared" si="134"/>
        <v>#NAME?</v>
      </c>
      <c r="AY75" s="235" t="e">
        <f t="shared" si="151"/>
        <v>#NAME?</v>
      </c>
      <c r="AZ75" s="235" t="e">
        <f t="shared" si="135"/>
        <v>#NAME?</v>
      </c>
      <c r="BA75" s="235" t="e">
        <f t="shared" si="136"/>
        <v>#NAME?</v>
      </c>
      <c r="BB75" s="235" t="e">
        <f t="shared" si="114"/>
        <v>#NAME?</v>
      </c>
      <c r="BC75" s="235" t="e">
        <f t="shared" si="115"/>
        <v>#NAME?</v>
      </c>
      <c r="BD75" s="235" t="e">
        <f t="shared" si="137"/>
        <v>#NAME?</v>
      </c>
      <c r="BE75" s="235" t="e">
        <f t="shared" si="152"/>
        <v>#NAME?</v>
      </c>
      <c r="BF75" s="235" t="e">
        <f t="shared" si="153"/>
        <v>#NAME?</v>
      </c>
      <c r="BG75" s="235" t="e">
        <f t="shared" si="138"/>
        <v>#NAME?</v>
      </c>
      <c r="BH75" s="233" t="e">
        <f t="shared" si="154"/>
        <v>#NAME?</v>
      </c>
      <c r="BI75" s="175">
        <f t="shared" si="116"/>
        <v>82.799999999999983</v>
      </c>
      <c r="BJ75" s="292">
        <v>92.49907754735132</v>
      </c>
      <c r="BK75" s="235">
        <f t="shared" si="155"/>
        <v>0.92499077547351316</v>
      </c>
      <c r="BL75" s="376">
        <v>89.5957553928111</v>
      </c>
      <c r="BM75" s="294"/>
      <c r="BN75" s="387" t="e">
        <f t="shared" si="156"/>
        <v>#NAME?</v>
      </c>
      <c r="BO75" s="387" t="e">
        <f t="shared" si="157"/>
        <v>#NAME?</v>
      </c>
      <c r="BP75" s="175" t="e">
        <f t="shared" si="158"/>
        <v>#NAME?</v>
      </c>
      <c r="BQ75" s="235"/>
      <c r="BR75" s="235"/>
      <c r="BS75" s="235"/>
      <c r="BT75" s="235"/>
    </row>
    <row r="76" spans="6:72" x14ac:dyDescent="0.2">
      <c r="H76" s="173">
        <v>70</v>
      </c>
      <c r="I76" s="513">
        <f t="shared" si="104"/>
        <v>8.3999999999999991E-2</v>
      </c>
      <c r="J76" s="175" t="e">
        <f t="shared" si="105"/>
        <v>#NAME?</v>
      </c>
      <c r="K76" s="232" t="e">
        <f t="shared" si="106"/>
        <v>#NAME?</v>
      </c>
      <c r="L76" s="290" t="e">
        <f t="shared" si="117"/>
        <v>#NAME?</v>
      </c>
      <c r="M76" s="208" t="e">
        <f t="shared" si="139"/>
        <v>#NAME?</v>
      </c>
      <c r="N76" s="291" t="e">
        <f t="shared" si="107"/>
        <v>#NAME?</v>
      </c>
      <c r="O76" s="291">
        <f t="shared" si="108"/>
        <v>4.8670326675232648E-5</v>
      </c>
      <c r="P76" s="233" t="e">
        <f t="shared" si="140"/>
        <v>#NAME?</v>
      </c>
      <c r="Q76" s="232" t="e">
        <f t="shared" si="109"/>
        <v>#NAME?</v>
      </c>
      <c r="R76" s="232" t="e">
        <f t="shared" si="118"/>
        <v>#NAME?</v>
      </c>
      <c r="S76" s="517" t="e">
        <f t="shared" si="110"/>
        <v>#NAME?</v>
      </c>
      <c r="T76" s="232" t="e">
        <f t="shared" si="141"/>
        <v>#NAME?</v>
      </c>
      <c r="U76" s="233" t="e">
        <f t="shared" si="111"/>
        <v>#NAME?</v>
      </c>
      <c r="V76" s="232" t="e">
        <f t="shared" si="119"/>
        <v>#NAME?</v>
      </c>
      <c r="W76" s="232" t="e">
        <f t="shared" si="142"/>
        <v>#NAME?</v>
      </c>
      <c r="X76" s="232" t="e">
        <f t="shared" si="120"/>
        <v>#NAME?</v>
      </c>
      <c r="Y76" s="234" t="e">
        <f t="shared" si="121"/>
        <v>#NAME?</v>
      </c>
      <c r="Z76" s="234" t="e">
        <f t="shared" si="143"/>
        <v>#NAME?</v>
      </c>
      <c r="AA76" s="232" t="e">
        <f t="shared" si="122"/>
        <v>#NAME?</v>
      </c>
      <c r="AB76" s="232" t="e">
        <f t="shared" si="123"/>
        <v>#NAME?</v>
      </c>
      <c r="AC76" s="232" t="e">
        <f t="shared" si="124"/>
        <v>#NAME?</v>
      </c>
      <c r="AD76">
        <v>20</v>
      </c>
      <c r="AE76" s="208">
        <v>10</v>
      </c>
      <c r="AF76" s="232" t="e">
        <f t="shared" si="125"/>
        <v>#NAME?</v>
      </c>
      <c r="AG76" s="232" t="e">
        <f t="shared" si="126"/>
        <v>#NAME?</v>
      </c>
      <c r="AH76" s="232" t="e">
        <f t="shared" si="144"/>
        <v>#NAME?</v>
      </c>
      <c r="AI76" s="232" t="e">
        <f t="shared" si="127"/>
        <v>#NAME?</v>
      </c>
      <c r="AJ76" s="232" t="e">
        <f t="shared" si="128"/>
        <v>#NAME?</v>
      </c>
      <c r="AK76" s="232" t="e">
        <f t="shared" si="129"/>
        <v>#NAME?</v>
      </c>
      <c r="AL76" s="232">
        <f t="shared" si="130"/>
        <v>0</v>
      </c>
      <c r="AM76" s="232" t="e">
        <f t="shared" si="131"/>
        <v>#NAME?</v>
      </c>
      <c r="AN76" s="232" t="e">
        <f t="shared" si="145"/>
        <v>#NAME?</v>
      </c>
      <c r="AO76" s="232" t="e">
        <f t="shared" si="112"/>
        <v>#NAME?</v>
      </c>
      <c r="AP76" s="232" t="e">
        <f t="shared" si="132"/>
        <v>#NAME?</v>
      </c>
      <c r="AQ76" s="232" t="e">
        <f t="shared" si="146"/>
        <v>#NAME?</v>
      </c>
      <c r="AR76" s="232" t="e">
        <f t="shared" si="147"/>
        <v>#NAME?</v>
      </c>
      <c r="AS76" s="232" t="e">
        <f t="shared" si="133"/>
        <v>#NAME?</v>
      </c>
      <c r="AT76" s="232">
        <f t="shared" si="113"/>
        <v>0.41999999999999993</v>
      </c>
      <c r="AU76" s="292" t="e">
        <f t="shared" si="148"/>
        <v>#NAME?</v>
      </c>
      <c r="AV76" s="235" t="e">
        <f t="shared" si="149"/>
        <v>#NAME?</v>
      </c>
      <c r="AW76" s="235" t="e">
        <f t="shared" si="150"/>
        <v>#NAME?</v>
      </c>
      <c r="AX76" s="235" t="e">
        <f t="shared" si="134"/>
        <v>#NAME?</v>
      </c>
      <c r="AY76" s="235" t="e">
        <f t="shared" si="151"/>
        <v>#NAME?</v>
      </c>
      <c r="AZ76" s="235" t="e">
        <f t="shared" si="135"/>
        <v>#NAME?</v>
      </c>
      <c r="BA76" s="235" t="e">
        <f t="shared" si="136"/>
        <v>#NAME?</v>
      </c>
      <c r="BB76" s="235" t="e">
        <f t="shared" si="114"/>
        <v>#NAME?</v>
      </c>
      <c r="BC76" s="235" t="e">
        <f t="shared" si="115"/>
        <v>#NAME?</v>
      </c>
      <c r="BD76" s="235" t="e">
        <f t="shared" si="137"/>
        <v>#NAME?</v>
      </c>
      <c r="BE76" s="235" t="e">
        <f t="shared" si="152"/>
        <v>#NAME?</v>
      </c>
      <c r="BF76" s="235" t="e">
        <f t="shared" si="153"/>
        <v>#NAME?</v>
      </c>
      <c r="BG76" s="235" t="e">
        <f t="shared" si="138"/>
        <v>#NAME?</v>
      </c>
      <c r="BH76" s="233" t="e">
        <f t="shared" si="154"/>
        <v>#NAME?</v>
      </c>
      <c r="BI76" s="175">
        <f t="shared" si="116"/>
        <v>83.999999999999986</v>
      </c>
      <c r="BJ76" s="292">
        <v>92.501235770060475</v>
      </c>
      <c r="BK76" s="235">
        <f t="shared" si="155"/>
        <v>0.92501235770060475</v>
      </c>
      <c r="BL76" s="376">
        <v>89.654211687682206</v>
      </c>
      <c r="BM76" s="294"/>
      <c r="BN76" s="387" t="e">
        <f t="shared" si="156"/>
        <v>#NAME?</v>
      </c>
      <c r="BO76" s="387" t="e">
        <f t="shared" si="157"/>
        <v>#NAME?</v>
      </c>
      <c r="BP76" s="175" t="e">
        <f t="shared" si="158"/>
        <v>#NAME?</v>
      </c>
      <c r="BQ76" s="235"/>
      <c r="BR76" s="235"/>
      <c r="BS76" s="235"/>
      <c r="BT76" s="235"/>
    </row>
    <row r="77" spans="6:72" x14ac:dyDescent="0.2">
      <c r="H77" s="173">
        <v>71</v>
      </c>
      <c r="I77" s="513">
        <f t="shared" si="104"/>
        <v>8.5199999999999998E-2</v>
      </c>
      <c r="J77" s="175" t="e">
        <f t="shared" si="105"/>
        <v>#NAME?</v>
      </c>
      <c r="K77" s="232" t="e">
        <f t="shared" si="106"/>
        <v>#NAME?</v>
      </c>
      <c r="L77" s="290" t="e">
        <f t="shared" si="117"/>
        <v>#NAME?</v>
      </c>
      <c r="M77" s="208" t="e">
        <f t="shared" si="139"/>
        <v>#NAME?</v>
      </c>
      <c r="N77" s="291" t="e">
        <f t="shared" si="107"/>
        <v>#NAME?</v>
      </c>
      <c r="O77" s="291">
        <f t="shared" si="108"/>
        <v>4.798482911642655E-5</v>
      </c>
      <c r="P77" s="233" t="e">
        <f t="shared" si="140"/>
        <v>#NAME?</v>
      </c>
      <c r="Q77" s="232" t="e">
        <f t="shared" si="109"/>
        <v>#NAME?</v>
      </c>
      <c r="R77" s="232" t="e">
        <f t="shared" si="118"/>
        <v>#NAME?</v>
      </c>
      <c r="S77" s="517" t="e">
        <f t="shared" si="110"/>
        <v>#NAME?</v>
      </c>
      <c r="T77" s="232" t="e">
        <f t="shared" si="141"/>
        <v>#NAME?</v>
      </c>
      <c r="U77" s="233" t="e">
        <f t="shared" si="111"/>
        <v>#NAME?</v>
      </c>
      <c r="V77" s="232" t="e">
        <f t="shared" si="119"/>
        <v>#NAME?</v>
      </c>
      <c r="W77" s="232" t="e">
        <f t="shared" si="142"/>
        <v>#NAME?</v>
      </c>
      <c r="X77" s="232" t="e">
        <f t="shared" si="120"/>
        <v>#NAME?</v>
      </c>
      <c r="Y77" s="234" t="e">
        <f t="shared" si="121"/>
        <v>#NAME?</v>
      </c>
      <c r="Z77" s="234" t="e">
        <f t="shared" si="143"/>
        <v>#NAME?</v>
      </c>
      <c r="AA77" s="232" t="e">
        <f t="shared" si="122"/>
        <v>#NAME?</v>
      </c>
      <c r="AB77" s="232" t="e">
        <f t="shared" si="123"/>
        <v>#NAME?</v>
      </c>
      <c r="AC77" s="232" t="e">
        <f t="shared" si="124"/>
        <v>#NAME?</v>
      </c>
      <c r="AD77">
        <v>20</v>
      </c>
      <c r="AE77" s="208">
        <v>10</v>
      </c>
      <c r="AF77" s="232" t="e">
        <f t="shared" si="125"/>
        <v>#NAME?</v>
      </c>
      <c r="AG77" s="232" t="e">
        <f t="shared" si="126"/>
        <v>#NAME?</v>
      </c>
      <c r="AH77" s="232" t="e">
        <f t="shared" si="144"/>
        <v>#NAME?</v>
      </c>
      <c r="AI77" s="232" t="e">
        <f t="shared" si="127"/>
        <v>#NAME?</v>
      </c>
      <c r="AJ77" s="232" t="e">
        <f t="shared" si="128"/>
        <v>#NAME?</v>
      </c>
      <c r="AK77" s="232" t="e">
        <f t="shared" si="129"/>
        <v>#NAME?</v>
      </c>
      <c r="AL77" s="232">
        <f t="shared" si="130"/>
        <v>0</v>
      </c>
      <c r="AM77" s="232" t="e">
        <f t="shared" si="131"/>
        <v>#NAME?</v>
      </c>
      <c r="AN77" s="232" t="e">
        <f t="shared" si="145"/>
        <v>#NAME?</v>
      </c>
      <c r="AO77" s="232" t="e">
        <f t="shared" si="112"/>
        <v>#NAME?</v>
      </c>
      <c r="AP77" s="232" t="e">
        <f t="shared" si="132"/>
        <v>#NAME?</v>
      </c>
      <c r="AQ77" s="232" t="e">
        <f t="shared" si="146"/>
        <v>#NAME?</v>
      </c>
      <c r="AR77" s="232" t="e">
        <f t="shared" si="147"/>
        <v>#NAME?</v>
      </c>
      <c r="AS77" s="232" t="e">
        <f t="shared" si="133"/>
        <v>#NAME?</v>
      </c>
      <c r="AT77" s="232">
        <f t="shared" si="113"/>
        <v>0.42599999999999999</v>
      </c>
      <c r="AU77" s="292" t="e">
        <f t="shared" si="148"/>
        <v>#NAME?</v>
      </c>
      <c r="AV77" s="235" t="e">
        <f t="shared" si="149"/>
        <v>#NAME?</v>
      </c>
      <c r="AW77" s="235" t="e">
        <f t="shared" si="150"/>
        <v>#NAME?</v>
      </c>
      <c r="AX77" s="235" t="e">
        <f t="shared" si="134"/>
        <v>#NAME?</v>
      </c>
      <c r="AY77" s="235" t="e">
        <f t="shared" si="151"/>
        <v>#NAME?</v>
      </c>
      <c r="AZ77" s="235" t="e">
        <f t="shared" si="135"/>
        <v>#NAME?</v>
      </c>
      <c r="BA77" s="235" t="e">
        <f t="shared" si="136"/>
        <v>#NAME?</v>
      </c>
      <c r="BB77" s="235" t="e">
        <f t="shared" si="114"/>
        <v>#NAME?</v>
      </c>
      <c r="BC77" s="235" t="e">
        <f t="shared" si="115"/>
        <v>#NAME?</v>
      </c>
      <c r="BD77" s="235" t="e">
        <f t="shared" si="137"/>
        <v>#NAME?</v>
      </c>
      <c r="BE77" s="235" t="e">
        <f t="shared" si="152"/>
        <v>#NAME?</v>
      </c>
      <c r="BF77" s="235" t="e">
        <f t="shared" si="153"/>
        <v>#NAME?</v>
      </c>
      <c r="BG77" s="235" t="e">
        <f t="shared" si="138"/>
        <v>#NAME?</v>
      </c>
      <c r="BH77" s="233" t="e">
        <f t="shared" si="154"/>
        <v>#NAME?</v>
      </c>
      <c r="BI77" s="175">
        <f t="shared" si="116"/>
        <v>85.2</v>
      </c>
      <c r="BJ77" s="292">
        <v>92.503342172751601</v>
      </c>
      <c r="BK77" s="235">
        <f t="shared" si="155"/>
        <v>0.92503342172751601</v>
      </c>
      <c r="BL77" s="376">
        <v>89.707663742243938</v>
      </c>
      <c r="BM77" s="294"/>
      <c r="BN77" s="387" t="e">
        <f t="shared" si="156"/>
        <v>#NAME?</v>
      </c>
      <c r="BO77" s="387" t="e">
        <f t="shared" si="157"/>
        <v>#NAME?</v>
      </c>
      <c r="BP77" s="175" t="e">
        <f t="shared" si="158"/>
        <v>#NAME?</v>
      </c>
      <c r="BQ77" s="235"/>
      <c r="BR77" s="235"/>
      <c r="BS77" s="235"/>
      <c r="BT77" s="235"/>
    </row>
    <row r="78" spans="6:72" x14ac:dyDescent="0.2">
      <c r="H78" s="173">
        <v>72</v>
      </c>
      <c r="I78" s="513">
        <f t="shared" si="104"/>
        <v>8.6399999999999991E-2</v>
      </c>
      <c r="J78" s="175" t="e">
        <f t="shared" si="105"/>
        <v>#NAME?</v>
      </c>
      <c r="K78" s="232" t="e">
        <f t="shared" si="106"/>
        <v>#NAME?</v>
      </c>
      <c r="L78" s="290" t="e">
        <f t="shared" si="117"/>
        <v>#NAME?</v>
      </c>
      <c r="M78" s="208" t="e">
        <f t="shared" si="139"/>
        <v>#NAME?</v>
      </c>
      <c r="N78" s="291" t="e">
        <f t="shared" si="107"/>
        <v>#NAME?</v>
      </c>
      <c r="O78" s="291">
        <f t="shared" si="108"/>
        <v>4.7318373156476188E-5</v>
      </c>
      <c r="P78" s="233" t="e">
        <f t="shared" si="140"/>
        <v>#NAME?</v>
      </c>
      <c r="Q78" s="232" t="e">
        <f t="shared" si="109"/>
        <v>#NAME?</v>
      </c>
      <c r="R78" s="232" t="e">
        <f t="shared" si="118"/>
        <v>#NAME?</v>
      </c>
      <c r="S78" s="517" t="e">
        <f t="shared" si="110"/>
        <v>#NAME?</v>
      </c>
      <c r="T78" s="232" t="e">
        <f t="shared" si="141"/>
        <v>#NAME?</v>
      </c>
      <c r="U78" s="233" t="e">
        <f t="shared" si="111"/>
        <v>#NAME?</v>
      </c>
      <c r="V78" s="232" t="e">
        <f t="shared" si="119"/>
        <v>#NAME?</v>
      </c>
      <c r="W78" s="232" t="e">
        <f t="shared" si="142"/>
        <v>#NAME?</v>
      </c>
      <c r="X78" s="232" t="e">
        <f t="shared" si="120"/>
        <v>#NAME?</v>
      </c>
      <c r="Y78" s="234" t="e">
        <f t="shared" si="121"/>
        <v>#NAME?</v>
      </c>
      <c r="Z78" s="234" t="e">
        <f t="shared" si="143"/>
        <v>#NAME?</v>
      </c>
      <c r="AA78" s="232" t="e">
        <f t="shared" si="122"/>
        <v>#NAME?</v>
      </c>
      <c r="AB78" s="232" t="e">
        <f t="shared" si="123"/>
        <v>#NAME?</v>
      </c>
      <c r="AC78" s="232" t="e">
        <f t="shared" si="124"/>
        <v>#NAME?</v>
      </c>
      <c r="AD78">
        <v>20</v>
      </c>
      <c r="AE78" s="208">
        <v>10</v>
      </c>
      <c r="AF78" s="232" t="e">
        <f t="shared" si="125"/>
        <v>#NAME?</v>
      </c>
      <c r="AG78" s="232" t="e">
        <f t="shared" si="126"/>
        <v>#NAME?</v>
      </c>
      <c r="AH78" s="232" t="e">
        <f t="shared" si="144"/>
        <v>#NAME?</v>
      </c>
      <c r="AI78" s="232" t="e">
        <f t="shared" si="127"/>
        <v>#NAME?</v>
      </c>
      <c r="AJ78" s="232" t="e">
        <f t="shared" si="128"/>
        <v>#NAME?</v>
      </c>
      <c r="AK78" s="232" t="e">
        <f t="shared" si="129"/>
        <v>#NAME?</v>
      </c>
      <c r="AL78" s="232">
        <f t="shared" si="130"/>
        <v>0</v>
      </c>
      <c r="AM78" s="232" t="e">
        <f t="shared" si="131"/>
        <v>#NAME?</v>
      </c>
      <c r="AN78" s="232" t="e">
        <f t="shared" si="145"/>
        <v>#NAME?</v>
      </c>
      <c r="AO78" s="232" t="e">
        <f t="shared" si="112"/>
        <v>#NAME?</v>
      </c>
      <c r="AP78" s="232" t="e">
        <f t="shared" si="132"/>
        <v>#NAME?</v>
      </c>
      <c r="AQ78" s="232" t="e">
        <f t="shared" si="146"/>
        <v>#NAME?</v>
      </c>
      <c r="AR78" s="232" t="e">
        <f t="shared" si="147"/>
        <v>#NAME?</v>
      </c>
      <c r="AS78" s="232" t="e">
        <f t="shared" si="133"/>
        <v>#NAME?</v>
      </c>
      <c r="AT78" s="232">
        <f t="shared" si="113"/>
        <v>0.43199999999999994</v>
      </c>
      <c r="AU78" s="292" t="e">
        <f t="shared" si="148"/>
        <v>#NAME?</v>
      </c>
      <c r="AV78" s="235" t="e">
        <f t="shared" si="149"/>
        <v>#NAME?</v>
      </c>
      <c r="AW78" s="235" t="e">
        <f t="shared" si="150"/>
        <v>#NAME?</v>
      </c>
      <c r="AX78" s="235" t="e">
        <f t="shared" si="134"/>
        <v>#NAME?</v>
      </c>
      <c r="AY78" s="235" t="e">
        <f t="shared" si="151"/>
        <v>#NAME?</v>
      </c>
      <c r="AZ78" s="235" t="e">
        <f t="shared" si="135"/>
        <v>#NAME?</v>
      </c>
      <c r="BA78" s="235" t="e">
        <f t="shared" si="136"/>
        <v>#NAME?</v>
      </c>
      <c r="BB78" s="235" t="e">
        <f t="shared" si="114"/>
        <v>#NAME?</v>
      </c>
      <c r="BC78" s="235" t="e">
        <f t="shared" si="115"/>
        <v>#NAME?</v>
      </c>
      <c r="BD78" s="235" t="e">
        <f t="shared" si="137"/>
        <v>#NAME?</v>
      </c>
      <c r="BE78" s="235" t="e">
        <f t="shared" si="152"/>
        <v>#NAME?</v>
      </c>
      <c r="BF78" s="235" t="e">
        <f t="shared" si="153"/>
        <v>#NAME?</v>
      </c>
      <c r="BG78" s="235" t="e">
        <f t="shared" si="138"/>
        <v>#NAME?</v>
      </c>
      <c r="BH78" s="233" t="e">
        <f t="shared" si="154"/>
        <v>#NAME?</v>
      </c>
      <c r="BI78" s="175">
        <f t="shared" si="116"/>
        <v>86.399999999999991</v>
      </c>
      <c r="BJ78" s="292">
        <v>92.505398912924278</v>
      </c>
      <c r="BK78" s="235">
        <f t="shared" si="155"/>
        <v>0.92505398912924275</v>
      </c>
      <c r="BL78" s="376">
        <v>89.756548039575279</v>
      </c>
      <c r="BM78" s="294"/>
      <c r="BN78" s="387" t="e">
        <f t="shared" si="156"/>
        <v>#NAME?</v>
      </c>
      <c r="BO78" s="387" t="e">
        <f t="shared" si="157"/>
        <v>#NAME?</v>
      </c>
      <c r="BP78" s="175" t="e">
        <f t="shared" si="158"/>
        <v>#NAME?</v>
      </c>
      <c r="BQ78" s="235"/>
      <c r="BR78" s="235"/>
      <c r="BS78" s="235"/>
      <c r="BT78" s="235"/>
    </row>
    <row r="79" spans="6:72" x14ac:dyDescent="0.2">
      <c r="H79" s="173">
        <v>73</v>
      </c>
      <c r="I79" s="513">
        <f t="shared" si="104"/>
        <v>8.7599999999999997E-2</v>
      </c>
      <c r="J79" s="175" t="e">
        <f t="shared" si="105"/>
        <v>#NAME?</v>
      </c>
      <c r="K79" s="232" t="e">
        <f t="shared" si="106"/>
        <v>#NAME?</v>
      </c>
      <c r="L79" s="290" t="e">
        <f t="shared" si="117"/>
        <v>#NAME?</v>
      </c>
      <c r="M79" s="208" t="e">
        <f t="shared" si="139"/>
        <v>#NAME?</v>
      </c>
      <c r="N79" s="291" t="e">
        <f t="shared" si="107"/>
        <v>#NAME?</v>
      </c>
      <c r="O79" s="291">
        <f t="shared" si="108"/>
        <v>4.6670176263921711E-5</v>
      </c>
      <c r="P79" s="233" t="e">
        <f t="shared" si="140"/>
        <v>#NAME?</v>
      </c>
      <c r="Q79" s="232" t="e">
        <f t="shared" si="109"/>
        <v>#NAME?</v>
      </c>
      <c r="R79" s="232" t="e">
        <f t="shared" si="118"/>
        <v>#NAME?</v>
      </c>
      <c r="S79" s="517" t="e">
        <f t="shared" si="110"/>
        <v>#NAME?</v>
      </c>
      <c r="T79" s="232" t="e">
        <f t="shared" si="141"/>
        <v>#NAME?</v>
      </c>
      <c r="U79" s="233" t="e">
        <f t="shared" si="111"/>
        <v>#NAME?</v>
      </c>
      <c r="V79" s="232" t="e">
        <f t="shared" si="119"/>
        <v>#NAME?</v>
      </c>
      <c r="W79" s="232" t="e">
        <f t="shared" si="142"/>
        <v>#NAME?</v>
      </c>
      <c r="X79" s="232" t="e">
        <f t="shared" si="120"/>
        <v>#NAME?</v>
      </c>
      <c r="Y79" s="234" t="e">
        <f t="shared" si="121"/>
        <v>#NAME?</v>
      </c>
      <c r="Z79" s="234" t="e">
        <f t="shared" si="143"/>
        <v>#NAME?</v>
      </c>
      <c r="AA79" s="232" t="e">
        <f t="shared" si="122"/>
        <v>#NAME?</v>
      </c>
      <c r="AB79" s="232" t="e">
        <f t="shared" si="123"/>
        <v>#NAME?</v>
      </c>
      <c r="AC79" s="232" t="e">
        <f t="shared" si="124"/>
        <v>#NAME?</v>
      </c>
      <c r="AD79">
        <v>20</v>
      </c>
      <c r="AE79" s="208">
        <v>10</v>
      </c>
      <c r="AF79" s="232" t="e">
        <f t="shared" si="125"/>
        <v>#NAME?</v>
      </c>
      <c r="AG79" s="232" t="e">
        <f t="shared" si="126"/>
        <v>#NAME?</v>
      </c>
      <c r="AH79" s="232" t="e">
        <f t="shared" si="144"/>
        <v>#NAME?</v>
      </c>
      <c r="AI79" s="232" t="e">
        <f t="shared" si="127"/>
        <v>#NAME?</v>
      </c>
      <c r="AJ79" s="232" t="e">
        <f t="shared" si="128"/>
        <v>#NAME?</v>
      </c>
      <c r="AK79" s="232" t="e">
        <f t="shared" si="129"/>
        <v>#NAME?</v>
      </c>
      <c r="AL79" s="232">
        <f t="shared" si="130"/>
        <v>0</v>
      </c>
      <c r="AM79" s="232" t="e">
        <f t="shared" si="131"/>
        <v>#NAME?</v>
      </c>
      <c r="AN79" s="232" t="e">
        <f t="shared" si="145"/>
        <v>#NAME?</v>
      </c>
      <c r="AO79" s="232" t="e">
        <f t="shared" si="112"/>
        <v>#NAME?</v>
      </c>
      <c r="AP79" s="232" t="e">
        <f t="shared" si="132"/>
        <v>#NAME?</v>
      </c>
      <c r="AQ79" s="232" t="e">
        <f t="shared" si="146"/>
        <v>#NAME?</v>
      </c>
      <c r="AR79" s="232" t="e">
        <f t="shared" si="147"/>
        <v>#NAME?</v>
      </c>
      <c r="AS79" s="232" t="e">
        <f t="shared" si="133"/>
        <v>#NAME?</v>
      </c>
      <c r="AT79" s="232">
        <f t="shared" si="113"/>
        <v>0.438</v>
      </c>
      <c r="AU79" s="292" t="e">
        <f t="shared" si="148"/>
        <v>#NAME?</v>
      </c>
      <c r="AV79" s="235" t="e">
        <f t="shared" si="149"/>
        <v>#NAME?</v>
      </c>
      <c r="AW79" s="235" t="e">
        <f t="shared" si="150"/>
        <v>#NAME?</v>
      </c>
      <c r="AX79" s="235" t="e">
        <f t="shared" si="134"/>
        <v>#NAME?</v>
      </c>
      <c r="AY79" s="235" t="e">
        <f t="shared" si="151"/>
        <v>#NAME?</v>
      </c>
      <c r="AZ79" s="235" t="e">
        <f t="shared" si="135"/>
        <v>#NAME?</v>
      </c>
      <c r="BA79" s="235" t="e">
        <f t="shared" si="136"/>
        <v>#NAME?</v>
      </c>
      <c r="BB79" s="235" t="e">
        <f t="shared" si="114"/>
        <v>#NAME?</v>
      </c>
      <c r="BC79" s="235" t="e">
        <f t="shared" si="115"/>
        <v>#NAME?</v>
      </c>
      <c r="BD79" s="235" t="e">
        <f t="shared" si="137"/>
        <v>#NAME?</v>
      </c>
      <c r="BE79" s="235" t="e">
        <f t="shared" si="152"/>
        <v>#NAME?</v>
      </c>
      <c r="BF79" s="235" t="e">
        <f t="shared" si="153"/>
        <v>#NAME?</v>
      </c>
      <c r="BG79" s="235" t="e">
        <f t="shared" si="138"/>
        <v>#NAME?</v>
      </c>
      <c r="BH79" s="233" t="e">
        <f t="shared" si="154"/>
        <v>#NAME?</v>
      </c>
      <c r="BI79" s="175">
        <f t="shared" si="116"/>
        <v>87.6</v>
      </c>
      <c r="BJ79" s="292">
        <v>92.50740802990839</v>
      </c>
      <c r="BK79" s="235">
        <f t="shared" si="155"/>
        <v>0.92507408029908389</v>
      </c>
      <c r="BL79" s="376">
        <v>89.801265163129671</v>
      </c>
      <c r="BM79" s="294"/>
      <c r="BN79" s="387" t="e">
        <f t="shared" si="156"/>
        <v>#NAME?</v>
      </c>
      <c r="BO79" s="387" t="e">
        <f t="shared" si="157"/>
        <v>#NAME?</v>
      </c>
      <c r="BP79" s="175" t="e">
        <f t="shared" si="158"/>
        <v>#NAME?</v>
      </c>
      <c r="BQ79" s="235"/>
      <c r="BR79" s="235"/>
      <c r="BS79" s="235"/>
      <c r="BT79" s="235"/>
    </row>
    <row r="80" spans="6:72" x14ac:dyDescent="0.2">
      <c r="H80" s="173">
        <v>74</v>
      </c>
      <c r="I80" s="513">
        <f t="shared" si="104"/>
        <v>8.879999999999999E-2</v>
      </c>
      <c r="J80" s="175" t="e">
        <f t="shared" si="105"/>
        <v>#NAME?</v>
      </c>
      <c r="K80" s="232" t="e">
        <f t="shared" si="106"/>
        <v>#NAME?</v>
      </c>
      <c r="L80" s="290" t="e">
        <f t="shared" si="117"/>
        <v>#NAME?</v>
      </c>
      <c r="M80" s="208" t="e">
        <f t="shared" si="139"/>
        <v>#NAME?</v>
      </c>
      <c r="N80" s="291" t="e">
        <f t="shared" si="107"/>
        <v>#NAME?</v>
      </c>
      <c r="O80" s="291">
        <f t="shared" si="108"/>
        <v>4.6039498206301156E-5</v>
      </c>
      <c r="P80" s="233" t="e">
        <f t="shared" si="140"/>
        <v>#NAME?</v>
      </c>
      <c r="Q80" s="232" t="e">
        <f t="shared" si="109"/>
        <v>#NAME?</v>
      </c>
      <c r="R80" s="232" t="e">
        <f t="shared" si="118"/>
        <v>#NAME?</v>
      </c>
      <c r="S80" s="517" t="e">
        <f t="shared" si="110"/>
        <v>#NAME?</v>
      </c>
      <c r="T80" s="232" t="e">
        <f t="shared" si="141"/>
        <v>#NAME?</v>
      </c>
      <c r="U80" s="233" t="e">
        <f t="shared" si="111"/>
        <v>#NAME?</v>
      </c>
      <c r="V80" s="232" t="e">
        <f t="shared" si="119"/>
        <v>#NAME?</v>
      </c>
      <c r="W80" s="232" t="e">
        <f t="shared" si="142"/>
        <v>#NAME?</v>
      </c>
      <c r="X80" s="232" t="e">
        <f t="shared" si="120"/>
        <v>#NAME?</v>
      </c>
      <c r="Y80" s="234" t="e">
        <f t="shared" si="121"/>
        <v>#NAME?</v>
      </c>
      <c r="Z80" s="234" t="e">
        <f t="shared" si="143"/>
        <v>#NAME?</v>
      </c>
      <c r="AA80" s="232" t="e">
        <f t="shared" si="122"/>
        <v>#NAME?</v>
      </c>
      <c r="AB80" s="232" t="e">
        <f t="shared" si="123"/>
        <v>#NAME?</v>
      </c>
      <c r="AC80" s="232" t="e">
        <f t="shared" si="124"/>
        <v>#NAME?</v>
      </c>
      <c r="AD80">
        <v>20</v>
      </c>
      <c r="AE80" s="208">
        <v>10</v>
      </c>
      <c r="AF80" s="232" t="e">
        <f t="shared" si="125"/>
        <v>#NAME?</v>
      </c>
      <c r="AG80" s="232" t="e">
        <f t="shared" si="126"/>
        <v>#NAME?</v>
      </c>
      <c r="AH80" s="232" t="e">
        <f t="shared" si="144"/>
        <v>#NAME?</v>
      </c>
      <c r="AI80" s="232" t="e">
        <f t="shared" si="127"/>
        <v>#NAME?</v>
      </c>
      <c r="AJ80" s="232" t="e">
        <f t="shared" si="128"/>
        <v>#NAME?</v>
      </c>
      <c r="AK80" s="232" t="e">
        <f t="shared" si="129"/>
        <v>#NAME?</v>
      </c>
      <c r="AL80" s="232">
        <f t="shared" si="130"/>
        <v>0</v>
      </c>
      <c r="AM80" s="232" t="e">
        <f t="shared" si="131"/>
        <v>#NAME?</v>
      </c>
      <c r="AN80" s="232" t="e">
        <f t="shared" si="145"/>
        <v>#NAME?</v>
      </c>
      <c r="AO80" s="232" t="e">
        <f t="shared" si="112"/>
        <v>#NAME?</v>
      </c>
      <c r="AP80" s="232" t="e">
        <f t="shared" si="132"/>
        <v>#NAME?</v>
      </c>
      <c r="AQ80" s="232" t="e">
        <f t="shared" si="146"/>
        <v>#NAME?</v>
      </c>
      <c r="AR80" s="232" t="e">
        <f t="shared" si="147"/>
        <v>#NAME?</v>
      </c>
      <c r="AS80" s="232" t="e">
        <f t="shared" si="133"/>
        <v>#NAME?</v>
      </c>
      <c r="AT80" s="232">
        <f t="shared" si="113"/>
        <v>0.44399999999999995</v>
      </c>
      <c r="AU80" s="292" t="e">
        <f t="shared" si="148"/>
        <v>#NAME?</v>
      </c>
      <c r="AV80" s="235" t="e">
        <f t="shared" si="149"/>
        <v>#NAME?</v>
      </c>
      <c r="AW80" s="235" t="e">
        <f t="shared" si="150"/>
        <v>#NAME?</v>
      </c>
      <c r="AX80" s="235" t="e">
        <f t="shared" si="134"/>
        <v>#NAME?</v>
      </c>
      <c r="AY80" s="235" t="e">
        <f t="shared" si="151"/>
        <v>#NAME?</v>
      </c>
      <c r="AZ80" s="235" t="e">
        <f t="shared" si="135"/>
        <v>#NAME?</v>
      </c>
      <c r="BA80" s="235" t="e">
        <f t="shared" si="136"/>
        <v>#NAME?</v>
      </c>
      <c r="BB80" s="235" t="e">
        <f t="shared" si="114"/>
        <v>#NAME?</v>
      </c>
      <c r="BC80" s="235" t="e">
        <f t="shared" si="115"/>
        <v>#NAME?</v>
      </c>
      <c r="BD80" s="235" t="e">
        <f t="shared" si="137"/>
        <v>#NAME?</v>
      </c>
      <c r="BE80" s="235" t="e">
        <f t="shared" si="152"/>
        <v>#NAME?</v>
      </c>
      <c r="BF80" s="235" t="e">
        <f t="shared" si="153"/>
        <v>#NAME?</v>
      </c>
      <c r="BG80" s="235" t="e">
        <f t="shared" si="138"/>
        <v>#NAME?</v>
      </c>
      <c r="BH80" s="233" t="e">
        <f t="shared" si="154"/>
        <v>#NAME?</v>
      </c>
      <c r="BI80" s="175">
        <f t="shared" si="116"/>
        <v>88.799999999999983</v>
      </c>
      <c r="BJ80" s="292">
        <v>92.509371452833022</v>
      </c>
      <c r="BK80" s="235">
        <f t="shared" si="155"/>
        <v>0.92509371452833022</v>
      </c>
      <c r="BL80" s="376">
        <v>89.842182722097107</v>
      </c>
      <c r="BM80" s="294"/>
      <c r="BN80" s="387" t="e">
        <f t="shared" si="156"/>
        <v>#NAME?</v>
      </c>
      <c r="BO80" s="387" t="e">
        <f t="shared" si="157"/>
        <v>#NAME?</v>
      </c>
      <c r="BP80" s="175" t="e">
        <f t="shared" si="158"/>
        <v>#NAME?</v>
      </c>
      <c r="BQ80" s="235"/>
      <c r="BR80" s="235"/>
      <c r="BS80" s="235"/>
      <c r="BT80" s="235"/>
    </row>
    <row r="81" spans="6:72" x14ac:dyDescent="0.2">
      <c r="H81" s="173">
        <v>75</v>
      </c>
      <c r="I81" s="513">
        <f t="shared" si="104"/>
        <v>0.09</v>
      </c>
      <c r="J81" s="175" t="e">
        <f t="shared" si="105"/>
        <v>#NAME?</v>
      </c>
      <c r="K81" s="232" t="e">
        <f t="shared" si="106"/>
        <v>#NAME?</v>
      </c>
      <c r="L81" s="290" t="e">
        <f t="shared" si="117"/>
        <v>#NAME?</v>
      </c>
      <c r="M81" s="208" t="e">
        <f t="shared" si="139"/>
        <v>#NAME?</v>
      </c>
      <c r="N81" s="291" t="e">
        <f t="shared" si="107"/>
        <v>#NAME?</v>
      </c>
      <c r="O81" s="291">
        <f t="shared" si="108"/>
        <v>4.5425638230217136E-5</v>
      </c>
      <c r="P81" s="233" t="e">
        <f t="shared" si="140"/>
        <v>#NAME?</v>
      </c>
      <c r="Q81" s="232" t="e">
        <f t="shared" si="109"/>
        <v>#NAME?</v>
      </c>
      <c r="R81" s="232" t="e">
        <f t="shared" si="118"/>
        <v>#NAME?</v>
      </c>
      <c r="S81" s="517" t="e">
        <f t="shared" si="110"/>
        <v>#NAME?</v>
      </c>
      <c r="T81" s="232" t="e">
        <f t="shared" si="141"/>
        <v>#NAME?</v>
      </c>
      <c r="U81" s="233" t="e">
        <f t="shared" si="111"/>
        <v>#NAME?</v>
      </c>
      <c r="V81" s="232" t="e">
        <f t="shared" si="119"/>
        <v>#NAME?</v>
      </c>
      <c r="W81" s="232" t="e">
        <f t="shared" si="142"/>
        <v>#NAME?</v>
      </c>
      <c r="X81" s="232" t="e">
        <f t="shared" si="120"/>
        <v>#NAME?</v>
      </c>
      <c r="Y81" s="234" t="e">
        <f t="shared" si="121"/>
        <v>#NAME?</v>
      </c>
      <c r="Z81" s="234" t="e">
        <f t="shared" si="143"/>
        <v>#NAME?</v>
      </c>
      <c r="AA81" s="232" t="e">
        <f t="shared" si="122"/>
        <v>#NAME?</v>
      </c>
      <c r="AB81" s="232" t="e">
        <f t="shared" si="123"/>
        <v>#NAME?</v>
      </c>
      <c r="AC81" s="232" t="e">
        <f t="shared" si="124"/>
        <v>#NAME?</v>
      </c>
      <c r="AD81">
        <v>20</v>
      </c>
      <c r="AE81" s="208">
        <v>10</v>
      </c>
      <c r="AF81" s="232" t="e">
        <f t="shared" si="125"/>
        <v>#NAME?</v>
      </c>
      <c r="AG81" s="232" t="e">
        <f t="shared" si="126"/>
        <v>#NAME?</v>
      </c>
      <c r="AH81" s="232" t="e">
        <f t="shared" si="144"/>
        <v>#NAME?</v>
      </c>
      <c r="AI81" s="232" t="e">
        <f t="shared" si="127"/>
        <v>#NAME?</v>
      </c>
      <c r="AJ81" s="232" t="e">
        <f t="shared" si="128"/>
        <v>#NAME?</v>
      </c>
      <c r="AK81" s="232" t="e">
        <f t="shared" si="129"/>
        <v>#NAME?</v>
      </c>
      <c r="AL81" s="232">
        <f t="shared" si="130"/>
        <v>0</v>
      </c>
      <c r="AM81" s="232" t="e">
        <f t="shared" si="131"/>
        <v>#NAME?</v>
      </c>
      <c r="AN81" s="232" t="e">
        <f t="shared" si="145"/>
        <v>#NAME?</v>
      </c>
      <c r="AO81" s="232" t="e">
        <f t="shared" si="112"/>
        <v>#NAME?</v>
      </c>
      <c r="AP81" s="232" t="e">
        <f t="shared" si="132"/>
        <v>#NAME?</v>
      </c>
      <c r="AQ81" s="232" t="e">
        <f t="shared" si="146"/>
        <v>#NAME?</v>
      </c>
      <c r="AR81" s="232" t="e">
        <f t="shared" si="147"/>
        <v>#NAME?</v>
      </c>
      <c r="AS81" s="232" t="e">
        <f t="shared" si="133"/>
        <v>#NAME?</v>
      </c>
      <c r="AT81" s="232">
        <f t="shared" si="113"/>
        <v>0.44999999999999996</v>
      </c>
      <c r="AU81" s="292" t="e">
        <f t="shared" si="148"/>
        <v>#NAME?</v>
      </c>
      <c r="AV81" s="235" t="e">
        <f t="shared" si="149"/>
        <v>#NAME?</v>
      </c>
      <c r="AW81" s="235" t="e">
        <f t="shared" si="150"/>
        <v>#NAME?</v>
      </c>
      <c r="AX81" s="235" t="e">
        <f t="shared" si="134"/>
        <v>#NAME?</v>
      </c>
      <c r="AY81" s="235" t="e">
        <f t="shared" si="151"/>
        <v>#NAME?</v>
      </c>
      <c r="AZ81" s="235" t="e">
        <f t="shared" si="135"/>
        <v>#NAME?</v>
      </c>
      <c r="BA81" s="235" t="e">
        <f t="shared" si="136"/>
        <v>#NAME?</v>
      </c>
      <c r="BB81" s="235" t="e">
        <f t="shared" si="114"/>
        <v>#NAME?</v>
      </c>
      <c r="BC81" s="235" t="e">
        <f t="shared" si="115"/>
        <v>#NAME?</v>
      </c>
      <c r="BD81" s="235" t="e">
        <f t="shared" si="137"/>
        <v>#NAME?</v>
      </c>
      <c r="BE81" s="235" t="e">
        <f t="shared" si="152"/>
        <v>#NAME?</v>
      </c>
      <c r="BF81" s="235" t="e">
        <f t="shared" si="153"/>
        <v>#NAME?</v>
      </c>
      <c r="BG81" s="235" t="e">
        <f t="shared" si="138"/>
        <v>#NAME?</v>
      </c>
      <c r="BH81" s="233" t="e">
        <f t="shared" si="154"/>
        <v>#NAME?</v>
      </c>
      <c r="BI81" s="175">
        <f t="shared" si="116"/>
        <v>90</v>
      </c>
      <c r="BJ81" s="292">
        <v>92.511291007958761</v>
      </c>
      <c r="BK81" s="235">
        <f t="shared" si="155"/>
        <v>0.92511291007958762</v>
      </c>
      <c r="BL81" s="376">
        <v>89.879638075182214</v>
      </c>
      <c r="BM81" s="294"/>
      <c r="BN81" s="387" t="e">
        <f t="shared" si="156"/>
        <v>#NAME?</v>
      </c>
      <c r="BO81" s="387" t="e">
        <f t="shared" si="157"/>
        <v>#NAME?</v>
      </c>
      <c r="BP81" s="175" t="e">
        <f t="shared" si="158"/>
        <v>#NAME?</v>
      </c>
      <c r="BQ81" s="235"/>
      <c r="BR81" s="235"/>
      <c r="BS81" s="235"/>
      <c r="BT81" s="235"/>
    </row>
    <row r="82" spans="6:72" x14ac:dyDescent="0.2">
      <c r="H82" s="173">
        <v>76</v>
      </c>
      <c r="I82" s="513">
        <f t="shared" si="104"/>
        <v>9.1200000000000003E-2</v>
      </c>
      <c r="J82" s="175" t="e">
        <f t="shared" si="105"/>
        <v>#NAME?</v>
      </c>
      <c r="K82" s="232" t="e">
        <f t="shared" si="106"/>
        <v>#NAME?</v>
      </c>
      <c r="L82" s="290" t="e">
        <f t="shared" si="117"/>
        <v>#NAME?</v>
      </c>
      <c r="M82" s="208" t="e">
        <f t="shared" si="139"/>
        <v>#NAME?</v>
      </c>
      <c r="N82" s="291" t="e">
        <f t="shared" si="107"/>
        <v>#NAME?</v>
      </c>
      <c r="O82" s="291">
        <f t="shared" si="108"/>
        <v>4.4827932464030065E-5</v>
      </c>
      <c r="P82" s="233" t="e">
        <f t="shared" si="140"/>
        <v>#NAME?</v>
      </c>
      <c r="Q82" s="232" t="e">
        <f t="shared" si="109"/>
        <v>#NAME?</v>
      </c>
      <c r="R82" s="232" t="e">
        <f t="shared" si="118"/>
        <v>#NAME?</v>
      </c>
      <c r="S82" s="517" t="e">
        <f t="shared" si="110"/>
        <v>#NAME?</v>
      </c>
      <c r="T82" s="232" t="e">
        <f t="shared" si="141"/>
        <v>#NAME?</v>
      </c>
      <c r="U82" s="233" t="e">
        <f t="shared" si="111"/>
        <v>#NAME?</v>
      </c>
      <c r="V82" s="232" t="e">
        <f t="shared" si="119"/>
        <v>#NAME?</v>
      </c>
      <c r="W82" s="232" t="e">
        <f t="shared" si="142"/>
        <v>#NAME?</v>
      </c>
      <c r="X82" s="232" t="e">
        <f t="shared" si="120"/>
        <v>#NAME?</v>
      </c>
      <c r="Y82" s="234" t="e">
        <f t="shared" si="121"/>
        <v>#NAME?</v>
      </c>
      <c r="Z82" s="234" t="e">
        <f t="shared" si="143"/>
        <v>#NAME?</v>
      </c>
      <c r="AA82" s="232" t="e">
        <f t="shared" si="122"/>
        <v>#NAME?</v>
      </c>
      <c r="AB82" s="232" t="e">
        <f t="shared" si="123"/>
        <v>#NAME?</v>
      </c>
      <c r="AC82" s="232" t="e">
        <f t="shared" si="124"/>
        <v>#NAME?</v>
      </c>
      <c r="AD82">
        <v>20</v>
      </c>
      <c r="AE82" s="208">
        <v>10</v>
      </c>
      <c r="AF82" s="232" t="e">
        <f t="shared" si="125"/>
        <v>#NAME?</v>
      </c>
      <c r="AG82" s="232" t="e">
        <f t="shared" si="126"/>
        <v>#NAME?</v>
      </c>
      <c r="AH82" s="232" t="e">
        <f t="shared" si="144"/>
        <v>#NAME?</v>
      </c>
      <c r="AI82" s="232" t="e">
        <f t="shared" si="127"/>
        <v>#NAME?</v>
      </c>
      <c r="AJ82" s="232" t="e">
        <f t="shared" si="128"/>
        <v>#NAME?</v>
      </c>
      <c r="AK82" s="232" t="e">
        <f t="shared" si="129"/>
        <v>#NAME?</v>
      </c>
      <c r="AL82" s="232">
        <f t="shared" si="130"/>
        <v>0</v>
      </c>
      <c r="AM82" s="232" t="e">
        <f t="shared" si="131"/>
        <v>#NAME?</v>
      </c>
      <c r="AN82" s="232" t="e">
        <f t="shared" si="145"/>
        <v>#NAME?</v>
      </c>
      <c r="AO82" s="232" t="e">
        <f t="shared" si="112"/>
        <v>#NAME?</v>
      </c>
      <c r="AP82" s="232" t="e">
        <f t="shared" si="132"/>
        <v>#NAME?</v>
      </c>
      <c r="AQ82" s="232" t="e">
        <f t="shared" si="146"/>
        <v>#NAME?</v>
      </c>
      <c r="AR82" s="232" t="e">
        <f t="shared" si="147"/>
        <v>#NAME?</v>
      </c>
      <c r="AS82" s="232" t="e">
        <f t="shared" si="133"/>
        <v>#NAME?</v>
      </c>
      <c r="AT82" s="232">
        <f t="shared" si="113"/>
        <v>0.45600000000000002</v>
      </c>
      <c r="AU82" s="292" t="e">
        <f t="shared" si="148"/>
        <v>#NAME?</v>
      </c>
      <c r="AV82" s="235" t="e">
        <f t="shared" si="149"/>
        <v>#NAME?</v>
      </c>
      <c r="AW82" s="235" t="e">
        <f t="shared" si="150"/>
        <v>#NAME?</v>
      </c>
      <c r="AX82" s="235" t="e">
        <f t="shared" si="134"/>
        <v>#NAME?</v>
      </c>
      <c r="AY82" s="235" t="e">
        <f t="shared" si="151"/>
        <v>#NAME?</v>
      </c>
      <c r="AZ82" s="235" t="e">
        <f t="shared" si="135"/>
        <v>#NAME?</v>
      </c>
      <c r="BA82" s="235" t="e">
        <f t="shared" si="136"/>
        <v>#NAME?</v>
      </c>
      <c r="BB82" s="235" t="e">
        <f t="shared" si="114"/>
        <v>#NAME?</v>
      </c>
      <c r="BC82" s="235" t="e">
        <f t="shared" si="115"/>
        <v>#NAME?</v>
      </c>
      <c r="BD82" s="235" t="e">
        <f t="shared" si="137"/>
        <v>#NAME?</v>
      </c>
      <c r="BE82" s="235" t="e">
        <f t="shared" si="152"/>
        <v>#NAME?</v>
      </c>
      <c r="BF82" s="235" t="e">
        <f t="shared" si="153"/>
        <v>#NAME?</v>
      </c>
      <c r="BG82" s="235" t="e">
        <f t="shared" si="138"/>
        <v>#NAME?</v>
      </c>
      <c r="BH82" s="233" t="e">
        <f t="shared" si="154"/>
        <v>#NAME?</v>
      </c>
      <c r="BI82" s="175">
        <f t="shared" si="116"/>
        <v>91.2</v>
      </c>
      <c r="BJ82" s="292">
        <v>92.513168425431559</v>
      </c>
      <c r="BK82" s="235">
        <f t="shared" si="155"/>
        <v>0.92513168425431558</v>
      </c>
      <c r="BL82" s="376">
        <v>89.913940863261431</v>
      </c>
      <c r="BM82" s="294"/>
      <c r="BN82" s="387" t="e">
        <f t="shared" si="156"/>
        <v>#NAME?</v>
      </c>
      <c r="BO82" s="387" t="e">
        <f t="shared" si="157"/>
        <v>#NAME?</v>
      </c>
      <c r="BP82" s="175" t="e">
        <f t="shared" si="158"/>
        <v>#NAME?</v>
      </c>
      <c r="BQ82" s="235"/>
      <c r="BR82" s="235"/>
      <c r="BS82" s="235"/>
      <c r="BT82" s="235"/>
    </row>
    <row r="83" spans="6:72" x14ac:dyDescent="0.2">
      <c r="H83" s="173">
        <v>77</v>
      </c>
      <c r="I83" s="513">
        <f t="shared" si="104"/>
        <v>9.2399999999999996E-2</v>
      </c>
      <c r="J83" s="175" t="e">
        <f t="shared" si="105"/>
        <v>#NAME?</v>
      </c>
      <c r="K83" s="232" t="e">
        <f t="shared" si="106"/>
        <v>#NAME?</v>
      </c>
      <c r="L83" s="290" t="e">
        <f t="shared" si="117"/>
        <v>#NAME?</v>
      </c>
      <c r="M83" s="208" t="e">
        <f t="shared" si="139"/>
        <v>#NAME?</v>
      </c>
      <c r="N83" s="291" t="e">
        <f t="shared" si="107"/>
        <v>#NAME?</v>
      </c>
      <c r="O83" s="291">
        <f t="shared" si="108"/>
        <v>4.424575152293877E-5</v>
      </c>
      <c r="P83" s="233" t="e">
        <f t="shared" si="140"/>
        <v>#NAME?</v>
      </c>
      <c r="Q83" s="232" t="e">
        <f t="shared" si="109"/>
        <v>#NAME?</v>
      </c>
      <c r="R83" s="232" t="e">
        <f t="shared" si="118"/>
        <v>#NAME?</v>
      </c>
      <c r="S83" s="517" t="e">
        <f t="shared" si="110"/>
        <v>#NAME?</v>
      </c>
      <c r="T83" s="232" t="e">
        <f t="shared" si="141"/>
        <v>#NAME?</v>
      </c>
      <c r="U83" s="233" t="e">
        <f t="shared" si="111"/>
        <v>#NAME?</v>
      </c>
      <c r="V83" s="232" t="e">
        <f t="shared" si="119"/>
        <v>#NAME?</v>
      </c>
      <c r="W83" s="232" t="e">
        <f t="shared" si="142"/>
        <v>#NAME?</v>
      </c>
      <c r="X83" s="232" t="e">
        <f t="shared" si="120"/>
        <v>#NAME?</v>
      </c>
      <c r="Y83" s="234" t="e">
        <f t="shared" si="121"/>
        <v>#NAME?</v>
      </c>
      <c r="Z83" s="234" t="e">
        <f t="shared" si="143"/>
        <v>#NAME?</v>
      </c>
      <c r="AA83" s="232" t="e">
        <f t="shared" si="122"/>
        <v>#NAME?</v>
      </c>
      <c r="AB83" s="232" t="e">
        <f t="shared" si="123"/>
        <v>#NAME?</v>
      </c>
      <c r="AC83" s="232" t="e">
        <f t="shared" si="124"/>
        <v>#NAME?</v>
      </c>
      <c r="AD83">
        <v>20</v>
      </c>
      <c r="AE83" s="208">
        <v>10</v>
      </c>
      <c r="AF83" s="232" t="e">
        <f t="shared" si="125"/>
        <v>#NAME?</v>
      </c>
      <c r="AG83" s="232" t="e">
        <f t="shared" si="126"/>
        <v>#NAME?</v>
      </c>
      <c r="AH83" s="232" t="e">
        <f t="shared" si="144"/>
        <v>#NAME?</v>
      </c>
      <c r="AI83" s="232" t="e">
        <f t="shared" si="127"/>
        <v>#NAME?</v>
      </c>
      <c r="AJ83" s="232" t="e">
        <f t="shared" si="128"/>
        <v>#NAME?</v>
      </c>
      <c r="AK83" s="232" t="e">
        <f t="shared" si="129"/>
        <v>#NAME?</v>
      </c>
      <c r="AL83" s="232">
        <f t="shared" si="130"/>
        <v>0</v>
      </c>
      <c r="AM83" s="232" t="e">
        <f t="shared" si="131"/>
        <v>#NAME?</v>
      </c>
      <c r="AN83" s="232" t="e">
        <f t="shared" si="145"/>
        <v>#NAME?</v>
      </c>
      <c r="AO83" s="232" t="e">
        <f t="shared" si="112"/>
        <v>#NAME?</v>
      </c>
      <c r="AP83" s="232" t="e">
        <f t="shared" si="132"/>
        <v>#NAME?</v>
      </c>
      <c r="AQ83" s="232" t="e">
        <f t="shared" si="146"/>
        <v>#NAME?</v>
      </c>
      <c r="AR83" s="232" t="e">
        <f t="shared" si="147"/>
        <v>#NAME?</v>
      </c>
      <c r="AS83" s="232" t="e">
        <f t="shared" si="133"/>
        <v>#NAME?</v>
      </c>
      <c r="AT83" s="232">
        <f t="shared" si="113"/>
        <v>0.46199999999999997</v>
      </c>
      <c r="AU83" s="292" t="e">
        <f t="shared" si="148"/>
        <v>#NAME?</v>
      </c>
      <c r="AV83" s="235" t="e">
        <f t="shared" si="149"/>
        <v>#NAME?</v>
      </c>
      <c r="AW83" s="235" t="e">
        <f t="shared" si="150"/>
        <v>#NAME?</v>
      </c>
      <c r="AX83" s="235" t="e">
        <f t="shared" si="134"/>
        <v>#NAME?</v>
      </c>
      <c r="AY83" s="235" t="e">
        <f t="shared" si="151"/>
        <v>#NAME?</v>
      </c>
      <c r="AZ83" s="235" t="e">
        <f t="shared" si="135"/>
        <v>#NAME?</v>
      </c>
      <c r="BA83" s="235" t="e">
        <f t="shared" si="136"/>
        <v>#NAME?</v>
      </c>
      <c r="BB83" s="235" t="e">
        <f t="shared" si="114"/>
        <v>#NAME?</v>
      </c>
      <c r="BC83" s="235" t="e">
        <f t="shared" si="115"/>
        <v>#NAME?</v>
      </c>
      <c r="BD83" s="235" t="e">
        <f t="shared" si="137"/>
        <v>#NAME?</v>
      </c>
      <c r="BE83" s="235" t="e">
        <f t="shared" si="152"/>
        <v>#NAME?</v>
      </c>
      <c r="BF83" s="235" t="e">
        <f t="shared" si="153"/>
        <v>#NAME?</v>
      </c>
      <c r="BG83" s="235" t="e">
        <f t="shared" si="138"/>
        <v>#NAME?</v>
      </c>
      <c r="BH83" s="233" t="e">
        <f t="shared" si="154"/>
        <v>#NAME?</v>
      </c>
      <c r="BI83" s="175">
        <f t="shared" si="116"/>
        <v>92.399999999999991</v>
      </c>
      <c r="BJ83" s="292">
        <v>92.515005345511099</v>
      </c>
      <c r="BK83" s="235">
        <f t="shared" si="155"/>
        <v>0.92515005345511103</v>
      </c>
      <c r="BL83" s="376">
        <v>89.945375361806484</v>
      </c>
      <c r="BM83" s="294"/>
      <c r="BN83" s="387" t="e">
        <f t="shared" si="156"/>
        <v>#NAME?</v>
      </c>
      <c r="BO83" s="387" t="e">
        <f t="shared" si="157"/>
        <v>#NAME?</v>
      </c>
      <c r="BP83" s="175" t="e">
        <f t="shared" si="158"/>
        <v>#NAME?</v>
      </c>
      <c r="BQ83" s="235"/>
      <c r="BR83" s="235"/>
      <c r="BS83" s="235"/>
      <c r="BT83" s="235"/>
    </row>
    <row r="84" spans="6:72" x14ac:dyDescent="0.2">
      <c r="H84" s="173">
        <v>78</v>
      </c>
      <c r="I84" s="513">
        <f t="shared" si="104"/>
        <v>9.3600000000000003E-2</v>
      </c>
      <c r="J84" s="175" t="e">
        <f t="shared" si="105"/>
        <v>#NAME?</v>
      </c>
      <c r="K84" s="232" t="e">
        <f t="shared" si="106"/>
        <v>#NAME?</v>
      </c>
      <c r="L84" s="290" t="e">
        <f t="shared" si="117"/>
        <v>#NAME?</v>
      </c>
      <c r="M84" s="208" t="e">
        <f t="shared" si="139"/>
        <v>#NAME?</v>
      </c>
      <c r="N84" s="291" t="e">
        <f t="shared" si="107"/>
        <v>#NAME?</v>
      </c>
      <c r="O84" s="291">
        <f t="shared" si="108"/>
        <v>4.3678498298285702E-5</v>
      </c>
      <c r="P84" s="233" t="e">
        <f t="shared" si="140"/>
        <v>#NAME?</v>
      </c>
      <c r="Q84" s="232" t="e">
        <f t="shared" si="109"/>
        <v>#NAME?</v>
      </c>
      <c r="R84" s="232" t="e">
        <f t="shared" si="118"/>
        <v>#NAME?</v>
      </c>
      <c r="S84" s="517" t="e">
        <f t="shared" si="110"/>
        <v>#NAME?</v>
      </c>
      <c r="T84" s="232" t="e">
        <f t="shared" si="141"/>
        <v>#NAME?</v>
      </c>
      <c r="U84" s="233" t="e">
        <f t="shared" si="111"/>
        <v>#NAME?</v>
      </c>
      <c r="V84" s="232" t="e">
        <f t="shared" si="119"/>
        <v>#NAME?</v>
      </c>
      <c r="W84" s="232" t="e">
        <f t="shared" si="142"/>
        <v>#NAME?</v>
      </c>
      <c r="X84" s="232" t="e">
        <f t="shared" si="120"/>
        <v>#NAME?</v>
      </c>
      <c r="Y84" s="234" t="e">
        <f t="shared" si="121"/>
        <v>#NAME?</v>
      </c>
      <c r="Z84" s="234" t="e">
        <f t="shared" si="143"/>
        <v>#NAME?</v>
      </c>
      <c r="AA84" s="232" t="e">
        <f t="shared" si="122"/>
        <v>#NAME?</v>
      </c>
      <c r="AB84" s="232" t="e">
        <f t="shared" si="123"/>
        <v>#NAME?</v>
      </c>
      <c r="AC84" s="232" t="e">
        <f t="shared" si="124"/>
        <v>#NAME?</v>
      </c>
      <c r="AD84">
        <v>20</v>
      </c>
      <c r="AE84" s="208">
        <v>10</v>
      </c>
      <c r="AF84" s="232" t="e">
        <f t="shared" si="125"/>
        <v>#NAME?</v>
      </c>
      <c r="AG84" s="232" t="e">
        <f t="shared" si="126"/>
        <v>#NAME?</v>
      </c>
      <c r="AH84" s="232" t="e">
        <f t="shared" si="144"/>
        <v>#NAME?</v>
      </c>
      <c r="AI84" s="232" t="e">
        <f t="shared" si="127"/>
        <v>#NAME?</v>
      </c>
      <c r="AJ84" s="232" t="e">
        <f t="shared" si="128"/>
        <v>#NAME?</v>
      </c>
      <c r="AK84" s="232" t="e">
        <f t="shared" si="129"/>
        <v>#NAME?</v>
      </c>
      <c r="AL84" s="232">
        <f t="shared" si="130"/>
        <v>0</v>
      </c>
      <c r="AM84" s="232" t="e">
        <f t="shared" si="131"/>
        <v>#NAME?</v>
      </c>
      <c r="AN84" s="232" t="e">
        <f t="shared" si="145"/>
        <v>#NAME?</v>
      </c>
      <c r="AO84" s="232" t="e">
        <f t="shared" si="112"/>
        <v>#NAME?</v>
      </c>
      <c r="AP84" s="232" t="e">
        <f t="shared" si="132"/>
        <v>#NAME?</v>
      </c>
      <c r="AQ84" s="232" t="e">
        <f t="shared" si="146"/>
        <v>#NAME?</v>
      </c>
      <c r="AR84" s="232" t="e">
        <f t="shared" si="147"/>
        <v>#NAME?</v>
      </c>
      <c r="AS84" s="232" t="e">
        <f t="shared" si="133"/>
        <v>#NAME?</v>
      </c>
      <c r="AT84" s="232">
        <f t="shared" si="113"/>
        <v>0.46800000000000003</v>
      </c>
      <c r="AU84" s="292" t="e">
        <f t="shared" si="148"/>
        <v>#NAME?</v>
      </c>
      <c r="AV84" s="235" t="e">
        <f t="shared" si="149"/>
        <v>#NAME?</v>
      </c>
      <c r="AW84" s="235" t="e">
        <f t="shared" si="150"/>
        <v>#NAME?</v>
      </c>
      <c r="AX84" s="235" t="e">
        <f t="shared" si="134"/>
        <v>#NAME?</v>
      </c>
      <c r="AY84" s="235" t="e">
        <f t="shared" si="151"/>
        <v>#NAME?</v>
      </c>
      <c r="AZ84" s="235" t="e">
        <f t="shared" si="135"/>
        <v>#NAME?</v>
      </c>
      <c r="BA84" s="235" t="e">
        <f t="shared" si="136"/>
        <v>#NAME?</v>
      </c>
      <c r="BB84" s="235" t="e">
        <f t="shared" si="114"/>
        <v>#NAME?</v>
      </c>
      <c r="BC84" s="235" t="e">
        <f t="shared" si="115"/>
        <v>#NAME?</v>
      </c>
      <c r="BD84" s="235" t="e">
        <f t="shared" si="137"/>
        <v>#NAME?</v>
      </c>
      <c r="BE84" s="235" t="e">
        <f t="shared" si="152"/>
        <v>#NAME?</v>
      </c>
      <c r="BF84" s="235" t="e">
        <f t="shared" si="153"/>
        <v>#NAME?</v>
      </c>
      <c r="BG84" s="235" t="e">
        <f t="shared" si="138"/>
        <v>#NAME?</v>
      </c>
      <c r="BH84" s="233" t="e">
        <f t="shared" si="154"/>
        <v>#NAME?</v>
      </c>
      <c r="BI84" s="175">
        <f t="shared" si="116"/>
        <v>93.600000000000009</v>
      </c>
      <c r="BJ84" s="292">
        <v>92.51680332432062</v>
      </c>
      <c r="BK84" s="235">
        <f t="shared" si="155"/>
        <v>0.92516803324320618</v>
      </c>
      <c r="BL84" s="376">
        <v>89.97420266416259</v>
      </c>
      <c r="BM84" s="294"/>
      <c r="BN84" s="387" t="e">
        <f t="shared" si="156"/>
        <v>#NAME?</v>
      </c>
      <c r="BO84" s="387" t="e">
        <f t="shared" si="157"/>
        <v>#NAME?</v>
      </c>
      <c r="BP84" s="175" t="e">
        <f t="shared" si="158"/>
        <v>#NAME?</v>
      </c>
      <c r="BQ84" s="235"/>
      <c r="BR84" s="235"/>
      <c r="BS84" s="235"/>
      <c r="BT84" s="235"/>
    </row>
    <row r="85" spans="6:72" x14ac:dyDescent="0.2">
      <c r="H85" s="173">
        <v>79</v>
      </c>
      <c r="I85" s="513">
        <f t="shared" si="104"/>
        <v>9.4799999999999995E-2</v>
      </c>
      <c r="J85" s="175" t="e">
        <f t="shared" si="105"/>
        <v>#NAME?</v>
      </c>
      <c r="K85" s="232" t="e">
        <f t="shared" si="106"/>
        <v>#NAME?</v>
      </c>
      <c r="L85" s="290" t="e">
        <f t="shared" si="117"/>
        <v>#NAME?</v>
      </c>
      <c r="M85" s="208" t="e">
        <f t="shared" si="139"/>
        <v>#NAME?</v>
      </c>
      <c r="N85" s="291" t="e">
        <f t="shared" si="107"/>
        <v>#NAME?</v>
      </c>
      <c r="O85" s="291">
        <f t="shared" si="108"/>
        <v>4.3125605914763104E-5</v>
      </c>
      <c r="P85" s="233" t="e">
        <f t="shared" si="140"/>
        <v>#NAME?</v>
      </c>
      <c r="Q85" s="232" t="e">
        <f t="shared" si="109"/>
        <v>#NAME?</v>
      </c>
      <c r="R85" s="232" t="e">
        <f t="shared" si="118"/>
        <v>#NAME?</v>
      </c>
      <c r="S85" s="517" t="e">
        <f t="shared" si="110"/>
        <v>#NAME?</v>
      </c>
      <c r="T85" s="232" t="e">
        <f t="shared" si="141"/>
        <v>#NAME?</v>
      </c>
      <c r="U85" s="233" t="e">
        <f t="shared" si="111"/>
        <v>#NAME?</v>
      </c>
      <c r="V85" s="232" t="e">
        <f t="shared" si="119"/>
        <v>#NAME?</v>
      </c>
      <c r="W85" s="232" t="e">
        <f t="shared" si="142"/>
        <v>#NAME?</v>
      </c>
      <c r="X85" s="232" t="e">
        <f t="shared" si="120"/>
        <v>#NAME?</v>
      </c>
      <c r="Y85" s="234" t="e">
        <f t="shared" si="121"/>
        <v>#NAME?</v>
      </c>
      <c r="Z85" s="234" t="e">
        <f t="shared" si="143"/>
        <v>#NAME?</v>
      </c>
      <c r="AA85" s="232" t="e">
        <f t="shared" si="122"/>
        <v>#NAME?</v>
      </c>
      <c r="AB85" s="232" t="e">
        <f t="shared" si="123"/>
        <v>#NAME?</v>
      </c>
      <c r="AC85" s="232" t="e">
        <f t="shared" si="124"/>
        <v>#NAME?</v>
      </c>
      <c r="AD85">
        <v>20</v>
      </c>
      <c r="AE85" s="208">
        <v>10</v>
      </c>
      <c r="AF85" s="232" t="e">
        <f t="shared" si="125"/>
        <v>#NAME?</v>
      </c>
      <c r="AG85" s="232" t="e">
        <f t="shared" si="126"/>
        <v>#NAME?</v>
      </c>
      <c r="AH85" s="232" t="e">
        <f t="shared" si="144"/>
        <v>#NAME?</v>
      </c>
      <c r="AI85" s="232" t="e">
        <f t="shared" si="127"/>
        <v>#NAME?</v>
      </c>
      <c r="AJ85" s="232" t="e">
        <f t="shared" si="128"/>
        <v>#NAME?</v>
      </c>
      <c r="AK85" s="232" t="e">
        <f t="shared" si="129"/>
        <v>#NAME?</v>
      </c>
      <c r="AL85" s="232">
        <f t="shared" si="130"/>
        <v>0</v>
      </c>
      <c r="AM85" s="232" t="e">
        <f t="shared" si="131"/>
        <v>#NAME?</v>
      </c>
      <c r="AN85" s="232" t="e">
        <f t="shared" si="145"/>
        <v>#NAME?</v>
      </c>
      <c r="AO85" s="232" t="e">
        <f t="shared" si="112"/>
        <v>#NAME?</v>
      </c>
      <c r="AP85" s="232" t="e">
        <f t="shared" si="132"/>
        <v>#NAME?</v>
      </c>
      <c r="AQ85" s="232" t="e">
        <f t="shared" si="146"/>
        <v>#NAME?</v>
      </c>
      <c r="AR85" s="232" t="e">
        <f t="shared" si="147"/>
        <v>#NAME?</v>
      </c>
      <c r="AS85" s="232" t="e">
        <f t="shared" si="133"/>
        <v>#NAME?</v>
      </c>
      <c r="AT85" s="232">
        <f t="shared" si="113"/>
        <v>0.47399999999999998</v>
      </c>
      <c r="AU85" s="292" t="e">
        <f t="shared" si="148"/>
        <v>#NAME?</v>
      </c>
      <c r="AV85" s="235" t="e">
        <f t="shared" si="149"/>
        <v>#NAME?</v>
      </c>
      <c r="AW85" s="235" t="e">
        <f t="shared" si="150"/>
        <v>#NAME?</v>
      </c>
      <c r="AX85" s="235" t="e">
        <f t="shared" si="134"/>
        <v>#NAME?</v>
      </c>
      <c r="AY85" s="235" t="e">
        <f t="shared" si="151"/>
        <v>#NAME?</v>
      </c>
      <c r="AZ85" s="235" t="e">
        <f t="shared" si="135"/>
        <v>#NAME?</v>
      </c>
      <c r="BA85" s="235" t="e">
        <f t="shared" si="136"/>
        <v>#NAME?</v>
      </c>
      <c r="BB85" s="235" t="e">
        <f t="shared" si="114"/>
        <v>#NAME?</v>
      </c>
      <c r="BC85" s="235" t="e">
        <f t="shared" si="115"/>
        <v>#NAME?</v>
      </c>
      <c r="BD85" s="235" t="e">
        <f t="shared" si="137"/>
        <v>#NAME?</v>
      </c>
      <c r="BE85" s="235" t="e">
        <f t="shared" si="152"/>
        <v>#NAME?</v>
      </c>
      <c r="BF85" s="235" t="e">
        <f t="shared" si="153"/>
        <v>#NAME?</v>
      </c>
      <c r="BG85" s="235" t="e">
        <f t="shared" si="138"/>
        <v>#NAME?</v>
      </c>
      <c r="BH85" s="233" t="e">
        <f t="shared" si="154"/>
        <v>#NAME?</v>
      </c>
      <c r="BI85" s="175">
        <f t="shared" si="116"/>
        <v>94.8</v>
      </c>
      <c r="BJ85" s="292">
        <v>92.518563839160237</v>
      </c>
      <c r="BK85" s="235">
        <f t="shared" si="155"/>
        <v>0.92518563839160239</v>
      </c>
      <c r="BL85" s="376">
        <v>90.00066270680108</v>
      </c>
      <c r="BM85" s="294"/>
      <c r="BN85" s="387" t="e">
        <f t="shared" si="156"/>
        <v>#NAME?</v>
      </c>
      <c r="BO85" s="387" t="e">
        <f t="shared" si="157"/>
        <v>#NAME?</v>
      </c>
      <c r="BP85" s="175" t="e">
        <f t="shared" si="158"/>
        <v>#NAME?</v>
      </c>
      <c r="BQ85" s="235"/>
      <c r="BR85" s="235"/>
      <c r="BS85" s="235"/>
      <c r="BT85" s="235"/>
    </row>
    <row r="86" spans="6:72" x14ac:dyDescent="0.2">
      <c r="H86" s="173">
        <v>80</v>
      </c>
      <c r="I86" s="513">
        <f t="shared" si="104"/>
        <v>9.6000000000000002E-2</v>
      </c>
      <c r="J86" s="175" t="e">
        <f t="shared" si="105"/>
        <v>#NAME?</v>
      </c>
      <c r="K86" s="232" t="e">
        <f t="shared" si="106"/>
        <v>#NAME?</v>
      </c>
      <c r="L86" s="290" t="e">
        <f t="shared" si="117"/>
        <v>#NAME?</v>
      </c>
      <c r="M86" s="208" t="e">
        <f t="shared" si="139"/>
        <v>#NAME?</v>
      </c>
      <c r="N86" s="291" t="e">
        <f t="shared" si="107"/>
        <v>#NAME?</v>
      </c>
      <c r="O86" s="291">
        <f t="shared" si="108"/>
        <v>4.2586535840828558E-5</v>
      </c>
      <c r="P86" s="233" t="e">
        <f t="shared" si="140"/>
        <v>#NAME?</v>
      </c>
      <c r="Q86" s="232" t="e">
        <f t="shared" si="109"/>
        <v>#NAME?</v>
      </c>
      <c r="R86" s="232" t="e">
        <f t="shared" si="118"/>
        <v>#NAME?</v>
      </c>
      <c r="S86" s="517" t="e">
        <f t="shared" si="110"/>
        <v>#NAME?</v>
      </c>
      <c r="T86" s="232" t="e">
        <f t="shared" si="141"/>
        <v>#NAME?</v>
      </c>
      <c r="U86" s="233" t="e">
        <f t="shared" si="111"/>
        <v>#NAME?</v>
      </c>
      <c r="V86" s="232" t="e">
        <f t="shared" si="119"/>
        <v>#NAME?</v>
      </c>
      <c r="W86" s="232" t="e">
        <f t="shared" si="142"/>
        <v>#NAME?</v>
      </c>
      <c r="X86" s="232" t="e">
        <f t="shared" si="120"/>
        <v>#NAME?</v>
      </c>
      <c r="Y86" s="234" t="e">
        <f t="shared" si="121"/>
        <v>#NAME?</v>
      </c>
      <c r="Z86" s="234" t="e">
        <f t="shared" si="143"/>
        <v>#NAME?</v>
      </c>
      <c r="AA86" s="232" t="e">
        <f t="shared" si="122"/>
        <v>#NAME?</v>
      </c>
      <c r="AB86" s="232" t="e">
        <f t="shared" si="123"/>
        <v>#NAME?</v>
      </c>
      <c r="AC86" s="232" t="e">
        <f t="shared" si="124"/>
        <v>#NAME?</v>
      </c>
      <c r="AD86">
        <v>20</v>
      </c>
      <c r="AE86" s="208">
        <v>10</v>
      </c>
      <c r="AF86" s="232" t="e">
        <f t="shared" si="125"/>
        <v>#NAME?</v>
      </c>
      <c r="AG86" s="232" t="e">
        <f t="shared" si="126"/>
        <v>#NAME?</v>
      </c>
      <c r="AH86" s="232" t="e">
        <f t="shared" si="144"/>
        <v>#NAME?</v>
      </c>
      <c r="AI86" s="232" t="e">
        <f t="shared" si="127"/>
        <v>#NAME?</v>
      </c>
      <c r="AJ86" s="232" t="e">
        <f t="shared" si="128"/>
        <v>#NAME?</v>
      </c>
      <c r="AK86" s="232" t="e">
        <f t="shared" si="129"/>
        <v>#NAME?</v>
      </c>
      <c r="AL86" s="232">
        <f t="shared" si="130"/>
        <v>0</v>
      </c>
      <c r="AM86" s="232" t="e">
        <f t="shared" si="131"/>
        <v>#NAME?</v>
      </c>
      <c r="AN86" s="232" t="e">
        <f t="shared" si="145"/>
        <v>#NAME?</v>
      </c>
      <c r="AO86" s="232" t="e">
        <f t="shared" si="112"/>
        <v>#NAME?</v>
      </c>
      <c r="AP86" s="232" t="e">
        <f t="shared" si="132"/>
        <v>#NAME?</v>
      </c>
      <c r="AQ86" s="232" t="e">
        <f t="shared" si="146"/>
        <v>#NAME?</v>
      </c>
      <c r="AR86" s="232" t="e">
        <f t="shared" si="147"/>
        <v>#NAME?</v>
      </c>
      <c r="AS86" s="232" t="e">
        <f t="shared" si="133"/>
        <v>#NAME?</v>
      </c>
      <c r="AT86" s="232">
        <f t="shared" si="113"/>
        <v>0.48</v>
      </c>
      <c r="AU86" s="292" t="e">
        <f t="shared" si="148"/>
        <v>#NAME?</v>
      </c>
      <c r="AV86" s="235" t="e">
        <f t="shared" si="149"/>
        <v>#NAME?</v>
      </c>
      <c r="AW86" s="235" t="e">
        <f t="shared" si="150"/>
        <v>#NAME?</v>
      </c>
      <c r="AX86" s="235" t="e">
        <f t="shared" si="134"/>
        <v>#NAME?</v>
      </c>
      <c r="AY86" s="235" t="e">
        <f t="shared" si="151"/>
        <v>#NAME?</v>
      </c>
      <c r="AZ86" s="235" t="e">
        <f t="shared" si="135"/>
        <v>#NAME?</v>
      </c>
      <c r="BA86" s="235" t="e">
        <f t="shared" si="136"/>
        <v>#NAME?</v>
      </c>
      <c r="BB86" s="235" t="e">
        <f t="shared" si="114"/>
        <v>#NAME?</v>
      </c>
      <c r="BC86" s="235" t="e">
        <f t="shared" si="115"/>
        <v>#NAME?</v>
      </c>
      <c r="BD86" s="235" t="e">
        <f t="shared" si="137"/>
        <v>#NAME?</v>
      </c>
      <c r="BE86" s="235" t="e">
        <f t="shared" si="152"/>
        <v>#NAME?</v>
      </c>
      <c r="BF86" s="235" t="e">
        <f t="shared" si="153"/>
        <v>#NAME?</v>
      </c>
      <c r="BG86" s="235" t="e">
        <f t="shared" si="138"/>
        <v>#NAME?</v>
      </c>
      <c r="BH86" s="233" t="e">
        <f t="shared" si="154"/>
        <v>#NAME?</v>
      </c>
      <c r="BI86" s="175">
        <f t="shared" si="116"/>
        <v>96</v>
      </c>
      <c r="BJ86" s="292">
        <v>92.520288293422482</v>
      </c>
      <c r="BK86" s="235">
        <f t="shared" si="155"/>
        <v>0.92520288293422481</v>
      </c>
      <c r="BL86" s="376">
        <v>90.024976147565738</v>
      </c>
      <c r="BM86" s="294"/>
      <c r="BN86" s="387" t="e">
        <f t="shared" si="156"/>
        <v>#NAME?</v>
      </c>
      <c r="BO86" s="387" t="e">
        <f t="shared" si="157"/>
        <v>#NAME?</v>
      </c>
      <c r="BP86" s="175" t="e">
        <f t="shared" si="158"/>
        <v>#NAME?</v>
      </c>
      <c r="BQ86" s="235"/>
      <c r="BR86" s="235"/>
      <c r="BS86" s="235"/>
      <c r="BT86" s="235"/>
    </row>
    <row r="87" spans="6:72" x14ac:dyDescent="0.2">
      <c r="H87" s="173">
        <v>81</v>
      </c>
      <c r="I87" s="513">
        <f t="shared" si="104"/>
        <v>9.7200000000000009E-2</v>
      </c>
      <c r="J87" s="175" t="e">
        <f t="shared" si="105"/>
        <v>#NAME?</v>
      </c>
      <c r="K87" s="232" t="e">
        <f t="shared" si="106"/>
        <v>#NAME?</v>
      </c>
      <c r="L87" s="290" t="e">
        <f t="shared" si="117"/>
        <v>#NAME?</v>
      </c>
      <c r="M87" s="208" t="e">
        <f t="shared" si="139"/>
        <v>#NAME?</v>
      </c>
      <c r="N87" s="291" t="e">
        <f t="shared" si="107"/>
        <v>#NAME?</v>
      </c>
      <c r="O87" s="291">
        <f t="shared" si="108"/>
        <v>4.2060776139089935E-5</v>
      </c>
      <c r="P87" s="233" t="e">
        <f t="shared" si="140"/>
        <v>#NAME?</v>
      </c>
      <c r="Q87" s="232" t="e">
        <f t="shared" si="109"/>
        <v>#NAME?</v>
      </c>
      <c r="R87" s="232" t="e">
        <f t="shared" si="118"/>
        <v>#NAME?</v>
      </c>
      <c r="S87" s="517" t="e">
        <f t="shared" si="110"/>
        <v>#NAME?</v>
      </c>
      <c r="T87" s="232" t="e">
        <f t="shared" si="141"/>
        <v>#NAME?</v>
      </c>
      <c r="U87" s="233" t="e">
        <f t="shared" si="111"/>
        <v>#NAME?</v>
      </c>
      <c r="V87" s="232" t="e">
        <f t="shared" si="119"/>
        <v>#NAME?</v>
      </c>
      <c r="W87" s="232" t="e">
        <f t="shared" si="142"/>
        <v>#NAME?</v>
      </c>
      <c r="X87" s="232" t="e">
        <f t="shared" si="120"/>
        <v>#NAME?</v>
      </c>
      <c r="Y87" s="234" t="e">
        <f t="shared" si="121"/>
        <v>#NAME?</v>
      </c>
      <c r="Z87" s="234" t="e">
        <f t="shared" si="143"/>
        <v>#NAME?</v>
      </c>
      <c r="AA87" s="232" t="e">
        <f t="shared" si="122"/>
        <v>#NAME?</v>
      </c>
      <c r="AB87" s="232" t="e">
        <f t="shared" si="123"/>
        <v>#NAME?</v>
      </c>
      <c r="AC87" s="232" t="e">
        <f t="shared" si="124"/>
        <v>#NAME?</v>
      </c>
      <c r="AD87">
        <v>20</v>
      </c>
      <c r="AE87" s="208">
        <v>10</v>
      </c>
      <c r="AF87" s="232" t="e">
        <f t="shared" si="125"/>
        <v>#NAME?</v>
      </c>
      <c r="AG87" s="232" t="e">
        <f t="shared" si="126"/>
        <v>#NAME?</v>
      </c>
      <c r="AH87" s="232" t="e">
        <f t="shared" si="144"/>
        <v>#NAME?</v>
      </c>
      <c r="AI87" s="232" t="e">
        <f t="shared" si="127"/>
        <v>#NAME?</v>
      </c>
      <c r="AJ87" s="232" t="e">
        <f t="shared" si="128"/>
        <v>#NAME?</v>
      </c>
      <c r="AK87" s="232" t="e">
        <f t="shared" si="129"/>
        <v>#NAME?</v>
      </c>
      <c r="AL87" s="232">
        <f t="shared" si="130"/>
        <v>0</v>
      </c>
      <c r="AM87" s="232" t="e">
        <f t="shared" si="131"/>
        <v>#NAME?</v>
      </c>
      <c r="AN87" s="232" t="e">
        <f t="shared" si="145"/>
        <v>#NAME?</v>
      </c>
      <c r="AO87" s="232" t="e">
        <f t="shared" si="112"/>
        <v>#NAME?</v>
      </c>
      <c r="AP87" s="232" t="e">
        <f t="shared" si="132"/>
        <v>#NAME?</v>
      </c>
      <c r="AQ87" s="232" t="e">
        <f t="shared" si="146"/>
        <v>#NAME?</v>
      </c>
      <c r="AR87" s="232" t="e">
        <f t="shared" si="147"/>
        <v>#NAME?</v>
      </c>
      <c r="AS87" s="232" t="e">
        <f t="shared" si="133"/>
        <v>#NAME?</v>
      </c>
      <c r="AT87" s="232">
        <f t="shared" si="113"/>
        <v>0.48600000000000004</v>
      </c>
      <c r="AU87" s="292" t="e">
        <f t="shared" si="148"/>
        <v>#NAME?</v>
      </c>
      <c r="AV87" s="235" t="e">
        <f t="shared" si="149"/>
        <v>#NAME?</v>
      </c>
      <c r="AW87" s="235" t="e">
        <f t="shared" si="150"/>
        <v>#NAME?</v>
      </c>
      <c r="AX87" s="235" t="e">
        <f t="shared" si="134"/>
        <v>#NAME?</v>
      </c>
      <c r="AY87" s="235" t="e">
        <f t="shared" si="151"/>
        <v>#NAME?</v>
      </c>
      <c r="AZ87" s="235" t="e">
        <f t="shared" si="135"/>
        <v>#NAME?</v>
      </c>
      <c r="BA87" s="235" t="e">
        <f t="shared" si="136"/>
        <v>#NAME?</v>
      </c>
      <c r="BB87" s="235" t="e">
        <f t="shared" si="114"/>
        <v>#NAME?</v>
      </c>
      <c r="BC87" s="235" t="e">
        <f t="shared" si="115"/>
        <v>#NAME?</v>
      </c>
      <c r="BD87" s="235" t="e">
        <f t="shared" si="137"/>
        <v>#NAME?</v>
      </c>
      <c r="BE87" s="235" t="e">
        <f t="shared" si="152"/>
        <v>#NAME?</v>
      </c>
      <c r="BF87" s="235" t="e">
        <f t="shared" si="153"/>
        <v>#NAME?</v>
      </c>
      <c r="BG87" s="235" t="e">
        <f t="shared" si="138"/>
        <v>#NAME?</v>
      </c>
      <c r="BH87" s="233" t="e">
        <f t="shared" si="154"/>
        <v>#NAME?</v>
      </c>
      <c r="BI87" s="175">
        <f t="shared" si="116"/>
        <v>97.2</v>
      </c>
      <c r="BJ87" s="292">
        <v>92.521978021143966</v>
      </c>
      <c r="BK87" s="235">
        <f t="shared" si="155"/>
        <v>0.92521978021143969</v>
      </c>
      <c r="BL87" s="376">
        <v>90.047346107738051</v>
      </c>
      <c r="BM87" s="294"/>
      <c r="BN87" s="387" t="e">
        <f t="shared" si="156"/>
        <v>#NAME?</v>
      </c>
      <c r="BO87" s="387" t="e">
        <f t="shared" si="157"/>
        <v>#NAME?</v>
      </c>
      <c r="BP87" s="175" t="e">
        <f t="shared" si="158"/>
        <v>#NAME?</v>
      </c>
      <c r="BQ87" s="235"/>
      <c r="BR87" s="235"/>
      <c r="BS87" s="235"/>
      <c r="BT87" s="235"/>
    </row>
    <row r="88" spans="6:72" x14ac:dyDescent="0.2">
      <c r="H88" s="173">
        <v>82</v>
      </c>
      <c r="I88" s="513">
        <f t="shared" si="104"/>
        <v>9.8399999999999987E-2</v>
      </c>
      <c r="J88" s="175" t="e">
        <f t="shared" si="105"/>
        <v>#NAME?</v>
      </c>
      <c r="K88" s="232" t="e">
        <f t="shared" si="106"/>
        <v>#NAME?</v>
      </c>
      <c r="L88" s="290" t="e">
        <f t="shared" si="117"/>
        <v>#NAME?</v>
      </c>
      <c r="M88" s="208" t="e">
        <f t="shared" si="139"/>
        <v>#NAME?</v>
      </c>
      <c r="N88" s="291" t="e">
        <f t="shared" si="107"/>
        <v>#NAME?</v>
      </c>
      <c r="O88" s="291">
        <f t="shared" si="108"/>
        <v>4.1547839844710799E-5</v>
      </c>
      <c r="P88" s="233" t="e">
        <f t="shared" si="140"/>
        <v>#NAME?</v>
      </c>
      <c r="Q88" s="232" t="e">
        <f t="shared" si="109"/>
        <v>#NAME?</v>
      </c>
      <c r="R88" s="232" t="e">
        <f t="shared" si="118"/>
        <v>#NAME?</v>
      </c>
      <c r="S88" s="517" t="e">
        <f t="shared" si="110"/>
        <v>#NAME?</v>
      </c>
      <c r="T88" s="232" t="e">
        <f t="shared" si="141"/>
        <v>#NAME?</v>
      </c>
      <c r="U88" s="233" t="e">
        <f t="shared" si="111"/>
        <v>#NAME?</v>
      </c>
      <c r="V88" s="232" t="e">
        <f t="shared" si="119"/>
        <v>#NAME?</v>
      </c>
      <c r="W88" s="232" t="e">
        <f t="shared" si="142"/>
        <v>#NAME?</v>
      </c>
      <c r="X88" s="232" t="e">
        <f t="shared" si="120"/>
        <v>#NAME?</v>
      </c>
      <c r="Y88" s="234" t="e">
        <f t="shared" si="121"/>
        <v>#NAME?</v>
      </c>
      <c r="Z88" s="234" t="e">
        <f t="shared" si="143"/>
        <v>#NAME?</v>
      </c>
      <c r="AA88" s="232" t="e">
        <f t="shared" si="122"/>
        <v>#NAME?</v>
      </c>
      <c r="AB88" s="232" t="e">
        <f t="shared" si="123"/>
        <v>#NAME?</v>
      </c>
      <c r="AC88" s="232" t="e">
        <f t="shared" si="124"/>
        <v>#NAME?</v>
      </c>
      <c r="AD88">
        <v>20</v>
      </c>
      <c r="AE88" s="208">
        <v>10</v>
      </c>
      <c r="AF88" s="232" t="e">
        <f t="shared" si="125"/>
        <v>#NAME?</v>
      </c>
      <c r="AG88" s="232" t="e">
        <f t="shared" si="126"/>
        <v>#NAME?</v>
      </c>
      <c r="AH88" s="232" t="e">
        <f t="shared" si="144"/>
        <v>#NAME?</v>
      </c>
      <c r="AI88" s="232" t="e">
        <f t="shared" si="127"/>
        <v>#NAME?</v>
      </c>
      <c r="AJ88" s="232" t="e">
        <f t="shared" si="128"/>
        <v>#NAME?</v>
      </c>
      <c r="AK88" s="232" t="e">
        <f t="shared" si="129"/>
        <v>#NAME?</v>
      </c>
      <c r="AL88" s="232">
        <f t="shared" si="130"/>
        <v>0</v>
      </c>
      <c r="AM88" s="232" t="e">
        <f t="shared" si="131"/>
        <v>#NAME?</v>
      </c>
      <c r="AN88" s="232" t="e">
        <f t="shared" si="145"/>
        <v>#NAME?</v>
      </c>
      <c r="AO88" s="232" t="e">
        <f t="shared" si="112"/>
        <v>#NAME?</v>
      </c>
      <c r="AP88" s="232" t="e">
        <f t="shared" si="132"/>
        <v>#NAME?</v>
      </c>
      <c r="AQ88" s="232" t="e">
        <f t="shared" si="146"/>
        <v>#NAME?</v>
      </c>
      <c r="AR88" s="232" t="e">
        <f t="shared" si="147"/>
        <v>#NAME?</v>
      </c>
      <c r="AS88" s="232" t="e">
        <f t="shared" si="133"/>
        <v>#NAME?</v>
      </c>
      <c r="AT88" s="232">
        <f t="shared" si="113"/>
        <v>0.49199999999999994</v>
      </c>
      <c r="AU88" s="292" t="e">
        <f t="shared" si="148"/>
        <v>#NAME?</v>
      </c>
      <c r="AV88" s="235" t="e">
        <f t="shared" si="149"/>
        <v>#NAME?</v>
      </c>
      <c r="AW88" s="235" t="e">
        <f t="shared" si="150"/>
        <v>#NAME?</v>
      </c>
      <c r="AX88" s="235" t="e">
        <f t="shared" si="134"/>
        <v>#NAME?</v>
      </c>
      <c r="AY88" s="235" t="e">
        <f t="shared" si="151"/>
        <v>#NAME?</v>
      </c>
      <c r="AZ88" s="235" t="e">
        <f t="shared" si="135"/>
        <v>#NAME?</v>
      </c>
      <c r="BA88" s="235" t="e">
        <f t="shared" si="136"/>
        <v>#NAME?</v>
      </c>
      <c r="BB88" s="235" t="e">
        <f t="shared" si="114"/>
        <v>#NAME?</v>
      </c>
      <c r="BC88" s="235" t="e">
        <f t="shared" si="115"/>
        <v>#NAME?</v>
      </c>
      <c r="BD88" s="235" t="e">
        <f t="shared" si="137"/>
        <v>#NAME?</v>
      </c>
      <c r="BE88" s="235" t="e">
        <f t="shared" si="152"/>
        <v>#NAME?</v>
      </c>
      <c r="BF88" s="235" t="e">
        <f t="shared" si="153"/>
        <v>#NAME?</v>
      </c>
      <c r="BG88" s="235" t="e">
        <f t="shared" si="138"/>
        <v>#NAME?</v>
      </c>
      <c r="BH88" s="233" t="e">
        <f t="shared" si="154"/>
        <v>#NAME?</v>
      </c>
      <c r="BI88" s="175">
        <f t="shared" si="116"/>
        <v>98.399999999999991</v>
      </c>
      <c r="BJ88" s="292">
        <v>92.523634291224241</v>
      </c>
      <c r="BK88" s="235">
        <f t="shared" si="155"/>
        <v>0.92523634291224244</v>
      </c>
      <c r="BL88" s="376">
        <v>90.067959788482781</v>
      </c>
      <c r="BM88" s="294"/>
      <c r="BN88" s="387" t="e">
        <f t="shared" si="156"/>
        <v>#NAME?</v>
      </c>
      <c r="BO88" s="387" t="e">
        <f t="shared" si="157"/>
        <v>#NAME?</v>
      </c>
      <c r="BP88" s="175" t="e">
        <f t="shared" si="158"/>
        <v>#NAME?</v>
      </c>
      <c r="BQ88" s="235"/>
      <c r="BR88" s="235"/>
      <c r="BS88" s="235"/>
      <c r="BT88" s="235"/>
    </row>
    <row r="89" spans="6:72" x14ac:dyDescent="0.2">
      <c r="H89" s="173">
        <v>83</v>
      </c>
      <c r="I89" s="513">
        <f t="shared" si="104"/>
        <v>9.9599999999999994E-2</v>
      </c>
      <c r="J89" s="175" t="e">
        <f t="shared" si="105"/>
        <v>#NAME?</v>
      </c>
      <c r="K89" s="232" t="e">
        <f t="shared" si="106"/>
        <v>#NAME?</v>
      </c>
      <c r="L89" s="290" t="e">
        <f t="shared" si="117"/>
        <v>#NAME?</v>
      </c>
      <c r="M89" s="208" t="e">
        <f t="shared" si="139"/>
        <v>#NAME?</v>
      </c>
      <c r="N89" s="291" t="e">
        <f t="shared" si="107"/>
        <v>#NAME?</v>
      </c>
      <c r="O89" s="291">
        <f t="shared" si="108"/>
        <v>4.104726346103958E-5</v>
      </c>
      <c r="P89" s="233" t="e">
        <f t="shared" si="140"/>
        <v>#NAME?</v>
      </c>
      <c r="Q89" s="232" t="e">
        <f t="shared" si="109"/>
        <v>#NAME?</v>
      </c>
      <c r="R89" s="232" t="e">
        <f t="shared" si="118"/>
        <v>#NAME?</v>
      </c>
      <c r="S89" s="517" t="e">
        <f t="shared" si="110"/>
        <v>#NAME?</v>
      </c>
      <c r="T89" s="232" t="e">
        <f t="shared" si="141"/>
        <v>#NAME?</v>
      </c>
      <c r="U89" s="233" t="e">
        <f t="shared" si="111"/>
        <v>#NAME?</v>
      </c>
      <c r="V89" s="232" t="e">
        <f t="shared" si="119"/>
        <v>#NAME?</v>
      </c>
      <c r="W89" s="232" t="e">
        <f t="shared" si="142"/>
        <v>#NAME?</v>
      </c>
      <c r="X89" s="232" t="e">
        <f t="shared" si="120"/>
        <v>#NAME?</v>
      </c>
      <c r="Y89" s="234" t="e">
        <f t="shared" si="121"/>
        <v>#NAME?</v>
      </c>
      <c r="Z89" s="234" t="e">
        <f t="shared" si="143"/>
        <v>#NAME?</v>
      </c>
      <c r="AA89" s="232" t="e">
        <f t="shared" si="122"/>
        <v>#NAME?</v>
      </c>
      <c r="AB89" s="232" t="e">
        <f t="shared" si="123"/>
        <v>#NAME?</v>
      </c>
      <c r="AC89" s="232" t="e">
        <f t="shared" si="124"/>
        <v>#NAME?</v>
      </c>
      <c r="AD89">
        <v>20</v>
      </c>
      <c r="AE89" s="208">
        <v>10</v>
      </c>
      <c r="AF89" s="232" t="e">
        <f t="shared" si="125"/>
        <v>#NAME?</v>
      </c>
      <c r="AG89" s="232" t="e">
        <f t="shared" si="126"/>
        <v>#NAME?</v>
      </c>
      <c r="AH89" s="232" t="e">
        <f t="shared" si="144"/>
        <v>#NAME?</v>
      </c>
      <c r="AI89" s="232" t="e">
        <f t="shared" si="127"/>
        <v>#NAME?</v>
      </c>
      <c r="AJ89" s="232" t="e">
        <f t="shared" si="128"/>
        <v>#NAME?</v>
      </c>
      <c r="AK89" s="232" t="e">
        <f t="shared" si="129"/>
        <v>#NAME?</v>
      </c>
      <c r="AL89" s="232">
        <f t="shared" si="130"/>
        <v>0</v>
      </c>
      <c r="AM89" s="232" t="e">
        <f t="shared" si="131"/>
        <v>#NAME?</v>
      </c>
      <c r="AN89" s="232" t="e">
        <f t="shared" si="145"/>
        <v>#NAME?</v>
      </c>
      <c r="AO89" s="232" t="e">
        <f t="shared" si="112"/>
        <v>#NAME?</v>
      </c>
      <c r="AP89" s="232" t="e">
        <f t="shared" si="132"/>
        <v>#NAME?</v>
      </c>
      <c r="AQ89" s="232" t="e">
        <f t="shared" si="146"/>
        <v>#NAME?</v>
      </c>
      <c r="AR89" s="232" t="e">
        <f t="shared" si="147"/>
        <v>#NAME?</v>
      </c>
      <c r="AS89" s="232" t="e">
        <f t="shared" si="133"/>
        <v>#NAME?</v>
      </c>
      <c r="AT89" s="232">
        <f t="shared" si="113"/>
        <v>0.498</v>
      </c>
      <c r="AU89" s="292" t="e">
        <f t="shared" si="148"/>
        <v>#NAME?</v>
      </c>
      <c r="AV89" s="235" t="e">
        <f t="shared" si="149"/>
        <v>#NAME?</v>
      </c>
      <c r="AW89" s="235" t="e">
        <f t="shared" si="150"/>
        <v>#NAME?</v>
      </c>
      <c r="AX89" s="235" t="e">
        <f t="shared" si="134"/>
        <v>#NAME?</v>
      </c>
      <c r="AY89" s="235" t="e">
        <f t="shared" si="151"/>
        <v>#NAME?</v>
      </c>
      <c r="AZ89" s="235" t="e">
        <f t="shared" si="135"/>
        <v>#NAME?</v>
      </c>
      <c r="BA89" s="235" t="e">
        <f t="shared" si="136"/>
        <v>#NAME?</v>
      </c>
      <c r="BB89" s="235" t="e">
        <f t="shared" si="114"/>
        <v>#NAME?</v>
      </c>
      <c r="BC89" s="235" t="e">
        <f t="shared" si="115"/>
        <v>#NAME?</v>
      </c>
      <c r="BD89" s="235" t="e">
        <f t="shared" si="137"/>
        <v>#NAME?</v>
      </c>
      <c r="BE89" s="235" t="e">
        <f t="shared" si="152"/>
        <v>#NAME?</v>
      </c>
      <c r="BF89" s="235" t="e">
        <f t="shared" si="153"/>
        <v>#NAME?</v>
      </c>
      <c r="BG89" s="235" t="e">
        <f t="shared" si="138"/>
        <v>#NAME?</v>
      </c>
      <c r="BH89" s="233" t="e">
        <f t="shared" si="154"/>
        <v>#NAME?</v>
      </c>
      <c r="BI89" s="175">
        <f t="shared" si="116"/>
        <v>99.6</v>
      </c>
      <c r="BJ89" s="292">
        <v>92.525258311340167</v>
      </c>
      <c r="BK89" s="235">
        <f t="shared" si="155"/>
        <v>0.92525258311340164</v>
      </c>
      <c r="BL89" s="376">
        <v>90.086989971926442</v>
      </c>
      <c r="BM89" s="294"/>
      <c r="BN89" s="387" t="e">
        <f t="shared" si="156"/>
        <v>#NAME?</v>
      </c>
      <c r="BO89" s="387" t="e">
        <f t="shared" si="157"/>
        <v>#NAME?</v>
      </c>
      <c r="BP89" s="175" t="e">
        <f t="shared" si="158"/>
        <v>#NAME?</v>
      </c>
      <c r="BQ89" s="235"/>
      <c r="BR89" s="235"/>
      <c r="BS89" s="235"/>
      <c r="BT89" s="235"/>
    </row>
    <row r="90" spans="6:72" x14ac:dyDescent="0.2">
      <c r="H90" s="173">
        <v>84</v>
      </c>
      <c r="I90" s="513">
        <f t="shared" si="104"/>
        <v>0.10079999999999999</v>
      </c>
      <c r="J90" s="175" t="e">
        <f t="shared" si="105"/>
        <v>#NAME?</v>
      </c>
      <c r="K90" s="232" t="e">
        <f t="shared" si="106"/>
        <v>#NAME?</v>
      </c>
      <c r="L90" s="290" t="e">
        <f t="shared" si="117"/>
        <v>#NAME?</v>
      </c>
      <c r="M90" s="208" t="e">
        <f t="shared" si="139"/>
        <v>#NAME?</v>
      </c>
      <c r="N90" s="291" t="e">
        <f t="shared" si="107"/>
        <v>#NAME?</v>
      </c>
      <c r="O90" s="291">
        <f t="shared" si="108"/>
        <v>4.0558605562693875E-5</v>
      </c>
      <c r="P90" s="233" t="e">
        <f t="shared" si="140"/>
        <v>#NAME?</v>
      </c>
      <c r="Q90" s="232" t="e">
        <f t="shared" si="109"/>
        <v>#NAME?</v>
      </c>
      <c r="R90" s="232" t="e">
        <f t="shared" si="118"/>
        <v>#NAME?</v>
      </c>
      <c r="S90" s="517" t="e">
        <f t="shared" si="110"/>
        <v>#NAME?</v>
      </c>
      <c r="T90" s="232" t="e">
        <f t="shared" si="141"/>
        <v>#NAME?</v>
      </c>
      <c r="U90" s="233" t="e">
        <f t="shared" si="111"/>
        <v>#NAME?</v>
      </c>
      <c r="V90" s="232" t="e">
        <f t="shared" si="119"/>
        <v>#NAME?</v>
      </c>
      <c r="W90" s="232" t="e">
        <f t="shared" si="142"/>
        <v>#NAME?</v>
      </c>
      <c r="X90" s="232" t="e">
        <f t="shared" si="120"/>
        <v>#NAME?</v>
      </c>
      <c r="Y90" s="234" t="e">
        <f t="shared" si="121"/>
        <v>#NAME?</v>
      </c>
      <c r="Z90" s="234" t="e">
        <f t="shared" si="143"/>
        <v>#NAME?</v>
      </c>
      <c r="AA90" s="232" t="e">
        <f t="shared" si="122"/>
        <v>#NAME?</v>
      </c>
      <c r="AB90" s="232" t="e">
        <f t="shared" si="123"/>
        <v>#NAME?</v>
      </c>
      <c r="AC90" s="232" t="e">
        <f t="shared" si="124"/>
        <v>#NAME?</v>
      </c>
      <c r="AD90">
        <v>20</v>
      </c>
      <c r="AE90" s="208">
        <v>10</v>
      </c>
      <c r="AF90" s="232" t="e">
        <f t="shared" si="125"/>
        <v>#NAME?</v>
      </c>
      <c r="AG90" s="232" t="e">
        <f t="shared" si="126"/>
        <v>#NAME?</v>
      </c>
      <c r="AH90" s="232" t="e">
        <f t="shared" si="144"/>
        <v>#NAME?</v>
      </c>
      <c r="AI90" s="232" t="e">
        <f t="shared" si="127"/>
        <v>#NAME?</v>
      </c>
      <c r="AJ90" s="232" t="e">
        <f t="shared" si="128"/>
        <v>#NAME?</v>
      </c>
      <c r="AK90" s="232" t="e">
        <f t="shared" si="129"/>
        <v>#NAME?</v>
      </c>
      <c r="AL90" s="232">
        <f t="shared" si="130"/>
        <v>0</v>
      </c>
      <c r="AM90" s="232" t="e">
        <f t="shared" si="131"/>
        <v>#NAME?</v>
      </c>
      <c r="AN90" s="232" t="e">
        <f t="shared" si="145"/>
        <v>#NAME?</v>
      </c>
      <c r="AO90" s="232" t="e">
        <f t="shared" si="112"/>
        <v>#NAME?</v>
      </c>
      <c r="AP90" s="232" t="e">
        <f t="shared" si="132"/>
        <v>#NAME?</v>
      </c>
      <c r="AQ90" s="232" t="e">
        <f t="shared" si="146"/>
        <v>#NAME?</v>
      </c>
      <c r="AR90" s="232" t="e">
        <f t="shared" si="147"/>
        <v>#NAME?</v>
      </c>
      <c r="AS90" s="232" t="e">
        <f t="shared" si="133"/>
        <v>#NAME?</v>
      </c>
      <c r="AT90" s="232">
        <f t="shared" si="113"/>
        <v>0.50399999999999989</v>
      </c>
      <c r="AU90" s="292" t="e">
        <f t="shared" si="148"/>
        <v>#NAME?</v>
      </c>
      <c r="AV90" s="235" t="e">
        <f t="shared" si="149"/>
        <v>#NAME?</v>
      </c>
      <c r="AW90" s="235" t="e">
        <f t="shared" si="150"/>
        <v>#NAME?</v>
      </c>
      <c r="AX90" s="235" t="e">
        <f t="shared" si="134"/>
        <v>#NAME?</v>
      </c>
      <c r="AY90" s="235" t="e">
        <f t="shared" si="151"/>
        <v>#NAME?</v>
      </c>
      <c r="AZ90" s="235" t="e">
        <f t="shared" si="135"/>
        <v>#NAME?</v>
      </c>
      <c r="BA90" s="235" t="e">
        <f t="shared" si="136"/>
        <v>#NAME?</v>
      </c>
      <c r="BB90" s="235" t="e">
        <f t="shared" si="114"/>
        <v>#NAME?</v>
      </c>
      <c r="BC90" s="235" t="e">
        <f t="shared" si="115"/>
        <v>#NAME?</v>
      </c>
      <c r="BD90" s="235" t="e">
        <f t="shared" si="137"/>
        <v>#NAME?</v>
      </c>
      <c r="BE90" s="235" t="e">
        <f t="shared" si="152"/>
        <v>#NAME?</v>
      </c>
      <c r="BF90" s="235" t="e">
        <f t="shared" si="153"/>
        <v>#NAME?</v>
      </c>
      <c r="BG90" s="235" t="e">
        <f t="shared" si="138"/>
        <v>#NAME?</v>
      </c>
      <c r="BH90" s="233" t="e">
        <f t="shared" si="154"/>
        <v>#NAME?</v>
      </c>
      <c r="BI90" s="175">
        <f t="shared" si="116"/>
        <v>100.79999999999998</v>
      </c>
      <c r="BJ90" s="292">
        <v>92.526851231580764</v>
      </c>
      <c r="BK90" s="235">
        <f t="shared" si="155"/>
        <v>0.92526851231580765</v>
      </c>
      <c r="BL90" s="376">
        <v>90.104596416780069</v>
      </c>
      <c r="BM90" s="294"/>
      <c r="BN90" s="387" t="e">
        <f t="shared" si="156"/>
        <v>#NAME?</v>
      </c>
      <c r="BO90" s="387" t="e">
        <f t="shared" si="157"/>
        <v>#NAME?</v>
      </c>
      <c r="BP90" s="175" t="e">
        <f t="shared" si="158"/>
        <v>#NAME?</v>
      </c>
      <c r="BQ90" s="235"/>
      <c r="BR90" s="235"/>
      <c r="BS90" s="235"/>
      <c r="BT90" s="235"/>
    </row>
    <row r="91" spans="6:72" x14ac:dyDescent="0.2">
      <c r="H91" s="173">
        <v>85</v>
      </c>
      <c r="I91" s="513">
        <f t="shared" si="104"/>
        <v>0.10199999999999999</v>
      </c>
      <c r="J91" s="175" t="e">
        <f t="shared" si="105"/>
        <v>#NAME?</v>
      </c>
      <c r="K91" s="232" t="e">
        <f t="shared" si="106"/>
        <v>#NAME?</v>
      </c>
      <c r="L91" s="290" t="e">
        <f t="shared" si="117"/>
        <v>#NAME?</v>
      </c>
      <c r="M91" s="208" t="e">
        <f t="shared" si="139"/>
        <v>#NAME?</v>
      </c>
      <c r="N91" s="291" t="e">
        <f t="shared" si="107"/>
        <v>#NAME?</v>
      </c>
      <c r="O91" s="291">
        <f t="shared" si="108"/>
        <v>4.0081445497250416E-5</v>
      </c>
      <c r="P91" s="233" t="e">
        <f t="shared" si="140"/>
        <v>#NAME?</v>
      </c>
      <c r="Q91" s="232" t="e">
        <f t="shared" si="109"/>
        <v>#NAME?</v>
      </c>
      <c r="R91" s="232" t="e">
        <f t="shared" si="118"/>
        <v>#NAME?</v>
      </c>
      <c r="S91" s="517" t="e">
        <f t="shared" si="110"/>
        <v>#NAME?</v>
      </c>
      <c r="T91" s="232" t="e">
        <f t="shared" si="141"/>
        <v>#NAME?</v>
      </c>
      <c r="U91" s="233" t="e">
        <f t="shared" si="111"/>
        <v>#NAME?</v>
      </c>
      <c r="V91" s="232" t="e">
        <f t="shared" si="119"/>
        <v>#NAME?</v>
      </c>
      <c r="W91" s="232" t="e">
        <f t="shared" si="142"/>
        <v>#NAME?</v>
      </c>
      <c r="X91" s="232" t="e">
        <f t="shared" si="120"/>
        <v>#NAME?</v>
      </c>
      <c r="Y91" s="234" t="e">
        <f t="shared" si="121"/>
        <v>#NAME?</v>
      </c>
      <c r="Z91" s="234" t="e">
        <f t="shared" si="143"/>
        <v>#NAME?</v>
      </c>
      <c r="AA91" s="232" t="e">
        <f t="shared" si="122"/>
        <v>#NAME?</v>
      </c>
      <c r="AB91" s="232" t="e">
        <f t="shared" si="123"/>
        <v>#NAME?</v>
      </c>
      <c r="AC91" s="232" t="e">
        <f t="shared" si="124"/>
        <v>#NAME?</v>
      </c>
      <c r="AD91">
        <v>20</v>
      </c>
      <c r="AE91" s="208">
        <v>10</v>
      </c>
      <c r="AF91" s="232" t="e">
        <f t="shared" si="125"/>
        <v>#NAME?</v>
      </c>
      <c r="AG91" s="232" t="e">
        <f t="shared" si="126"/>
        <v>#NAME?</v>
      </c>
      <c r="AH91" s="232" t="e">
        <f t="shared" si="144"/>
        <v>#NAME?</v>
      </c>
      <c r="AI91" s="232" t="e">
        <f t="shared" si="127"/>
        <v>#NAME?</v>
      </c>
      <c r="AJ91" s="232" t="e">
        <f t="shared" si="128"/>
        <v>#NAME?</v>
      </c>
      <c r="AK91" s="232" t="e">
        <f t="shared" si="129"/>
        <v>#NAME?</v>
      </c>
      <c r="AL91" s="232">
        <f t="shared" si="130"/>
        <v>0</v>
      </c>
      <c r="AM91" s="232" t="e">
        <f t="shared" si="131"/>
        <v>#NAME?</v>
      </c>
      <c r="AN91" s="232" t="e">
        <f t="shared" si="145"/>
        <v>#NAME?</v>
      </c>
      <c r="AO91" s="232" t="e">
        <f t="shared" si="112"/>
        <v>#NAME?</v>
      </c>
      <c r="AP91" s="232" t="e">
        <f t="shared" si="132"/>
        <v>#NAME?</v>
      </c>
      <c r="AQ91" s="232" t="e">
        <f t="shared" si="146"/>
        <v>#NAME?</v>
      </c>
      <c r="AR91" s="232" t="e">
        <f t="shared" si="147"/>
        <v>#NAME?</v>
      </c>
      <c r="AS91" s="232" t="e">
        <f t="shared" si="133"/>
        <v>#NAME?</v>
      </c>
      <c r="AT91" s="232">
        <f t="shared" si="113"/>
        <v>0.51</v>
      </c>
      <c r="AU91" s="292" t="e">
        <f t="shared" si="148"/>
        <v>#NAME?</v>
      </c>
      <c r="AV91" s="235" t="e">
        <f t="shared" si="149"/>
        <v>#NAME?</v>
      </c>
      <c r="AW91" s="235" t="e">
        <f t="shared" si="150"/>
        <v>#NAME?</v>
      </c>
      <c r="AX91" s="235" t="e">
        <f t="shared" si="134"/>
        <v>#NAME?</v>
      </c>
      <c r="AY91" s="235" t="e">
        <f t="shared" si="151"/>
        <v>#NAME?</v>
      </c>
      <c r="AZ91" s="235" t="e">
        <f t="shared" si="135"/>
        <v>#NAME?</v>
      </c>
      <c r="BA91" s="235" t="e">
        <f t="shared" si="136"/>
        <v>#NAME?</v>
      </c>
      <c r="BB91" s="235" t="e">
        <f t="shared" si="114"/>
        <v>#NAME?</v>
      </c>
      <c r="BC91" s="235" t="e">
        <f t="shared" si="115"/>
        <v>#NAME?</v>
      </c>
      <c r="BD91" s="235" t="e">
        <f t="shared" si="137"/>
        <v>#NAME?</v>
      </c>
      <c r="BE91" s="235" t="e">
        <f t="shared" si="152"/>
        <v>#NAME?</v>
      </c>
      <c r="BF91" s="235" t="e">
        <f t="shared" si="153"/>
        <v>#NAME?</v>
      </c>
      <c r="BG91" s="235" t="e">
        <f t="shared" si="138"/>
        <v>#NAME?</v>
      </c>
      <c r="BH91" s="233" t="e">
        <f t="shared" si="154"/>
        <v>#NAME?</v>
      </c>
      <c r="BI91" s="175">
        <f t="shared" si="116"/>
        <v>102</v>
      </c>
      <c r="BJ91" s="292">
        <v>92.528414147825814</v>
      </c>
      <c r="BK91" s="235">
        <f t="shared" si="155"/>
        <v>0.9252841414782581</v>
      </c>
      <c r="BL91" s="376">
        <v>90.120927158053377</v>
      </c>
      <c r="BM91" s="294"/>
      <c r="BN91" s="387" t="e">
        <f t="shared" si="156"/>
        <v>#NAME?</v>
      </c>
      <c r="BO91" s="387" t="e">
        <f t="shared" si="157"/>
        <v>#NAME?</v>
      </c>
      <c r="BP91" s="175" t="e">
        <f t="shared" si="158"/>
        <v>#NAME?</v>
      </c>
      <c r="BQ91" s="235"/>
      <c r="BR91" s="235"/>
      <c r="BS91" s="235"/>
      <c r="BT91" s="235"/>
    </row>
    <row r="92" spans="6:72" x14ac:dyDescent="0.2">
      <c r="H92" s="173">
        <v>86</v>
      </c>
      <c r="I92" s="513">
        <f t="shared" si="104"/>
        <v>0.1032</v>
      </c>
      <c r="J92" s="175" t="e">
        <f t="shared" si="105"/>
        <v>#NAME?</v>
      </c>
      <c r="K92" s="232" t="e">
        <f t="shared" si="106"/>
        <v>#NAME?</v>
      </c>
      <c r="L92" s="290" t="e">
        <f t="shared" si="117"/>
        <v>#NAME?</v>
      </c>
      <c r="M92" s="208" t="e">
        <f t="shared" si="139"/>
        <v>#NAME?</v>
      </c>
      <c r="N92" s="291" t="e">
        <f t="shared" si="107"/>
        <v>#NAME?</v>
      </c>
      <c r="O92" s="291">
        <f t="shared" si="108"/>
        <v>3.9615382177514942E-5</v>
      </c>
      <c r="P92" s="233" t="e">
        <f t="shared" si="140"/>
        <v>#NAME?</v>
      </c>
      <c r="Q92" s="232" t="e">
        <f t="shared" si="109"/>
        <v>#NAME?</v>
      </c>
      <c r="R92" s="232" t="e">
        <f t="shared" si="118"/>
        <v>#NAME?</v>
      </c>
      <c r="S92" s="517" t="e">
        <f t="shared" si="110"/>
        <v>#NAME?</v>
      </c>
      <c r="T92" s="232" t="e">
        <f t="shared" si="141"/>
        <v>#NAME?</v>
      </c>
      <c r="U92" s="233" t="e">
        <f t="shared" si="111"/>
        <v>#NAME?</v>
      </c>
      <c r="V92" s="232" t="e">
        <f t="shared" si="119"/>
        <v>#NAME?</v>
      </c>
      <c r="W92" s="232" t="e">
        <f t="shared" si="142"/>
        <v>#NAME?</v>
      </c>
      <c r="X92" s="232" t="e">
        <f t="shared" si="120"/>
        <v>#NAME?</v>
      </c>
      <c r="Y92" s="234" t="e">
        <f t="shared" si="121"/>
        <v>#NAME?</v>
      </c>
      <c r="Z92" s="234" t="e">
        <f t="shared" si="143"/>
        <v>#NAME?</v>
      </c>
      <c r="AA92" s="232" t="e">
        <f t="shared" si="122"/>
        <v>#NAME?</v>
      </c>
      <c r="AB92" s="232" t="e">
        <f t="shared" si="123"/>
        <v>#NAME?</v>
      </c>
      <c r="AC92" s="232" t="e">
        <f t="shared" si="124"/>
        <v>#NAME?</v>
      </c>
      <c r="AD92">
        <v>20</v>
      </c>
      <c r="AE92" s="208">
        <v>10</v>
      </c>
      <c r="AF92" s="232" t="e">
        <f t="shared" si="125"/>
        <v>#NAME?</v>
      </c>
      <c r="AG92" s="232" t="e">
        <f t="shared" si="126"/>
        <v>#NAME?</v>
      </c>
      <c r="AH92" s="232" t="e">
        <f t="shared" si="144"/>
        <v>#NAME?</v>
      </c>
      <c r="AI92" s="232" t="e">
        <f t="shared" si="127"/>
        <v>#NAME?</v>
      </c>
      <c r="AJ92" s="232" t="e">
        <f t="shared" si="128"/>
        <v>#NAME?</v>
      </c>
      <c r="AK92" s="232" t="e">
        <f t="shared" si="129"/>
        <v>#NAME?</v>
      </c>
      <c r="AL92" s="232">
        <f t="shared" si="130"/>
        <v>0</v>
      </c>
      <c r="AM92" s="232" t="e">
        <f t="shared" si="131"/>
        <v>#NAME?</v>
      </c>
      <c r="AN92" s="232" t="e">
        <f t="shared" si="145"/>
        <v>#NAME?</v>
      </c>
      <c r="AO92" s="232" t="e">
        <f t="shared" si="112"/>
        <v>#NAME?</v>
      </c>
      <c r="AP92" s="232" t="e">
        <f t="shared" si="132"/>
        <v>#NAME?</v>
      </c>
      <c r="AQ92" s="232" t="e">
        <f t="shared" si="146"/>
        <v>#NAME?</v>
      </c>
      <c r="AR92" s="232" t="e">
        <f t="shared" si="147"/>
        <v>#NAME?</v>
      </c>
      <c r="AS92" s="232" t="e">
        <f t="shared" si="133"/>
        <v>#NAME?</v>
      </c>
      <c r="AT92" s="232">
        <f t="shared" si="113"/>
        <v>0.51600000000000001</v>
      </c>
      <c r="AU92" s="292" t="e">
        <f t="shared" si="148"/>
        <v>#NAME?</v>
      </c>
      <c r="AV92" s="235" t="e">
        <f t="shared" si="149"/>
        <v>#NAME?</v>
      </c>
      <c r="AW92" s="235" t="e">
        <f t="shared" si="150"/>
        <v>#NAME?</v>
      </c>
      <c r="AX92" s="235" t="e">
        <f t="shared" si="134"/>
        <v>#NAME?</v>
      </c>
      <c r="AY92" s="235" t="e">
        <f t="shared" si="151"/>
        <v>#NAME?</v>
      </c>
      <c r="AZ92" s="235" t="e">
        <f t="shared" si="135"/>
        <v>#NAME?</v>
      </c>
      <c r="BA92" s="235" t="e">
        <f t="shared" si="136"/>
        <v>#NAME?</v>
      </c>
      <c r="BB92" s="235" t="e">
        <f t="shared" si="114"/>
        <v>#NAME?</v>
      </c>
      <c r="BC92" s="235" t="e">
        <f t="shared" si="115"/>
        <v>#NAME?</v>
      </c>
      <c r="BD92" s="235" t="e">
        <f t="shared" si="137"/>
        <v>#NAME?</v>
      </c>
      <c r="BE92" s="235" t="e">
        <f t="shared" si="152"/>
        <v>#NAME?</v>
      </c>
      <c r="BF92" s="235" t="e">
        <f t="shared" si="153"/>
        <v>#NAME?</v>
      </c>
      <c r="BG92" s="235" t="e">
        <f t="shared" si="138"/>
        <v>#NAME?</v>
      </c>
      <c r="BH92" s="233" t="e">
        <f t="shared" si="154"/>
        <v>#NAME?</v>
      </c>
      <c r="BI92" s="175">
        <f t="shared" si="116"/>
        <v>103.2</v>
      </c>
      <c r="BJ92" s="292">
        <v>92.529948104888888</v>
      </c>
      <c r="BK92" s="235">
        <f t="shared" si="155"/>
        <v>0.92529948104888893</v>
      </c>
      <c r="BL92" s="376">
        <v>90.136119720016168</v>
      </c>
      <c r="BM92" s="294"/>
      <c r="BN92" s="387" t="e">
        <f t="shared" si="156"/>
        <v>#NAME?</v>
      </c>
      <c r="BO92" s="387" t="e">
        <f t="shared" si="157"/>
        <v>#NAME?</v>
      </c>
      <c r="BP92" s="175" t="e">
        <f t="shared" si="158"/>
        <v>#NAME?</v>
      </c>
      <c r="BQ92" s="235"/>
      <c r="BR92" s="235"/>
      <c r="BS92" s="235"/>
      <c r="BT92" s="235"/>
    </row>
    <row r="93" spans="6:72" x14ac:dyDescent="0.2">
      <c r="H93" s="173">
        <v>87</v>
      </c>
      <c r="I93" s="513">
        <f t="shared" si="104"/>
        <v>0.10439999999999999</v>
      </c>
      <c r="J93" s="175" t="e">
        <f t="shared" si="105"/>
        <v>#NAME?</v>
      </c>
      <c r="K93" s="232" t="e">
        <f t="shared" si="106"/>
        <v>#NAME?</v>
      </c>
      <c r="L93" s="290" t="e">
        <f t="shared" si="117"/>
        <v>#NAME?</v>
      </c>
      <c r="M93" s="208" t="e">
        <f t="shared" si="139"/>
        <v>#NAME?</v>
      </c>
      <c r="N93" s="291" t="e">
        <f t="shared" si="107"/>
        <v>#NAME?</v>
      </c>
      <c r="O93" s="291">
        <f t="shared" si="108"/>
        <v>3.9160032957083735E-5</v>
      </c>
      <c r="P93" s="233" t="e">
        <f t="shared" si="140"/>
        <v>#NAME?</v>
      </c>
      <c r="Q93" s="232" t="e">
        <f t="shared" si="109"/>
        <v>#NAME?</v>
      </c>
      <c r="R93" s="232" t="e">
        <f t="shared" si="118"/>
        <v>#NAME?</v>
      </c>
      <c r="S93" s="517" t="e">
        <f t="shared" si="110"/>
        <v>#NAME?</v>
      </c>
      <c r="T93" s="232" t="e">
        <f t="shared" si="141"/>
        <v>#NAME?</v>
      </c>
      <c r="U93" s="233" t="e">
        <f t="shared" si="111"/>
        <v>#NAME?</v>
      </c>
      <c r="V93" s="232" t="e">
        <f t="shared" si="119"/>
        <v>#NAME?</v>
      </c>
      <c r="W93" s="232" t="e">
        <f t="shared" si="142"/>
        <v>#NAME?</v>
      </c>
      <c r="X93" s="232" t="e">
        <f t="shared" si="120"/>
        <v>#NAME?</v>
      </c>
      <c r="Y93" s="234" t="e">
        <f t="shared" si="121"/>
        <v>#NAME?</v>
      </c>
      <c r="Z93" s="234" t="e">
        <f t="shared" si="143"/>
        <v>#NAME?</v>
      </c>
      <c r="AA93" s="232" t="e">
        <f t="shared" si="122"/>
        <v>#NAME?</v>
      </c>
      <c r="AB93" s="232" t="e">
        <f t="shared" si="123"/>
        <v>#NAME?</v>
      </c>
      <c r="AC93" s="232" t="e">
        <f t="shared" si="124"/>
        <v>#NAME?</v>
      </c>
      <c r="AD93">
        <v>20</v>
      </c>
      <c r="AE93" s="208">
        <v>10</v>
      </c>
      <c r="AF93" s="232" t="e">
        <f t="shared" si="125"/>
        <v>#NAME?</v>
      </c>
      <c r="AG93" s="232" t="e">
        <f t="shared" si="126"/>
        <v>#NAME?</v>
      </c>
      <c r="AH93" s="232" t="e">
        <f t="shared" si="144"/>
        <v>#NAME?</v>
      </c>
      <c r="AI93" s="232" t="e">
        <f t="shared" si="127"/>
        <v>#NAME?</v>
      </c>
      <c r="AJ93" s="232" t="e">
        <f t="shared" si="128"/>
        <v>#NAME?</v>
      </c>
      <c r="AK93" s="232" t="e">
        <f t="shared" si="129"/>
        <v>#NAME?</v>
      </c>
      <c r="AL93" s="232">
        <f t="shared" si="130"/>
        <v>0</v>
      </c>
      <c r="AM93" s="232" t="e">
        <f t="shared" si="131"/>
        <v>#NAME?</v>
      </c>
      <c r="AN93" s="232" t="e">
        <f t="shared" si="145"/>
        <v>#NAME?</v>
      </c>
      <c r="AO93" s="232" t="e">
        <f t="shared" si="112"/>
        <v>#NAME?</v>
      </c>
      <c r="AP93" s="232" t="e">
        <f t="shared" si="132"/>
        <v>#NAME?</v>
      </c>
      <c r="AQ93" s="232" t="e">
        <f t="shared" si="146"/>
        <v>#NAME?</v>
      </c>
      <c r="AR93" s="232" t="e">
        <f t="shared" si="147"/>
        <v>#NAME?</v>
      </c>
      <c r="AS93" s="232" t="e">
        <f t="shared" si="133"/>
        <v>#NAME?</v>
      </c>
      <c r="AT93" s="232">
        <f t="shared" si="113"/>
        <v>0.52200000000000002</v>
      </c>
      <c r="AU93" s="292" t="e">
        <f t="shared" si="148"/>
        <v>#NAME?</v>
      </c>
      <c r="AV93" s="235" t="e">
        <f t="shared" si="149"/>
        <v>#NAME?</v>
      </c>
      <c r="AW93" s="235" t="e">
        <f t="shared" si="150"/>
        <v>#NAME?</v>
      </c>
      <c r="AX93" s="235" t="e">
        <f t="shared" si="134"/>
        <v>#NAME?</v>
      </c>
      <c r="AY93" s="235" t="e">
        <f t="shared" si="151"/>
        <v>#NAME?</v>
      </c>
      <c r="AZ93" s="235" t="e">
        <f t="shared" si="135"/>
        <v>#NAME?</v>
      </c>
      <c r="BA93" s="235" t="e">
        <f t="shared" si="136"/>
        <v>#NAME?</v>
      </c>
      <c r="BB93" s="235" t="e">
        <f t="shared" si="114"/>
        <v>#NAME?</v>
      </c>
      <c r="BC93" s="235" t="e">
        <f t="shared" si="115"/>
        <v>#NAME?</v>
      </c>
      <c r="BD93" s="235" t="e">
        <f t="shared" si="137"/>
        <v>#NAME?</v>
      </c>
      <c r="BE93" s="235" t="e">
        <f t="shared" si="152"/>
        <v>#NAME?</v>
      </c>
      <c r="BF93" s="235" t="e">
        <f t="shared" si="153"/>
        <v>#NAME?</v>
      </c>
      <c r="BG93" s="235" t="e">
        <f t="shared" si="138"/>
        <v>#NAME?</v>
      </c>
      <c r="BH93" s="233" t="e">
        <f t="shared" si="154"/>
        <v>#NAME?</v>
      </c>
      <c r="BI93" s="175">
        <f t="shared" si="116"/>
        <v>104.39999999999999</v>
      </c>
      <c r="BJ93" s="292">
        <v>92.53145409944392</v>
      </c>
      <c r="BK93" s="235">
        <f t="shared" si="155"/>
        <v>0.92531454099443922</v>
      </c>
      <c r="BL93" s="376">
        <v>90.150302251128011</v>
      </c>
      <c r="BM93" s="294"/>
      <c r="BN93" s="387" t="e">
        <f t="shared" si="156"/>
        <v>#NAME?</v>
      </c>
      <c r="BO93" s="387" t="e">
        <f t="shared" si="157"/>
        <v>#NAME?</v>
      </c>
      <c r="BP93" s="175" t="e">
        <f t="shared" si="158"/>
        <v>#NAME?</v>
      </c>
      <c r="BQ93" s="235"/>
      <c r="BR93" s="235"/>
      <c r="BS93" s="235"/>
      <c r="BT93" s="235"/>
    </row>
    <row r="94" spans="6:72" x14ac:dyDescent="0.2">
      <c r="F94" s="316" t="s">
        <v>393</v>
      </c>
      <c r="G94" s="316" t="s">
        <v>394</v>
      </c>
      <c r="H94" s="173">
        <v>88</v>
      </c>
      <c r="I94" s="513">
        <f t="shared" si="104"/>
        <v>0.1056</v>
      </c>
      <c r="J94" s="175" t="e">
        <f t="shared" si="105"/>
        <v>#NAME?</v>
      </c>
      <c r="K94" s="232" t="e">
        <f t="shared" si="106"/>
        <v>#NAME?</v>
      </c>
      <c r="L94" s="290" t="e">
        <f t="shared" si="117"/>
        <v>#NAME?</v>
      </c>
      <c r="M94" s="208" t="e">
        <f t="shared" si="139"/>
        <v>#NAME?</v>
      </c>
      <c r="N94" s="291" t="e">
        <f t="shared" si="107"/>
        <v>#NAME?</v>
      </c>
      <c r="O94" s="291">
        <f t="shared" si="108"/>
        <v>3.8715032582571418E-5</v>
      </c>
      <c r="P94" s="233" t="e">
        <f t="shared" si="140"/>
        <v>#NAME?</v>
      </c>
      <c r="Q94" s="232" t="e">
        <f t="shared" si="109"/>
        <v>#NAME?</v>
      </c>
      <c r="R94" s="232" t="e">
        <f t="shared" si="118"/>
        <v>#NAME?</v>
      </c>
      <c r="S94" s="517" t="e">
        <f t="shared" si="110"/>
        <v>#NAME?</v>
      </c>
      <c r="T94" s="232" t="e">
        <f t="shared" si="141"/>
        <v>#NAME?</v>
      </c>
      <c r="U94" s="233" t="e">
        <f t="shared" si="111"/>
        <v>#NAME?</v>
      </c>
      <c r="V94" s="232" t="e">
        <f t="shared" si="119"/>
        <v>#NAME?</v>
      </c>
      <c r="W94" s="232" t="e">
        <f t="shared" si="142"/>
        <v>#NAME?</v>
      </c>
      <c r="X94" s="232" t="e">
        <f t="shared" si="120"/>
        <v>#NAME?</v>
      </c>
      <c r="Y94" s="234" t="e">
        <f t="shared" si="121"/>
        <v>#NAME?</v>
      </c>
      <c r="Z94" s="234" t="e">
        <f t="shared" si="143"/>
        <v>#NAME?</v>
      </c>
      <c r="AA94" s="232" t="e">
        <f t="shared" si="122"/>
        <v>#NAME?</v>
      </c>
      <c r="AB94" s="232" t="e">
        <f t="shared" si="123"/>
        <v>#NAME?</v>
      </c>
      <c r="AC94" s="232" t="e">
        <f t="shared" si="124"/>
        <v>#NAME?</v>
      </c>
      <c r="AD94">
        <v>20</v>
      </c>
      <c r="AE94" s="208">
        <v>10</v>
      </c>
      <c r="AF94" s="232" t="e">
        <f t="shared" si="125"/>
        <v>#NAME?</v>
      </c>
      <c r="AG94" s="232" t="e">
        <f t="shared" si="126"/>
        <v>#NAME?</v>
      </c>
      <c r="AH94" s="232" t="e">
        <f t="shared" si="144"/>
        <v>#NAME?</v>
      </c>
      <c r="AI94" s="232" t="e">
        <f t="shared" si="127"/>
        <v>#NAME?</v>
      </c>
      <c r="AJ94" s="232" t="e">
        <f t="shared" si="128"/>
        <v>#NAME?</v>
      </c>
      <c r="AK94" s="232" t="e">
        <f t="shared" si="129"/>
        <v>#NAME?</v>
      </c>
      <c r="AL94" s="232">
        <f t="shared" si="130"/>
        <v>0</v>
      </c>
      <c r="AM94" s="232" t="e">
        <f t="shared" si="131"/>
        <v>#NAME?</v>
      </c>
      <c r="AN94" s="232" t="e">
        <f t="shared" si="145"/>
        <v>#NAME?</v>
      </c>
      <c r="AO94" s="232" t="e">
        <f t="shared" si="112"/>
        <v>#NAME?</v>
      </c>
      <c r="AP94" s="232" t="e">
        <f t="shared" si="132"/>
        <v>#NAME?</v>
      </c>
      <c r="AQ94" s="232" t="e">
        <f t="shared" si="146"/>
        <v>#NAME?</v>
      </c>
      <c r="AR94" s="232" t="e">
        <f t="shared" si="147"/>
        <v>#NAME?</v>
      </c>
      <c r="AS94" s="232" t="e">
        <f t="shared" si="133"/>
        <v>#NAME?</v>
      </c>
      <c r="AT94" s="232">
        <f t="shared" si="113"/>
        <v>0.52800000000000002</v>
      </c>
      <c r="AU94" s="292" t="e">
        <f t="shared" si="148"/>
        <v>#NAME?</v>
      </c>
      <c r="AV94" s="235" t="e">
        <f t="shared" si="149"/>
        <v>#NAME?</v>
      </c>
      <c r="AW94" s="235" t="e">
        <f t="shared" si="150"/>
        <v>#NAME?</v>
      </c>
      <c r="AX94" s="235" t="e">
        <f t="shared" si="134"/>
        <v>#NAME?</v>
      </c>
      <c r="AY94" s="235" t="e">
        <f t="shared" si="151"/>
        <v>#NAME?</v>
      </c>
      <c r="AZ94" s="235" t="e">
        <f t="shared" si="135"/>
        <v>#NAME?</v>
      </c>
      <c r="BA94" s="235" t="e">
        <f t="shared" si="136"/>
        <v>#NAME?</v>
      </c>
      <c r="BB94" s="235" t="e">
        <f t="shared" si="114"/>
        <v>#NAME?</v>
      </c>
      <c r="BC94" s="235" t="e">
        <f t="shared" si="115"/>
        <v>#NAME?</v>
      </c>
      <c r="BD94" s="235" t="e">
        <f t="shared" si="137"/>
        <v>#NAME?</v>
      </c>
      <c r="BE94" s="235" t="e">
        <f t="shared" si="152"/>
        <v>#NAME?</v>
      </c>
      <c r="BF94" s="235" t="e">
        <f t="shared" si="153"/>
        <v>#NAME?</v>
      </c>
      <c r="BG94" s="235" t="e">
        <f t="shared" si="138"/>
        <v>#NAME?</v>
      </c>
      <c r="BH94" s="233" t="e">
        <f t="shared" si="154"/>
        <v>#NAME?</v>
      </c>
      <c r="BI94" s="175">
        <f t="shared" si="116"/>
        <v>105.6</v>
      </c>
      <c r="BJ94" s="292">
        <v>92.532933082752166</v>
      </c>
      <c r="BK94" s="235">
        <f t="shared" si="155"/>
        <v>0.92532933082752167</v>
      </c>
      <c r="BL94" s="376">
        <v>90.163594589142591</v>
      </c>
      <c r="BM94" s="294"/>
      <c r="BN94" s="387" t="e">
        <f t="shared" si="156"/>
        <v>#NAME?</v>
      </c>
      <c r="BO94" s="387" t="e">
        <f t="shared" si="157"/>
        <v>#NAME?</v>
      </c>
      <c r="BP94" s="175" t="e">
        <f t="shared" si="158"/>
        <v>#NAME?</v>
      </c>
      <c r="BQ94" s="235"/>
      <c r="BR94" s="235"/>
      <c r="BS94" s="235"/>
      <c r="BT94" s="235"/>
    </row>
    <row r="95" spans="6:72" x14ac:dyDescent="0.2">
      <c r="F95" s="340" t="e">
        <f>AU56</f>
        <v>#NAME?</v>
      </c>
      <c r="G95" s="341">
        <f>I56*1000</f>
        <v>60</v>
      </c>
      <c r="H95" s="173">
        <v>89</v>
      </c>
      <c r="I95" s="513">
        <f t="shared" si="104"/>
        <v>0.10679999999999999</v>
      </c>
      <c r="J95" s="175" t="e">
        <f t="shared" si="105"/>
        <v>#NAME?</v>
      </c>
      <c r="K95" s="232" t="e">
        <f t="shared" si="106"/>
        <v>#NAME?</v>
      </c>
      <c r="L95" s="290" t="e">
        <f t="shared" si="117"/>
        <v>#NAME?</v>
      </c>
      <c r="M95" s="208" t="e">
        <f t="shared" si="139"/>
        <v>#NAME?</v>
      </c>
      <c r="N95" s="291" t="e">
        <f t="shared" si="107"/>
        <v>#NAME?</v>
      </c>
      <c r="O95" s="291">
        <f t="shared" si="108"/>
        <v>3.8280032216475113E-5</v>
      </c>
      <c r="P95" s="233" t="e">
        <f t="shared" si="140"/>
        <v>#NAME?</v>
      </c>
      <c r="Q95" s="232" t="e">
        <f t="shared" si="109"/>
        <v>#NAME?</v>
      </c>
      <c r="R95" s="232" t="e">
        <f t="shared" si="118"/>
        <v>#NAME?</v>
      </c>
      <c r="S95" s="517" t="e">
        <f t="shared" si="110"/>
        <v>#NAME?</v>
      </c>
      <c r="T95" s="232" t="e">
        <f t="shared" si="141"/>
        <v>#NAME?</v>
      </c>
      <c r="U95" s="233" t="e">
        <f t="shared" si="111"/>
        <v>#NAME?</v>
      </c>
      <c r="V95" s="232" t="e">
        <f t="shared" si="119"/>
        <v>#NAME?</v>
      </c>
      <c r="W95" s="232" t="e">
        <f t="shared" si="142"/>
        <v>#NAME?</v>
      </c>
      <c r="X95" s="232" t="e">
        <f t="shared" si="120"/>
        <v>#NAME?</v>
      </c>
      <c r="Y95" s="234" t="e">
        <f t="shared" si="121"/>
        <v>#NAME?</v>
      </c>
      <c r="Z95" s="234" t="e">
        <f t="shared" si="143"/>
        <v>#NAME?</v>
      </c>
      <c r="AA95" s="232" t="e">
        <f t="shared" si="122"/>
        <v>#NAME?</v>
      </c>
      <c r="AB95" s="232" t="e">
        <f t="shared" si="123"/>
        <v>#NAME?</v>
      </c>
      <c r="AC95" s="232" t="e">
        <f t="shared" si="124"/>
        <v>#NAME?</v>
      </c>
      <c r="AD95">
        <v>20</v>
      </c>
      <c r="AE95" s="208">
        <v>10</v>
      </c>
      <c r="AF95" s="232" t="e">
        <f t="shared" si="125"/>
        <v>#NAME?</v>
      </c>
      <c r="AG95" s="232" t="e">
        <f t="shared" si="126"/>
        <v>#NAME?</v>
      </c>
      <c r="AH95" s="232" t="e">
        <f t="shared" si="144"/>
        <v>#NAME?</v>
      </c>
      <c r="AI95" s="232" t="e">
        <f t="shared" si="127"/>
        <v>#NAME?</v>
      </c>
      <c r="AJ95" s="232" t="e">
        <f t="shared" si="128"/>
        <v>#NAME?</v>
      </c>
      <c r="AK95" s="232" t="e">
        <f t="shared" si="129"/>
        <v>#NAME?</v>
      </c>
      <c r="AL95" s="232">
        <f t="shared" si="130"/>
        <v>0</v>
      </c>
      <c r="AM95" s="232" t="e">
        <f t="shared" si="131"/>
        <v>#NAME?</v>
      </c>
      <c r="AN95" s="232" t="e">
        <f t="shared" si="145"/>
        <v>#NAME?</v>
      </c>
      <c r="AO95" s="232" t="e">
        <f t="shared" si="112"/>
        <v>#NAME?</v>
      </c>
      <c r="AP95" s="232" t="e">
        <f t="shared" si="132"/>
        <v>#NAME?</v>
      </c>
      <c r="AQ95" s="232" t="e">
        <f t="shared" si="146"/>
        <v>#NAME?</v>
      </c>
      <c r="AR95" s="232" t="e">
        <f t="shared" si="147"/>
        <v>#NAME?</v>
      </c>
      <c r="AS95" s="232" t="e">
        <f t="shared" si="133"/>
        <v>#NAME?</v>
      </c>
      <c r="AT95" s="232">
        <f t="shared" si="113"/>
        <v>0.53399999999999992</v>
      </c>
      <c r="AU95" s="292" t="e">
        <f t="shared" si="148"/>
        <v>#NAME?</v>
      </c>
      <c r="AV95" s="235" t="e">
        <f t="shared" si="149"/>
        <v>#NAME?</v>
      </c>
      <c r="AW95" s="235" t="e">
        <f t="shared" si="150"/>
        <v>#NAME?</v>
      </c>
      <c r="AX95" s="235" t="e">
        <f t="shared" si="134"/>
        <v>#NAME?</v>
      </c>
      <c r="AY95" s="235" t="e">
        <f t="shared" si="151"/>
        <v>#NAME?</v>
      </c>
      <c r="AZ95" s="235" t="e">
        <f t="shared" si="135"/>
        <v>#NAME?</v>
      </c>
      <c r="BA95" s="235" t="e">
        <f t="shared" si="136"/>
        <v>#NAME?</v>
      </c>
      <c r="BB95" s="235" t="e">
        <f t="shared" si="114"/>
        <v>#NAME?</v>
      </c>
      <c r="BC95" s="235" t="e">
        <f t="shared" si="115"/>
        <v>#NAME?</v>
      </c>
      <c r="BD95" s="235" t="e">
        <f t="shared" si="137"/>
        <v>#NAME?</v>
      </c>
      <c r="BE95" s="235" t="e">
        <f t="shared" si="152"/>
        <v>#NAME?</v>
      </c>
      <c r="BF95" s="235" t="e">
        <f t="shared" si="153"/>
        <v>#NAME?</v>
      </c>
      <c r="BG95" s="235" t="e">
        <f t="shared" si="138"/>
        <v>#NAME?</v>
      </c>
      <c r="BH95" s="233" t="e">
        <f t="shared" si="154"/>
        <v>#NAME?</v>
      </c>
      <c r="BI95" s="175">
        <f t="shared" si="116"/>
        <v>106.8</v>
      </c>
      <c r="BJ95" s="292">
        <v>92.534385963205779</v>
      </c>
      <c r="BK95" s="235">
        <f t="shared" si="155"/>
        <v>0.92534385963205779</v>
      </c>
      <c r="BL95" s="376">
        <v>90.176109263921944</v>
      </c>
      <c r="BM95" s="294"/>
      <c r="BN95" s="387" t="e">
        <f t="shared" si="156"/>
        <v>#NAME?</v>
      </c>
      <c r="BO95" s="387" t="e">
        <f t="shared" si="157"/>
        <v>#NAME?</v>
      </c>
      <c r="BP95" s="175" t="e">
        <f t="shared" si="158"/>
        <v>#NAME?</v>
      </c>
      <c r="BQ95" s="235"/>
      <c r="BR95" s="235"/>
      <c r="BS95" s="235"/>
      <c r="BT95" s="235"/>
    </row>
    <row r="96" spans="6:72" x14ac:dyDescent="0.2">
      <c r="F96" s="340" t="e">
        <f>AU81</f>
        <v>#NAME?</v>
      </c>
      <c r="G96" s="341">
        <f>I81*1000</f>
        <v>90</v>
      </c>
      <c r="H96" s="173">
        <v>90</v>
      </c>
      <c r="I96" s="513">
        <f t="shared" si="104"/>
        <v>0.108</v>
      </c>
      <c r="J96" s="175" t="e">
        <f t="shared" si="105"/>
        <v>#NAME?</v>
      </c>
      <c r="K96" s="232" t="e">
        <f t="shared" si="106"/>
        <v>#NAME?</v>
      </c>
      <c r="L96" s="290" t="e">
        <f t="shared" si="117"/>
        <v>#NAME?</v>
      </c>
      <c r="M96" s="208" t="e">
        <f t="shared" si="139"/>
        <v>#NAME?</v>
      </c>
      <c r="N96" s="291" t="e">
        <f t="shared" si="107"/>
        <v>#NAME?</v>
      </c>
      <c r="O96" s="291">
        <f t="shared" si="108"/>
        <v>3.7854698525180942E-5</v>
      </c>
      <c r="P96" s="233" t="e">
        <f t="shared" si="140"/>
        <v>#NAME?</v>
      </c>
      <c r="Q96" s="232" t="e">
        <f t="shared" si="109"/>
        <v>#NAME?</v>
      </c>
      <c r="R96" s="232" t="e">
        <f t="shared" si="118"/>
        <v>#NAME?</v>
      </c>
      <c r="S96" s="517" t="e">
        <f t="shared" si="110"/>
        <v>#NAME?</v>
      </c>
      <c r="T96" s="232" t="e">
        <f t="shared" si="141"/>
        <v>#NAME?</v>
      </c>
      <c r="U96" s="233" t="e">
        <f t="shared" si="111"/>
        <v>#NAME?</v>
      </c>
      <c r="V96" s="232" t="e">
        <f t="shared" si="119"/>
        <v>#NAME?</v>
      </c>
      <c r="W96" s="232" t="e">
        <f t="shared" si="142"/>
        <v>#NAME?</v>
      </c>
      <c r="X96" s="232" t="e">
        <f t="shared" si="120"/>
        <v>#NAME?</v>
      </c>
      <c r="Y96" s="234" t="e">
        <f t="shared" si="121"/>
        <v>#NAME?</v>
      </c>
      <c r="Z96" s="234" t="e">
        <f t="shared" si="143"/>
        <v>#NAME?</v>
      </c>
      <c r="AA96" s="232" t="e">
        <f t="shared" si="122"/>
        <v>#NAME?</v>
      </c>
      <c r="AB96" s="232" t="e">
        <f t="shared" si="123"/>
        <v>#NAME?</v>
      </c>
      <c r="AC96" s="232" t="e">
        <f t="shared" si="124"/>
        <v>#NAME?</v>
      </c>
      <c r="AD96">
        <v>20</v>
      </c>
      <c r="AE96" s="208">
        <v>10</v>
      </c>
      <c r="AF96" s="232" t="e">
        <f t="shared" si="125"/>
        <v>#NAME?</v>
      </c>
      <c r="AG96" s="232" t="e">
        <f t="shared" si="126"/>
        <v>#NAME?</v>
      </c>
      <c r="AH96" s="232" t="e">
        <f t="shared" si="144"/>
        <v>#NAME?</v>
      </c>
      <c r="AI96" s="232" t="e">
        <f t="shared" si="127"/>
        <v>#NAME?</v>
      </c>
      <c r="AJ96" s="232" t="e">
        <f t="shared" si="128"/>
        <v>#NAME?</v>
      </c>
      <c r="AK96" s="232" t="e">
        <f t="shared" si="129"/>
        <v>#NAME?</v>
      </c>
      <c r="AL96" s="232">
        <f t="shared" si="130"/>
        <v>0</v>
      </c>
      <c r="AM96" s="232" t="e">
        <f t="shared" si="131"/>
        <v>#NAME?</v>
      </c>
      <c r="AN96" s="232" t="e">
        <f t="shared" si="145"/>
        <v>#NAME?</v>
      </c>
      <c r="AO96" s="232" t="e">
        <f t="shared" si="112"/>
        <v>#NAME?</v>
      </c>
      <c r="AP96" s="232" t="e">
        <f t="shared" si="132"/>
        <v>#NAME?</v>
      </c>
      <c r="AQ96" s="232" t="e">
        <f t="shared" si="146"/>
        <v>#NAME?</v>
      </c>
      <c r="AR96" s="232" t="e">
        <f t="shared" si="147"/>
        <v>#NAME?</v>
      </c>
      <c r="AS96" s="232" t="e">
        <f t="shared" si="133"/>
        <v>#NAME?</v>
      </c>
      <c r="AT96" s="232">
        <f t="shared" si="113"/>
        <v>0.54</v>
      </c>
      <c r="AU96" s="292" t="e">
        <f t="shared" si="148"/>
        <v>#NAME?</v>
      </c>
      <c r="AV96" s="235" t="e">
        <f t="shared" si="149"/>
        <v>#NAME?</v>
      </c>
      <c r="AW96" s="235" t="e">
        <f t="shared" si="150"/>
        <v>#NAME?</v>
      </c>
      <c r="AX96" s="235" t="e">
        <f t="shared" si="134"/>
        <v>#NAME?</v>
      </c>
      <c r="AY96" s="235" t="e">
        <f t="shared" si="151"/>
        <v>#NAME?</v>
      </c>
      <c r="AZ96" s="235" t="e">
        <f t="shared" si="135"/>
        <v>#NAME?</v>
      </c>
      <c r="BA96" s="235" t="e">
        <f t="shared" si="136"/>
        <v>#NAME?</v>
      </c>
      <c r="BB96" s="235" t="e">
        <f t="shared" si="114"/>
        <v>#NAME?</v>
      </c>
      <c r="BC96" s="235" t="e">
        <f t="shared" si="115"/>
        <v>#NAME?</v>
      </c>
      <c r="BD96" s="235" t="e">
        <f t="shared" si="137"/>
        <v>#NAME?</v>
      </c>
      <c r="BE96" s="235" t="e">
        <f t="shared" si="152"/>
        <v>#NAME?</v>
      </c>
      <c r="BF96" s="235" t="e">
        <f t="shared" si="153"/>
        <v>#NAME?</v>
      </c>
      <c r="BG96" s="235" t="e">
        <f t="shared" si="138"/>
        <v>#NAME?</v>
      </c>
      <c r="BH96" s="233" t="e">
        <f t="shared" si="154"/>
        <v>#NAME?</v>
      </c>
      <c r="BI96" s="175">
        <f t="shared" si="116"/>
        <v>108</v>
      </c>
      <c r="BJ96" s="292">
        <v>92.535813608701574</v>
      </c>
      <c r="BK96" s="235">
        <f t="shared" si="155"/>
        <v>0.92535813608701578</v>
      </c>
      <c r="BL96" s="376">
        <v>90.187952444546454</v>
      </c>
      <c r="BM96" s="294"/>
      <c r="BN96" s="387" t="e">
        <f t="shared" si="156"/>
        <v>#NAME?</v>
      </c>
      <c r="BO96" s="387" t="e">
        <f t="shared" si="157"/>
        <v>#NAME?</v>
      </c>
      <c r="BP96" s="175" t="e">
        <f t="shared" si="158"/>
        <v>#NAME?</v>
      </c>
      <c r="BQ96" s="235"/>
      <c r="BR96" s="235"/>
      <c r="BS96" s="235"/>
      <c r="BT96" s="235"/>
    </row>
    <row r="97" spans="6:72" x14ac:dyDescent="0.2">
      <c r="F97" s="340" t="e">
        <f>AU106</f>
        <v>#NAME?</v>
      </c>
      <c r="G97" s="341">
        <f>I106*1000</f>
        <v>120</v>
      </c>
      <c r="H97" s="173">
        <v>91</v>
      </c>
      <c r="I97" s="513">
        <f t="shared" si="104"/>
        <v>0.10920000000000001</v>
      </c>
      <c r="J97" s="175" t="e">
        <f t="shared" si="105"/>
        <v>#NAME?</v>
      </c>
      <c r="K97" s="232" t="e">
        <f t="shared" si="106"/>
        <v>#NAME?</v>
      </c>
      <c r="L97" s="290" t="e">
        <f t="shared" si="117"/>
        <v>#NAME?</v>
      </c>
      <c r="M97" s="208" t="e">
        <f t="shared" si="139"/>
        <v>#NAME?</v>
      </c>
      <c r="N97" s="291" t="e">
        <f t="shared" si="107"/>
        <v>#NAME?</v>
      </c>
      <c r="O97" s="291">
        <f t="shared" si="108"/>
        <v>3.7438712827102029E-5</v>
      </c>
      <c r="P97" s="233" t="e">
        <f t="shared" si="140"/>
        <v>#NAME?</v>
      </c>
      <c r="Q97" s="232" t="e">
        <f t="shared" si="109"/>
        <v>#NAME?</v>
      </c>
      <c r="R97" s="232" t="e">
        <f t="shared" si="118"/>
        <v>#NAME?</v>
      </c>
      <c r="S97" s="517" t="e">
        <f t="shared" si="110"/>
        <v>#NAME?</v>
      </c>
      <c r="T97" s="232" t="e">
        <f t="shared" si="141"/>
        <v>#NAME?</v>
      </c>
      <c r="U97" s="233" t="e">
        <f t="shared" si="111"/>
        <v>#NAME?</v>
      </c>
      <c r="V97" s="232" t="e">
        <f t="shared" si="119"/>
        <v>#NAME?</v>
      </c>
      <c r="W97" s="232" t="e">
        <f t="shared" si="142"/>
        <v>#NAME?</v>
      </c>
      <c r="X97" s="232" t="e">
        <f t="shared" si="120"/>
        <v>#NAME?</v>
      </c>
      <c r="Y97" s="234" t="e">
        <f t="shared" si="121"/>
        <v>#NAME?</v>
      </c>
      <c r="Z97" s="234" t="e">
        <f t="shared" si="143"/>
        <v>#NAME?</v>
      </c>
      <c r="AA97" s="232" t="e">
        <f t="shared" si="122"/>
        <v>#NAME?</v>
      </c>
      <c r="AB97" s="232" t="e">
        <f t="shared" si="123"/>
        <v>#NAME?</v>
      </c>
      <c r="AC97" s="232" t="e">
        <f t="shared" si="124"/>
        <v>#NAME?</v>
      </c>
      <c r="AD97">
        <v>20</v>
      </c>
      <c r="AE97" s="208">
        <v>10</v>
      </c>
      <c r="AF97" s="232" t="e">
        <f t="shared" si="125"/>
        <v>#NAME?</v>
      </c>
      <c r="AG97" s="232" t="e">
        <f t="shared" si="126"/>
        <v>#NAME?</v>
      </c>
      <c r="AH97" s="232" t="e">
        <f t="shared" si="144"/>
        <v>#NAME?</v>
      </c>
      <c r="AI97" s="232" t="e">
        <f t="shared" si="127"/>
        <v>#NAME?</v>
      </c>
      <c r="AJ97" s="232" t="e">
        <f t="shared" si="128"/>
        <v>#NAME?</v>
      </c>
      <c r="AK97" s="232" t="e">
        <f t="shared" si="129"/>
        <v>#NAME?</v>
      </c>
      <c r="AL97" s="232">
        <f t="shared" si="130"/>
        <v>0</v>
      </c>
      <c r="AM97" s="232" t="e">
        <f t="shared" si="131"/>
        <v>#NAME?</v>
      </c>
      <c r="AN97" s="232" t="e">
        <f t="shared" si="145"/>
        <v>#NAME?</v>
      </c>
      <c r="AO97" s="232" t="e">
        <f t="shared" si="112"/>
        <v>#NAME?</v>
      </c>
      <c r="AP97" s="232" t="e">
        <f t="shared" si="132"/>
        <v>#NAME?</v>
      </c>
      <c r="AQ97" s="232" t="e">
        <f t="shared" si="146"/>
        <v>#NAME?</v>
      </c>
      <c r="AR97" s="232" t="e">
        <f t="shared" si="147"/>
        <v>#NAME?</v>
      </c>
      <c r="AS97" s="232" t="e">
        <f t="shared" si="133"/>
        <v>#NAME?</v>
      </c>
      <c r="AT97" s="232">
        <f t="shared" si="113"/>
        <v>0.54600000000000004</v>
      </c>
      <c r="AU97" s="292" t="e">
        <f t="shared" si="148"/>
        <v>#NAME?</v>
      </c>
      <c r="AV97" s="235" t="e">
        <f t="shared" si="149"/>
        <v>#NAME?</v>
      </c>
      <c r="AW97" s="235" t="e">
        <f t="shared" si="150"/>
        <v>#NAME?</v>
      </c>
      <c r="AX97" s="235" t="e">
        <f t="shared" si="134"/>
        <v>#NAME?</v>
      </c>
      <c r="AY97" s="235" t="e">
        <f t="shared" si="151"/>
        <v>#NAME?</v>
      </c>
      <c r="AZ97" s="235" t="e">
        <f t="shared" si="135"/>
        <v>#NAME?</v>
      </c>
      <c r="BA97" s="235" t="e">
        <f t="shared" si="136"/>
        <v>#NAME?</v>
      </c>
      <c r="BB97" s="235" t="e">
        <f t="shared" si="114"/>
        <v>#NAME?</v>
      </c>
      <c r="BC97" s="235" t="e">
        <f t="shared" si="115"/>
        <v>#NAME?</v>
      </c>
      <c r="BD97" s="235" t="e">
        <f t="shared" si="137"/>
        <v>#NAME?</v>
      </c>
      <c r="BE97" s="235" t="e">
        <f t="shared" si="152"/>
        <v>#NAME?</v>
      </c>
      <c r="BF97" s="235" t="e">
        <f t="shared" si="153"/>
        <v>#NAME?</v>
      </c>
      <c r="BG97" s="235" t="e">
        <f t="shared" si="138"/>
        <v>#NAME?</v>
      </c>
      <c r="BH97" s="233" t="e">
        <f t="shared" si="154"/>
        <v>#NAME?</v>
      </c>
      <c r="BI97" s="175">
        <f t="shared" si="116"/>
        <v>109.2</v>
      </c>
      <c r="BJ97" s="292">
        <v>92.53721684885879</v>
      </c>
      <c r="BK97" s="235">
        <f t="shared" si="155"/>
        <v>0.92537216848858794</v>
      </c>
      <c r="BL97" s="376">
        <v>90.199224835859255</v>
      </c>
      <c r="BM97" s="294"/>
      <c r="BN97" s="387" t="e">
        <f t="shared" si="156"/>
        <v>#NAME?</v>
      </c>
      <c r="BO97" s="387" t="e">
        <f t="shared" si="157"/>
        <v>#NAME?</v>
      </c>
      <c r="BP97" s="175" t="e">
        <f t="shared" si="158"/>
        <v>#NAME?</v>
      </c>
      <c r="BQ97" s="235"/>
      <c r="BR97" s="235"/>
      <c r="BS97" s="235"/>
      <c r="BT97" s="235"/>
    </row>
    <row r="98" spans="6:72" x14ac:dyDescent="0.2">
      <c r="H98" s="173">
        <v>92</v>
      </c>
      <c r="I98" s="513">
        <f t="shared" si="104"/>
        <v>0.1104</v>
      </c>
      <c r="J98" s="175" t="e">
        <f t="shared" si="105"/>
        <v>#NAME?</v>
      </c>
      <c r="K98" s="232" t="e">
        <f t="shared" si="106"/>
        <v>#NAME?</v>
      </c>
      <c r="L98" s="290" t="e">
        <f t="shared" si="117"/>
        <v>#NAME?</v>
      </c>
      <c r="M98" s="208" t="e">
        <f t="shared" si="139"/>
        <v>#NAME?</v>
      </c>
      <c r="N98" s="291" t="e">
        <f t="shared" si="107"/>
        <v>#NAME?</v>
      </c>
      <c r="O98" s="291">
        <f t="shared" si="108"/>
        <v>3.7031770296372666E-5</v>
      </c>
      <c r="P98" s="233" t="e">
        <f t="shared" si="140"/>
        <v>#NAME?</v>
      </c>
      <c r="Q98" s="232" t="e">
        <f t="shared" si="109"/>
        <v>#NAME?</v>
      </c>
      <c r="R98" s="232" t="e">
        <f t="shared" si="118"/>
        <v>#NAME?</v>
      </c>
      <c r="S98" s="517" t="e">
        <f t="shared" si="110"/>
        <v>#NAME?</v>
      </c>
      <c r="T98" s="232" t="e">
        <f t="shared" si="141"/>
        <v>#NAME?</v>
      </c>
      <c r="U98" s="233" t="e">
        <f t="shared" si="111"/>
        <v>#NAME?</v>
      </c>
      <c r="V98" s="232" t="e">
        <f t="shared" si="119"/>
        <v>#NAME?</v>
      </c>
      <c r="W98" s="232" t="e">
        <f t="shared" si="142"/>
        <v>#NAME?</v>
      </c>
      <c r="X98" s="232" t="e">
        <f t="shared" si="120"/>
        <v>#NAME?</v>
      </c>
      <c r="Y98" s="234" t="e">
        <f t="shared" si="121"/>
        <v>#NAME?</v>
      </c>
      <c r="Z98" s="234" t="e">
        <f t="shared" si="143"/>
        <v>#NAME?</v>
      </c>
      <c r="AA98" s="232" t="e">
        <f t="shared" si="122"/>
        <v>#NAME?</v>
      </c>
      <c r="AB98" s="232" t="e">
        <f t="shared" si="123"/>
        <v>#NAME?</v>
      </c>
      <c r="AC98" s="232" t="e">
        <f t="shared" si="124"/>
        <v>#NAME?</v>
      </c>
      <c r="AD98">
        <v>20</v>
      </c>
      <c r="AE98" s="208">
        <v>10</v>
      </c>
      <c r="AF98" s="232" t="e">
        <f t="shared" si="125"/>
        <v>#NAME?</v>
      </c>
      <c r="AG98" s="232" t="e">
        <f t="shared" si="126"/>
        <v>#NAME?</v>
      </c>
      <c r="AH98" s="232" t="e">
        <f t="shared" si="144"/>
        <v>#NAME?</v>
      </c>
      <c r="AI98" s="232" t="e">
        <f t="shared" si="127"/>
        <v>#NAME?</v>
      </c>
      <c r="AJ98" s="232" t="e">
        <f t="shared" si="128"/>
        <v>#NAME?</v>
      </c>
      <c r="AK98" s="232" t="e">
        <f t="shared" si="129"/>
        <v>#NAME?</v>
      </c>
      <c r="AL98" s="232">
        <f t="shared" si="130"/>
        <v>0</v>
      </c>
      <c r="AM98" s="232" t="e">
        <f t="shared" si="131"/>
        <v>#NAME?</v>
      </c>
      <c r="AN98" s="232" t="e">
        <f t="shared" si="145"/>
        <v>#NAME?</v>
      </c>
      <c r="AO98" s="232" t="e">
        <f t="shared" si="112"/>
        <v>#NAME?</v>
      </c>
      <c r="AP98" s="232" t="e">
        <f t="shared" si="132"/>
        <v>#NAME?</v>
      </c>
      <c r="AQ98" s="232" t="e">
        <f t="shared" si="146"/>
        <v>#NAME?</v>
      </c>
      <c r="AR98" s="232" t="e">
        <f t="shared" si="147"/>
        <v>#NAME?</v>
      </c>
      <c r="AS98" s="232" t="e">
        <f t="shared" si="133"/>
        <v>#NAME?</v>
      </c>
      <c r="AT98" s="232">
        <f t="shared" si="113"/>
        <v>0.55200000000000005</v>
      </c>
      <c r="AU98" s="292" t="e">
        <f t="shared" si="148"/>
        <v>#NAME?</v>
      </c>
      <c r="AV98" s="235" t="e">
        <f t="shared" si="149"/>
        <v>#NAME?</v>
      </c>
      <c r="AW98" s="235" t="e">
        <f t="shared" si="150"/>
        <v>#NAME?</v>
      </c>
      <c r="AX98" s="235" t="e">
        <f t="shared" si="134"/>
        <v>#NAME?</v>
      </c>
      <c r="AY98" s="235" t="e">
        <f t="shared" si="151"/>
        <v>#NAME?</v>
      </c>
      <c r="AZ98" s="235" t="e">
        <f t="shared" si="135"/>
        <v>#NAME?</v>
      </c>
      <c r="BA98" s="235" t="e">
        <f t="shared" si="136"/>
        <v>#NAME?</v>
      </c>
      <c r="BB98" s="235" t="e">
        <f t="shared" si="114"/>
        <v>#NAME?</v>
      </c>
      <c r="BC98" s="235" t="e">
        <f t="shared" si="115"/>
        <v>#NAME?</v>
      </c>
      <c r="BD98" s="235" t="e">
        <f t="shared" si="137"/>
        <v>#NAME?</v>
      </c>
      <c r="BE98" s="235" t="e">
        <f t="shared" si="152"/>
        <v>#NAME?</v>
      </c>
      <c r="BF98" s="235" t="e">
        <f t="shared" si="153"/>
        <v>#NAME?</v>
      </c>
      <c r="BG98" s="235" t="e">
        <f t="shared" si="138"/>
        <v>#NAME?</v>
      </c>
      <c r="BH98" s="233" t="e">
        <f t="shared" si="154"/>
        <v>#NAME?</v>
      </c>
      <c r="BI98" s="175">
        <f t="shared" si="116"/>
        <v>110.39999999999999</v>
      </c>
      <c r="BJ98" s="292">
        <v>92.538596477091943</v>
      </c>
      <c r="BK98" s="235">
        <f t="shared" si="155"/>
        <v>0.92538596477091939</v>
      </c>
      <c r="BL98" s="376">
        <v>90.21002252728519</v>
      </c>
      <c r="BM98" s="294"/>
      <c r="BN98" s="387" t="e">
        <f t="shared" si="156"/>
        <v>#NAME?</v>
      </c>
      <c r="BO98" s="387" t="e">
        <f t="shared" si="157"/>
        <v>#NAME?</v>
      </c>
      <c r="BP98" s="175" t="e">
        <f t="shared" si="158"/>
        <v>#NAME?</v>
      </c>
      <c r="BQ98" s="235"/>
      <c r="BR98" s="235"/>
      <c r="BS98" s="235"/>
      <c r="BT98" s="235"/>
    </row>
    <row r="99" spans="6:72" x14ac:dyDescent="0.2">
      <c r="H99" s="173">
        <v>93</v>
      </c>
      <c r="I99" s="513">
        <f t="shared" si="104"/>
        <v>0.1116</v>
      </c>
      <c r="J99" s="175" t="e">
        <f t="shared" si="105"/>
        <v>#NAME?</v>
      </c>
      <c r="K99" s="232" t="e">
        <f t="shared" si="106"/>
        <v>#NAME?</v>
      </c>
      <c r="L99" s="290" t="e">
        <f t="shared" si="117"/>
        <v>#NAME?</v>
      </c>
      <c r="M99" s="208" t="e">
        <f t="shared" si="139"/>
        <v>#NAME?</v>
      </c>
      <c r="N99" s="291" t="e">
        <f t="shared" si="107"/>
        <v>#NAME?</v>
      </c>
      <c r="O99" s="291">
        <f t="shared" si="108"/>
        <v>3.6633579217917044E-5</v>
      </c>
      <c r="P99" s="233" t="e">
        <f t="shared" si="140"/>
        <v>#NAME?</v>
      </c>
      <c r="Q99" s="232" t="e">
        <f t="shared" si="109"/>
        <v>#NAME?</v>
      </c>
      <c r="R99" s="232" t="e">
        <f t="shared" si="118"/>
        <v>#NAME?</v>
      </c>
      <c r="S99" s="517" t="e">
        <f t="shared" si="110"/>
        <v>#NAME?</v>
      </c>
      <c r="T99" s="232" t="e">
        <f t="shared" si="141"/>
        <v>#NAME?</v>
      </c>
      <c r="U99" s="233" t="e">
        <f t="shared" si="111"/>
        <v>#NAME?</v>
      </c>
      <c r="V99" s="232" t="e">
        <f t="shared" si="119"/>
        <v>#NAME?</v>
      </c>
      <c r="W99" s="232" t="e">
        <f t="shared" si="142"/>
        <v>#NAME?</v>
      </c>
      <c r="X99" s="232" t="e">
        <f t="shared" si="120"/>
        <v>#NAME?</v>
      </c>
      <c r="Y99" s="234" t="e">
        <f t="shared" si="121"/>
        <v>#NAME?</v>
      </c>
      <c r="Z99" s="234" t="e">
        <f t="shared" si="143"/>
        <v>#NAME?</v>
      </c>
      <c r="AA99" s="232" t="e">
        <f t="shared" si="122"/>
        <v>#NAME?</v>
      </c>
      <c r="AB99" s="232" t="e">
        <f t="shared" si="123"/>
        <v>#NAME?</v>
      </c>
      <c r="AC99" s="232" t="e">
        <f t="shared" si="124"/>
        <v>#NAME?</v>
      </c>
      <c r="AD99">
        <v>20</v>
      </c>
      <c r="AE99" s="208">
        <v>10</v>
      </c>
      <c r="AF99" s="232" t="e">
        <f t="shared" si="125"/>
        <v>#NAME?</v>
      </c>
      <c r="AG99" s="232" t="e">
        <f t="shared" si="126"/>
        <v>#NAME?</v>
      </c>
      <c r="AH99" s="232" t="e">
        <f t="shared" si="144"/>
        <v>#NAME?</v>
      </c>
      <c r="AI99" s="232" t="e">
        <f t="shared" si="127"/>
        <v>#NAME?</v>
      </c>
      <c r="AJ99" s="232" t="e">
        <f t="shared" si="128"/>
        <v>#NAME?</v>
      </c>
      <c r="AK99" s="232" t="e">
        <f t="shared" si="129"/>
        <v>#NAME?</v>
      </c>
      <c r="AL99" s="232">
        <f t="shared" si="130"/>
        <v>0</v>
      </c>
      <c r="AM99" s="232" t="e">
        <f t="shared" si="131"/>
        <v>#NAME?</v>
      </c>
      <c r="AN99" s="232" t="e">
        <f t="shared" si="145"/>
        <v>#NAME?</v>
      </c>
      <c r="AO99" s="232" t="e">
        <f t="shared" si="112"/>
        <v>#NAME?</v>
      </c>
      <c r="AP99" s="232" t="e">
        <f t="shared" si="132"/>
        <v>#NAME?</v>
      </c>
      <c r="AQ99" s="232" t="e">
        <f t="shared" si="146"/>
        <v>#NAME?</v>
      </c>
      <c r="AR99" s="232" t="e">
        <f t="shared" si="147"/>
        <v>#NAME?</v>
      </c>
      <c r="AS99" s="232" t="e">
        <f t="shared" si="133"/>
        <v>#NAME?</v>
      </c>
      <c r="AT99" s="232">
        <f t="shared" si="113"/>
        <v>0.55800000000000005</v>
      </c>
      <c r="AU99" s="292" t="e">
        <f t="shared" si="148"/>
        <v>#NAME?</v>
      </c>
      <c r="AV99" s="235" t="e">
        <f t="shared" si="149"/>
        <v>#NAME?</v>
      </c>
      <c r="AW99" s="235" t="e">
        <f t="shared" si="150"/>
        <v>#NAME?</v>
      </c>
      <c r="AX99" s="235" t="e">
        <f t="shared" si="134"/>
        <v>#NAME?</v>
      </c>
      <c r="AY99" s="235" t="e">
        <f t="shared" si="151"/>
        <v>#NAME?</v>
      </c>
      <c r="AZ99" s="235" t="e">
        <f t="shared" si="135"/>
        <v>#NAME?</v>
      </c>
      <c r="BA99" s="235" t="e">
        <f t="shared" si="136"/>
        <v>#NAME?</v>
      </c>
      <c r="BB99" s="235" t="e">
        <f t="shared" si="114"/>
        <v>#NAME?</v>
      </c>
      <c r="BC99" s="235" t="e">
        <f t="shared" si="115"/>
        <v>#NAME?</v>
      </c>
      <c r="BD99" s="235" t="e">
        <f t="shared" si="137"/>
        <v>#NAME?</v>
      </c>
      <c r="BE99" s="235" t="e">
        <f t="shared" si="152"/>
        <v>#NAME?</v>
      </c>
      <c r="BF99" s="235" t="e">
        <f t="shared" si="153"/>
        <v>#NAME?</v>
      </c>
      <c r="BG99" s="235" t="e">
        <f t="shared" si="138"/>
        <v>#NAME?</v>
      </c>
      <c r="BH99" s="233" t="e">
        <f t="shared" si="154"/>
        <v>#NAME?</v>
      </c>
      <c r="BI99" s="175">
        <f t="shared" si="116"/>
        <v>111.60000000000001</v>
      </c>
      <c r="BJ99" s="292">
        <v>92.539953252550276</v>
      </c>
      <c r="BK99" s="235">
        <f t="shared" si="155"/>
        <v>0.92539953252550278</v>
      </c>
      <c r="BL99" s="376">
        <v>90.220437793026676</v>
      </c>
      <c r="BM99" s="294"/>
      <c r="BN99" s="387" t="e">
        <f t="shared" si="156"/>
        <v>#NAME?</v>
      </c>
      <c r="BO99" s="387" t="e">
        <f t="shared" si="157"/>
        <v>#NAME?</v>
      </c>
      <c r="BP99" s="175" t="e">
        <f t="shared" si="158"/>
        <v>#NAME?</v>
      </c>
      <c r="BQ99" s="235"/>
      <c r="BR99" s="235"/>
      <c r="BS99" s="235"/>
      <c r="BT99" s="235"/>
    </row>
    <row r="100" spans="6:72" x14ac:dyDescent="0.2">
      <c r="H100" s="173">
        <v>94</v>
      </c>
      <c r="I100" s="513">
        <f t="shared" si="104"/>
        <v>0.11279999999999998</v>
      </c>
      <c r="J100" s="175" t="e">
        <f t="shared" si="105"/>
        <v>#NAME?</v>
      </c>
      <c r="K100" s="232" t="e">
        <f t="shared" si="106"/>
        <v>#NAME?</v>
      </c>
      <c r="L100" s="290" t="e">
        <f t="shared" si="117"/>
        <v>#NAME?</v>
      </c>
      <c r="M100" s="208" t="e">
        <f t="shared" si="139"/>
        <v>#NAME?</v>
      </c>
      <c r="N100" s="291" t="e">
        <f t="shared" si="107"/>
        <v>#NAME?</v>
      </c>
      <c r="O100" s="291">
        <f t="shared" si="108"/>
        <v>3.6243860290066864E-5</v>
      </c>
      <c r="P100" s="233" t="e">
        <f t="shared" si="140"/>
        <v>#NAME?</v>
      </c>
      <c r="Q100" s="232" t="e">
        <f t="shared" si="109"/>
        <v>#NAME?</v>
      </c>
      <c r="R100" s="232" t="e">
        <f t="shared" si="118"/>
        <v>#NAME?</v>
      </c>
      <c r="S100" s="517" t="e">
        <f t="shared" si="110"/>
        <v>#NAME?</v>
      </c>
      <c r="T100" s="232" t="e">
        <f t="shared" si="141"/>
        <v>#NAME?</v>
      </c>
      <c r="U100" s="233" t="e">
        <f t="shared" si="111"/>
        <v>#NAME?</v>
      </c>
      <c r="V100" s="232" t="e">
        <f t="shared" si="119"/>
        <v>#NAME?</v>
      </c>
      <c r="W100" s="232" t="e">
        <f t="shared" si="142"/>
        <v>#NAME?</v>
      </c>
      <c r="X100" s="232" t="e">
        <f t="shared" si="120"/>
        <v>#NAME?</v>
      </c>
      <c r="Y100" s="234" t="e">
        <f t="shared" si="121"/>
        <v>#NAME?</v>
      </c>
      <c r="Z100" s="234" t="e">
        <f t="shared" si="143"/>
        <v>#NAME?</v>
      </c>
      <c r="AA100" s="232" t="e">
        <f t="shared" si="122"/>
        <v>#NAME?</v>
      </c>
      <c r="AB100" s="232" t="e">
        <f t="shared" si="123"/>
        <v>#NAME?</v>
      </c>
      <c r="AC100" s="232" t="e">
        <f t="shared" si="124"/>
        <v>#NAME?</v>
      </c>
      <c r="AD100">
        <v>20</v>
      </c>
      <c r="AE100" s="208">
        <v>10</v>
      </c>
      <c r="AF100" s="232" t="e">
        <f t="shared" si="125"/>
        <v>#NAME?</v>
      </c>
      <c r="AG100" s="232" t="e">
        <f t="shared" si="126"/>
        <v>#NAME?</v>
      </c>
      <c r="AH100" s="232" t="e">
        <f t="shared" si="144"/>
        <v>#NAME?</v>
      </c>
      <c r="AI100" s="232" t="e">
        <f t="shared" si="127"/>
        <v>#NAME?</v>
      </c>
      <c r="AJ100" s="232" t="e">
        <f t="shared" si="128"/>
        <v>#NAME?</v>
      </c>
      <c r="AK100" s="232" t="e">
        <f t="shared" si="129"/>
        <v>#NAME?</v>
      </c>
      <c r="AL100" s="232">
        <f t="shared" si="130"/>
        <v>0</v>
      </c>
      <c r="AM100" s="232" t="e">
        <f t="shared" si="131"/>
        <v>#NAME?</v>
      </c>
      <c r="AN100" s="232" t="e">
        <f t="shared" si="145"/>
        <v>#NAME?</v>
      </c>
      <c r="AO100" s="232" t="e">
        <f t="shared" si="112"/>
        <v>#NAME?</v>
      </c>
      <c r="AP100" s="232" t="e">
        <f t="shared" si="132"/>
        <v>#NAME?</v>
      </c>
      <c r="AQ100" s="232" t="e">
        <f t="shared" si="146"/>
        <v>#NAME?</v>
      </c>
      <c r="AR100" s="232" t="e">
        <f t="shared" si="147"/>
        <v>#NAME?</v>
      </c>
      <c r="AS100" s="232" t="e">
        <f t="shared" si="133"/>
        <v>#NAME?</v>
      </c>
      <c r="AT100" s="232">
        <f t="shared" si="113"/>
        <v>0.56399999999999995</v>
      </c>
      <c r="AU100" s="292" t="e">
        <f t="shared" si="148"/>
        <v>#NAME?</v>
      </c>
      <c r="AV100" s="235" t="e">
        <f t="shared" si="149"/>
        <v>#NAME?</v>
      </c>
      <c r="AW100" s="235" t="e">
        <f t="shared" si="150"/>
        <v>#NAME?</v>
      </c>
      <c r="AX100" s="235" t="e">
        <f t="shared" si="134"/>
        <v>#NAME?</v>
      </c>
      <c r="AY100" s="235" t="e">
        <f t="shared" si="151"/>
        <v>#NAME?</v>
      </c>
      <c r="AZ100" s="235" t="e">
        <f t="shared" si="135"/>
        <v>#NAME?</v>
      </c>
      <c r="BA100" s="235" t="e">
        <f t="shared" si="136"/>
        <v>#NAME?</v>
      </c>
      <c r="BB100" s="235" t="e">
        <f t="shared" si="114"/>
        <v>#NAME?</v>
      </c>
      <c r="BC100" s="235" t="e">
        <f t="shared" si="115"/>
        <v>#NAME?</v>
      </c>
      <c r="BD100" s="235" t="e">
        <f t="shared" si="137"/>
        <v>#NAME?</v>
      </c>
      <c r="BE100" s="235" t="e">
        <f t="shared" si="152"/>
        <v>#NAME?</v>
      </c>
      <c r="BF100" s="235" t="e">
        <f t="shared" si="153"/>
        <v>#NAME?</v>
      </c>
      <c r="BG100" s="235" t="e">
        <f t="shared" si="138"/>
        <v>#NAME?</v>
      </c>
      <c r="BH100" s="233" t="e">
        <f t="shared" si="154"/>
        <v>#NAME?</v>
      </c>
      <c r="BI100" s="175">
        <f t="shared" si="116"/>
        <v>112.79999999999998</v>
      </c>
      <c r="BJ100" s="292">
        <v>92.541287901933401</v>
      </c>
      <c r="BK100" s="235">
        <f t="shared" si="155"/>
        <v>0.925412879019334</v>
      </c>
      <c r="BL100" s="376">
        <v>90.230559836610553</v>
      </c>
      <c r="BM100" s="294"/>
      <c r="BN100" s="387" t="e">
        <f t="shared" si="156"/>
        <v>#NAME?</v>
      </c>
      <c r="BO100" s="387" t="e">
        <f t="shared" si="157"/>
        <v>#NAME?</v>
      </c>
      <c r="BP100" s="175" t="e">
        <f t="shared" si="158"/>
        <v>#NAME?</v>
      </c>
      <c r="BQ100" s="235"/>
      <c r="BR100" s="235"/>
      <c r="BS100" s="235"/>
      <c r="BT100" s="235"/>
    </row>
    <row r="101" spans="6:72" x14ac:dyDescent="0.2">
      <c r="H101" s="173">
        <v>95</v>
      </c>
      <c r="I101" s="513">
        <f t="shared" si="104"/>
        <v>0.11399999999999999</v>
      </c>
      <c r="J101" s="175" t="e">
        <f t="shared" si="105"/>
        <v>#NAME?</v>
      </c>
      <c r="K101" s="232" t="e">
        <f t="shared" si="106"/>
        <v>#NAME?</v>
      </c>
      <c r="L101" s="290" t="e">
        <f t="shared" si="117"/>
        <v>#NAME?</v>
      </c>
      <c r="M101" s="208" t="e">
        <f t="shared" si="139"/>
        <v>#NAME?</v>
      </c>
      <c r="N101" s="291" t="e">
        <f t="shared" si="107"/>
        <v>#NAME?</v>
      </c>
      <c r="O101" s="291">
        <f t="shared" si="108"/>
        <v>3.5862345971224058E-5</v>
      </c>
      <c r="P101" s="233" t="e">
        <f t="shared" si="140"/>
        <v>#NAME?</v>
      </c>
      <c r="Q101" s="232" t="e">
        <f t="shared" si="109"/>
        <v>#NAME?</v>
      </c>
      <c r="R101" s="232" t="e">
        <f t="shared" si="118"/>
        <v>#NAME?</v>
      </c>
      <c r="S101" s="517" t="e">
        <f t="shared" si="110"/>
        <v>#NAME?</v>
      </c>
      <c r="T101" s="232" t="e">
        <f t="shared" si="141"/>
        <v>#NAME?</v>
      </c>
      <c r="U101" s="233" t="e">
        <f t="shared" si="111"/>
        <v>#NAME?</v>
      </c>
      <c r="V101" s="232" t="e">
        <f t="shared" si="119"/>
        <v>#NAME?</v>
      </c>
      <c r="W101" s="232" t="e">
        <f t="shared" si="142"/>
        <v>#NAME?</v>
      </c>
      <c r="X101" s="232" t="e">
        <f t="shared" si="120"/>
        <v>#NAME?</v>
      </c>
      <c r="Y101" s="234" t="e">
        <f t="shared" si="121"/>
        <v>#NAME?</v>
      </c>
      <c r="Z101" s="234" t="e">
        <f t="shared" si="143"/>
        <v>#NAME?</v>
      </c>
      <c r="AA101" s="232" t="e">
        <f t="shared" si="122"/>
        <v>#NAME?</v>
      </c>
      <c r="AB101" s="232" t="e">
        <f t="shared" si="123"/>
        <v>#NAME?</v>
      </c>
      <c r="AC101" s="232" t="e">
        <f t="shared" si="124"/>
        <v>#NAME?</v>
      </c>
      <c r="AD101">
        <v>20</v>
      </c>
      <c r="AE101" s="208">
        <v>10</v>
      </c>
      <c r="AF101" s="232" t="e">
        <f t="shared" si="125"/>
        <v>#NAME?</v>
      </c>
      <c r="AG101" s="232" t="e">
        <f t="shared" si="126"/>
        <v>#NAME?</v>
      </c>
      <c r="AH101" s="232" t="e">
        <f t="shared" si="144"/>
        <v>#NAME?</v>
      </c>
      <c r="AI101" s="232" t="e">
        <f t="shared" si="127"/>
        <v>#NAME?</v>
      </c>
      <c r="AJ101" s="232" t="e">
        <f t="shared" si="128"/>
        <v>#NAME?</v>
      </c>
      <c r="AK101" s="232" t="e">
        <f t="shared" si="129"/>
        <v>#NAME?</v>
      </c>
      <c r="AL101" s="232">
        <f t="shared" si="130"/>
        <v>0</v>
      </c>
      <c r="AM101" s="232" t="e">
        <f t="shared" si="131"/>
        <v>#NAME?</v>
      </c>
      <c r="AN101" s="232" t="e">
        <f t="shared" si="145"/>
        <v>#NAME?</v>
      </c>
      <c r="AO101" s="232" t="e">
        <f t="shared" si="112"/>
        <v>#NAME?</v>
      </c>
      <c r="AP101" s="232" t="e">
        <f t="shared" si="132"/>
        <v>#NAME?</v>
      </c>
      <c r="AQ101" s="232" t="e">
        <f t="shared" si="146"/>
        <v>#NAME?</v>
      </c>
      <c r="AR101" s="232" t="e">
        <f t="shared" si="147"/>
        <v>#NAME?</v>
      </c>
      <c r="AS101" s="232" t="e">
        <f t="shared" si="133"/>
        <v>#NAME?</v>
      </c>
      <c r="AT101" s="232">
        <f t="shared" si="113"/>
        <v>0.56999999999999995</v>
      </c>
      <c r="AU101" s="292" t="e">
        <f t="shared" si="148"/>
        <v>#NAME?</v>
      </c>
      <c r="AV101" s="235" t="e">
        <f t="shared" si="149"/>
        <v>#NAME?</v>
      </c>
      <c r="AW101" s="235" t="e">
        <f t="shared" si="150"/>
        <v>#NAME?</v>
      </c>
      <c r="AX101" s="235" t="e">
        <f t="shared" si="134"/>
        <v>#NAME?</v>
      </c>
      <c r="AY101" s="235" t="e">
        <f t="shared" si="151"/>
        <v>#NAME?</v>
      </c>
      <c r="AZ101" s="235" t="e">
        <f t="shared" si="135"/>
        <v>#NAME?</v>
      </c>
      <c r="BA101" s="235" t="e">
        <f t="shared" si="136"/>
        <v>#NAME?</v>
      </c>
      <c r="BB101" s="235" t="e">
        <f t="shared" si="114"/>
        <v>#NAME?</v>
      </c>
      <c r="BC101" s="235" t="e">
        <f t="shared" si="115"/>
        <v>#NAME?</v>
      </c>
      <c r="BD101" s="235" t="e">
        <f t="shared" si="137"/>
        <v>#NAME?</v>
      </c>
      <c r="BE101" s="235" t="e">
        <f t="shared" si="152"/>
        <v>#NAME?</v>
      </c>
      <c r="BF101" s="235" t="e">
        <f t="shared" si="153"/>
        <v>#NAME?</v>
      </c>
      <c r="BG101" s="235" t="e">
        <f t="shared" si="138"/>
        <v>#NAME?</v>
      </c>
      <c r="BH101" s="233" t="e">
        <f t="shared" si="154"/>
        <v>#NAME?</v>
      </c>
      <c r="BI101" s="175">
        <f t="shared" si="116"/>
        <v>113.99999999999999</v>
      </c>
      <c r="BJ101" s="292">
        <v>92.542601121192305</v>
      </c>
      <c r="BK101" s="235">
        <f t="shared" si="155"/>
        <v>0.92542601121192303</v>
      </c>
      <c r="BL101" s="376">
        <v>90.240475462699294</v>
      </c>
      <c r="BM101" s="294"/>
      <c r="BN101" s="387" t="e">
        <f t="shared" si="156"/>
        <v>#NAME?</v>
      </c>
      <c r="BO101" s="387" t="e">
        <f t="shared" si="157"/>
        <v>#NAME?</v>
      </c>
      <c r="BP101" s="175" t="e">
        <f t="shared" si="158"/>
        <v>#NAME?</v>
      </c>
      <c r="BQ101" s="235"/>
      <c r="BR101" s="235"/>
      <c r="BS101" s="235"/>
      <c r="BT101" s="235"/>
    </row>
    <row r="102" spans="6:72" x14ac:dyDescent="0.2">
      <c r="H102" s="173">
        <v>96</v>
      </c>
      <c r="I102" s="513">
        <f t="shared" ref="I102:I106" si="159">IF(PLOT_TYPE=1, H102/100*Iout_maxload_PFM, min_I*EXP(H102*rr/100))</f>
        <v>0.1152</v>
      </c>
      <c r="J102" s="175" t="e">
        <f t="shared" si="105"/>
        <v>#NAME?</v>
      </c>
      <c r="K102" s="232" t="e">
        <f t="shared" si="106"/>
        <v>#NAME?</v>
      </c>
      <c r="L102" s="290" t="e">
        <f t="shared" si="117"/>
        <v>#NAME?</v>
      </c>
      <c r="M102" s="208" t="e">
        <f t="shared" si="139"/>
        <v>#NAME?</v>
      </c>
      <c r="N102" s="291" t="e">
        <f t="shared" si="107"/>
        <v>#NAME?</v>
      </c>
      <c r="O102" s="291">
        <f t="shared" si="108"/>
        <v>3.5488779867357138E-5</v>
      </c>
      <c r="P102" s="233" t="e">
        <f t="shared" si="140"/>
        <v>#NAME?</v>
      </c>
      <c r="Q102" s="232" t="e">
        <f t="shared" ref="Q102:Q106" si="160">IripplePFM/SQRT(3)*SQRT(P102)</f>
        <v>#NAME?</v>
      </c>
      <c r="R102" s="232" t="e">
        <f t="shared" si="118"/>
        <v>#NAME?</v>
      </c>
      <c r="S102" s="517" t="e">
        <f t="shared" si="110"/>
        <v>#NAME?</v>
      </c>
      <c r="T102" s="232" t="e">
        <f t="shared" si="141"/>
        <v>#NAME?</v>
      </c>
      <c r="U102" s="233" t="e">
        <f t="shared" si="111"/>
        <v>#NAME?</v>
      </c>
      <c r="V102" s="232" t="e">
        <f t="shared" si="119"/>
        <v>#NAME?</v>
      </c>
      <c r="W102" s="232" t="e">
        <f t="shared" si="142"/>
        <v>#NAME?</v>
      </c>
      <c r="X102" s="232" t="e">
        <f t="shared" si="120"/>
        <v>#NAME?</v>
      </c>
      <c r="Y102" s="234" t="e">
        <f t="shared" si="121"/>
        <v>#NAME?</v>
      </c>
      <c r="Z102" s="234" t="e">
        <f t="shared" si="143"/>
        <v>#NAME?</v>
      </c>
      <c r="AA102" s="232" t="e">
        <f t="shared" si="122"/>
        <v>#NAME?</v>
      </c>
      <c r="AB102" s="232" t="e">
        <f t="shared" si="123"/>
        <v>#NAME?</v>
      </c>
      <c r="AC102" s="232" t="e">
        <f t="shared" si="124"/>
        <v>#NAME?</v>
      </c>
      <c r="AD102">
        <v>20</v>
      </c>
      <c r="AE102" s="208">
        <v>10</v>
      </c>
      <c r="AF102" s="232" t="e">
        <f t="shared" si="125"/>
        <v>#NAME?</v>
      </c>
      <c r="AG102" s="232" t="e">
        <f t="shared" si="126"/>
        <v>#NAME?</v>
      </c>
      <c r="AH102" s="232" t="e">
        <f t="shared" si="144"/>
        <v>#NAME?</v>
      </c>
      <c r="AI102" s="232" t="e">
        <f t="shared" si="127"/>
        <v>#NAME?</v>
      </c>
      <c r="AJ102" s="232" t="e">
        <f t="shared" si="128"/>
        <v>#NAME?</v>
      </c>
      <c r="AK102" s="232" t="e">
        <f t="shared" si="129"/>
        <v>#NAME?</v>
      </c>
      <c r="AL102" s="232">
        <f t="shared" si="130"/>
        <v>0</v>
      </c>
      <c r="AM102" s="232" t="e">
        <f t="shared" si="131"/>
        <v>#NAME?</v>
      </c>
      <c r="AN102" s="232" t="e">
        <f t="shared" si="145"/>
        <v>#NAME?</v>
      </c>
      <c r="AO102" s="232" t="e">
        <f t="shared" si="112"/>
        <v>#NAME?</v>
      </c>
      <c r="AP102" s="232" t="e">
        <f t="shared" si="132"/>
        <v>#NAME?</v>
      </c>
      <c r="AQ102" s="232" t="e">
        <f t="shared" si="146"/>
        <v>#NAME?</v>
      </c>
      <c r="AR102" s="232" t="e">
        <f t="shared" si="147"/>
        <v>#NAME?</v>
      </c>
      <c r="AS102" s="232" t="e">
        <f t="shared" si="133"/>
        <v>#NAME?</v>
      </c>
      <c r="AT102" s="232">
        <f t="shared" si="113"/>
        <v>0.57599999999999996</v>
      </c>
      <c r="AU102" s="292" t="e">
        <f t="shared" si="148"/>
        <v>#NAME?</v>
      </c>
      <c r="AV102" s="235" t="e">
        <f t="shared" si="149"/>
        <v>#NAME?</v>
      </c>
      <c r="AW102" s="235" t="e">
        <f t="shared" si="150"/>
        <v>#NAME?</v>
      </c>
      <c r="AX102" s="235" t="e">
        <f t="shared" si="134"/>
        <v>#NAME?</v>
      </c>
      <c r="AY102" s="235" t="e">
        <f t="shared" si="151"/>
        <v>#NAME?</v>
      </c>
      <c r="AZ102" s="235" t="e">
        <f t="shared" si="135"/>
        <v>#NAME?</v>
      </c>
      <c r="BA102" s="235" t="e">
        <f t="shared" si="136"/>
        <v>#NAME?</v>
      </c>
      <c r="BB102" s="235" t="e">
        <f t="shared" si="114"/>
        <v>#NAME?</v>
      </c>
      <c r="BC102" s="235" t="e">
        <f t="shared" si="115"/>
        <v>#NAME?</v>
      </c>
      <c r="BD102" s="235" t="e">
        <f t="shared" si="137"/>
        <v>#NAME?</v>
      </c>
      <c r="BE102" s="235" t="e">
        <f t="shared" si="152"/>
        <v>#NAME?</v>
      </c>
      <c r="BF102" s="235" t="e">
        <f t="shared" si="153"/>
        <v>#NAME?</v>
      </c>
      <c r="BG102" s="235" t="e">
        <f t="shared" si="138"/>
        <v>#NAME?</v>
      </c>
      <c r="BH102" s="233" t="e">
        <f t="shared" si="154"/>
        <v>#NAME?</v>
      </c>
      <c r="BI102" s="175">
        <f t="shared" si="116"/>
        <v>115.2</v>
      </c>
      <c r="BJ102" s="292">
        <v>92.54389357712418</v>
      </c>
      <c r="BK102" s="235">
        <f t="shared" si="155"/>
        <v>0.92543893577124181</v>
      </c>
      <c r="BL102" s="376">
        <v>90.250269642615493</v>
      </c>
      <c r="BM102" s="294"/>
      <c r="BN102" s="387" t="e">
        <f t="shared" si="156"/>
        <v>#NAME?</v>
      </c>
      <c r="BO102" s="387" t="e">
        <f t="shared" si="157"/>
        <v>#NAME?</v>
      </c>
      <c r="BP102" s="175" t="e">
        <f t="shared" si="158"/>
        <v>#NAME?</v>
      </c>
      <c r="BQ102" s="235"/>
      <c r="BR102" s="235"/>
      <c r="BS102" s="235"/>
      <c r="BT102" s="235"/>
    </row>
    <row r="103" spans="6:72" x14ac:dyDescent="0.2">
      <c r="H103" s="173">
        <v>97</v>
      </c>
      <c r="I103" s="513">
        <f t="shared" si="159"/>
        <v>0.11639999999999999</v>
      </c>
      <c r="J103" s="175" t="e">
        <f t="shared" si="105"/>
        <v>#NAME?</v>
      </c>
      <c r="K103" s="232" t="e">
        <f t="shared" si="106"/>
        <v>#NAME?</v>
      </c>
      <c r="L103" s="290" t="e">
        <f t="shared" si="117"/>
        <v>#NAME?</v>
      </c>
      <c r="M103" s="208" t="e">
        <f t="shared" si="139"/>
        <v>#NAME?</v>
      </c>
      <c r="N103" s="291" t="e">
        <f t="shared" si="107"/>
        <v>#NAME?</v>
      </c>
      <c r="O103" s="291">
        <f t="shared" si="108"/>
        <v>3.5122916157384386E-5</v>
      </c>
      <c r="P103" s="233" t="e">
        <f t="shared" si="140"/>
        <v>#NAME?</v>
      </c>
      <c r="Q103" s="232" t="e">
        <f t="shared" si="160"/>
        <v>#NAME?</v>
      </c>
      <c r="R103" s="232" t="e">
        <f t="shared" si="118"/>
        <v>#NAME?</v>
      </c>
      <c r="S103" s="517" t="e">
        <f t="shared" si="110"/>
        <v>#NAME?</v>
      </c>
      <c r="T103" s="232" t="e">
        <f t="shared" si="141"/>
        <v>#NAME?</v>
      </c>
      <c r="U103" s="233" t="e">
        <f t="shared" si="111"/>
        <v>#NAME?</v>
      </c>
      <c r="V103" s="232" t="e">
        <f t="shared" si="119"/>
        <v>#NAME?</v>
      </c>
      <c r="W103" s="232" t="e">
        <f t="shared" si="142"/>
        <v>#NAME?</v>
      </c>
      <c r="X103" s="232" t="e">
        <f t="shared" si="120"/>
        <v>#NAME?</v>
      </c>
      <c r="Y103" s="234" t="e">
        <f t="shared" si="121"/>
        <v>#NAME?</v>
      </c>
      <c r="Z103" s="234" t="e">
        <f t="shared" si="143"/>
        <v>#NAME?</v>
      </c>
      <c r="AA103" s="232" t="e">
        <f t="shared" si="122"/>
        <v>#NAME?</v>
      </c>
      <c r="AB103" s="232" t="e">
        <f>RdsonTop*AA103^2</f>
        <v>#NAME?</v>
      </c>
      <c r="AC103" s="232" t="e">
        <f t="shared" si="124"/>
        <v>#NAME?</v>
      </c>
      <c r="AD103">
        <v>20</v>
      </c>
      <c r="AE103" s="208">
        <v>10</v>
      </c>
      <c r="AF103" s="232" t="e">
        <f t="shared" si="125"/>
        <v>#NAME?</v>
      </c>
      <c r="AG103" s="232" t="e">
        <f t="shared" si="126"/>
        <v>#NAME?</v>
      </c>
      <c r="AH103" s="232" t="e">
        <f t="shared" si="144"/>
        <v>#NAME?</v>
      </c>
      <c r="AI103" s="232" t="e">
        <f t="shared" si="127"/>
        <v>#NAME?</v>
      </c>
      <c r="AJ103" s="232" t="e">
        <f>RdsonBot*AI103^2</f>
        <v>#NAME?</v>
      </c>
      <c r="AK103" s="232" t="e">
        <f t="shared" si="129"/>
        <v>#NAME?</v>
      </c>
      <c r="AL103" s="232">
        <f t="shared" si="130"/>
        <v>0</v>
      </c>
      <c r="AM103" s="232" t="e">
        <f t="shared" si="131"/>
        <v>#NAME?</v>
      </c>
      <c r="AN103" s="232" t="e">
        <f t="shared" si="145"/>
        <v>#NAME?</v>
      </c>
      <c r="AO103" s="232" t="e">
        <f t="shared" si="112"/>
        <v>#NAME?</v>
      </c>
      <c r="AP103" s="232" t="e">
        <f t="shared" ref="AP103:AP106" si="161">(Vin-Vdd)*Fsw*(QgBot+QgTop)*P103+AO103</f>
        <v>#NAME?</v>
      </c>
      <c r="AQ103" s="232" t="e">
        <f t="shared" si="146"/>
        <v>#NAME?</v>
      </c>
      <c r="AR103" s="232" t="e">
        <f t="shared" si="147"/>
        <v>#NAME?</v>
      </c>
      <c r="AS103" s="232" t="e">
        <f t="shared" si="133"/>
        <v>#NAME?</v>
      </c>
      <c r="AT103" s="232">
        <f t="shared" si="113"/>
        <v>0.58199999999999996</v>
      </c>
      <c r="AU103" s="292" t="e">
        <f t="shared" si="148"/>
        <v>#NAME?</v>
      </c>
      <c r="AV103" s="235" t="e">
        <f t="shared" si="149"/>
        <v>#NAME?</v>
      </c>
      <c r="AW103" s="235" t="e">
        <f t="shared" si="150"/>
        <v>#NAME?</v>
      </c>
      <c r="AX103" s="235" t="e">
        <f t="shared" si="134"/>
        <v>#NAME?</v>
      </c>
      <c r="AY103" s="235" t="e">
        <f t="shared" si="151"/>
        <v>#NAME?</v>
      </c>
      <c r="AZ103" s="235" t="e">
        <f t="shared" si="135"/>
        <v>#NAME?</v>
      </c>
      <c r="BA103" s="235" t="e">
        <f t="shared" si="136"/>
        <v>#NAME?</v>
      </c>
      <c r="BB103" s="235" t="e">
        <f t="shared" si="114"/>
        <v>#NAME?</v>
      </c>
      <c r="BC103" s="235" t="e">
        <f t="shared" si="115"/>
        <v>#NAME?</v>
      </c>
      <c r="BD103" s="235" t="e">
        <f t="shared" si="137"/>
        <v>#NAME?</v>
      </c>
      <c r="BE103" s="235" t="e">
        <f t="shared" si="152"/>
        <v>#NAME?</v>
      </c>
      <c r="BF103" s="235" t="e">
        <f t="shared" si="153"/>
        <v>#NAME?</v>
      </c>
      <c r="BG103" s="235" t="e">
        <f t="shared" si="138"/>
        <v>#NAME?</v>
      </c>
      <c r="BH103" s="233" t="e">
        <f t="shared" si="154"/>
        <v>#NAME?</v>
      </c>
      <c r="BI103" s="175">
        <f t="shared" si="116"/>
        <v>116.39999999999999</v>
      </c>
      <c r="BJ103" s="292">
        <v>92.545165908868611</v>
      </c>
      <c r="BK103" s="235">
        <f t="shared" si="155"/>
        <v>0.9254516590886861</v>
      </c>
      <c r="BL103" s="376">
        <v>90.260025913237968</v>
      </c>
      <c r="BM103" s="294"/>
      <c r="BN103" s="387" t="e">
        <f t="shared" si="156"/>
        <v>#NAME?</v>
      </c>
      <c r="BO103" s="387" t="e">
        <f t="shared" si="157"/>
        <v>#NAME?</v>
      </c>
      <c r="BP103" s="175" t="e">
        <f t="shared" si="158"/>
        <v>#NAME?</v>
      </c>
      <c r="BQ103" s="235"/>
      <c r="BR103" s="235"/>
      <c r="BS103" s="235"/>
      <c r="BT103" s="235"/>
    </row>
    <row r="104" spans="6:72" x14ac:dyDescent="0.2">
      <c r="H104" s="173">
        <v>98</v>
      </c>
      <c r="I104" s="513">
        <f t="shared" si="159"/>
        <v>0.1176</v>
      </c>
      <c r="J104" s="175" t="e">
        <f t="shared" si="105"/>
        <v>#NAME?</v>
      </c>
      <c r="K104" s="232" t="e">
        <f t="shared" si="106"/>
        <v>#NAME?</v>
      </c>
      <c r="L104" s="290" t="e">
        <f t="shared" si="117"/>
        <v>#NAME?</v>
      </c>
      <c r="M104" s="208" t="e">
        <f t="shared" si="139"/>
        <v>#NAME?</v>
      </c>
      <c r="N104" s="291" t="e">
        <f t="shared" si="107"/>
        <v>#NAME?</v>
      </c>
      <c r="O104" s="291">
        <f t="shared" si="108"/>
        <v>3.4764519053737601E-5</v>
      </c>
      <c r="P104" s="233" t="e">
        <f t="shared" si="140"/>
        <v>#NAME?</v>
      </c>
      <c r="Q104" s="232" t="e">
        <f t="shared" si="160"/>
        <v>#NAME?</v>
      </c>
      <c r="R104" s="232" t="e">
        <f t="shared" si="118"/>
        <v>#NAME?</v>
      </c>
      <c r="S104" s="517" t="e">
        <f t="shared" si="110"/>
        <v>#NAME?</v>
      </c>
      <c r="T104" s="232" t="e">
        <f t="shared" si="141"/>
        <v>#NAME?</v>
      </c>
      <c r="U104" s="233" t="e">
        <f t="shared" si="111"/>
        <v>#NAME?</v>
      </c>
      <c r="V104" s="232" t="e">
        <f t="shared" si="119"/>
        <v>#NAME?</v>
      </c>
      <c r="W104" s="232" t="e">
        <f t="shared" si="142"/>
        <v>#NAME?</v>
      </c>
      <c r="X104" s="232" t="e">
        <f t="shared" si="120"/>
        <v>#NAME?</v>
      </c>
      <c r="Y104" s="234" t="e">
        <f t="shared" si="121"/>
        <v>#NAME?</v>
      </c>
      <c r="Z104" s="234" t="e">
        <f t="shared" si="143"/>
        <v>#NAME?</v>
      </c>
      <c r="AA104" s="232" t="e">
        <f t="shared" si="122"/>
        <v>#NAME?</v>
      </c>
      <c r="AB104" s="232" t="e">
        <f>RdsonTop*AA104^2</f>
        <v>#NAME?</v>
      </c>
      <c r="AC104" s="232" t="e">
        <f t="shared" si="124"/>
        <v>#NAME?</v>
      </c>
      <c r="AD104">
        <v>20</v>
      </c>
      <c r="AE104" s="208">
        <v>10</v>
      </c>
      <c r="AF104" s="232" t="e">
        <f t="shared" si="125"/>
        <v>#NAME?</v>
      </c>
      <c r="AG104" s="232" t="e">
        <f t="shared" si="126"/>
        <v>#NAME?</v>
      </c>
      <c r="AH104" s="232" t="e">
        <f t="shared" si="144"/>
        <v>#NAME?</v>
      </c>
      <c r="AI104" s="232" t="e">
        <f t="shared" si="127"/>
        <v>#NAME?</v>
      </c>
      <c r="AJ104" s="232" t="e">
        <f>RdsonBot*AI104^2</f>
        <v>#NAME?</v>
      </c>
      <c r="AK104" s="232" t="e">
        <f t="shared" si="129"/>
        <v>#NAME?</v>
      </c>
      <c r="AL104" s="232">
        <f t="shared" si="130"/>
        <v>0</v>
      </c>
      <c r="AM104" s="232" t="e">
        <f t="shared" si="131"/>
        <v>#NAME?</v>
      </c>
      <c r="AN104" s="232" t="e">
        <f t="shared" si="145"/>
        <v>#NAME?</v>
      </c>
      <c r="AO104" s="232" t="e">
        <f t="shared" si="112"/>
        <v>#NAME?</v>
      </c>
      <c r="AP104" s="232" t="e">
        <f t="shared" si="161"/>
        <v>#NAME?</v>
      </c>
      <c r="AQ104" s="232" t="e">
        <f t="shared" si="146"/>
        <v>#NAME?</v>
      </c>
      <c r="AR104" s="232" t="e">
        <f t="shared" si="147"/>
        <v>#NAME?</v>
      </c>
      <c r="AS104" s="232" t="e">
        <f t="shared" si="133"/>
        <v>#NAME?</v>
      </c>
      <c r="AT104" s="232">
        <f t="shared" si="113"/>
        <v>0.58799999999999997</v>
      </c>
      <c r="AU104" s="292" t="e">
        <f t="shared" si="148"/>
        <v>#NAME?</v>
      </c>
      <c r="AV104" s="235" t="e">
        <f t="shared" si="149"/>
        <v>#NAME?</v>
      </c>
      <c r="AW104" s="235" t="e">
        <f t="shared" si="150"/>
        <v>#NAME?</v>
      </c>
      <c r="AX104" s="235" t="e">
        <f t="shared" si="134"/>
        <v>#NAME?</v>
      </c>
      <c r="AY104" s="235" t="e">
        <f t="shared" si="151"/>
        <v>#NAME?</v>
      </c>
      <c r="AZ104" s="235" t="e">
        <f t="shared" si="135"/>
        <v>#NAME?</v>
      </c>
      <c r="BA104" s="235" t="e">
        <f t="shared" si="136"/>
        <v>#NAME?</v>
      </c>
      <c r="BB104" s="235" t="e">
        <f t="shared" si="114"/>
        <v>#NAME?</v>
      </c>
      <c r="BC104" s="235" t="e">
        <f t="shared" si="115"/>
        <v>#NAME?</v>
      </c>
      <c r="BD104" s="235" t="e">
        <f t="shared" si="137"/>
        <v>#NAME?</v>
      </c>
      <c r="BE104" s="235" t="e">
        <f t="shared" si="152"/>
        <v>#NAME?</v>
      </c>
      <c r="BF104" s="235" t="e">
        <f t="shared" si="153"/>
        <v>#NAME?</v>
      </c>
      <c r="BG104" s="235" t="e">
        <f t="shared" si="138"/>
        <v>#NAME?</v>
      </c>
      <c r="BH104" s="233" t="e">
        <f t="shared" si="154"/>
        <v>#NAME?</v>
      </c>
      <c r="BI104" s="175">
        <f t="shared" si="116"/>
        <v>117.6</v>
      </c>
      <c r="BJ104" s="292">
        <v>92.546418729312109</v>
      </c>
      <c r="BK104" s="235">
        <f t="shared" si="155"/>
        <v>0.92546418729312108</v>
      </c>
      <c r="BL104" s="376">
        <v>90.269826505675894</v>
      </c>
      <c r="BM104" s="294"/>
      <c r="BN104" s="387" t="e">
        <f t="shared" si="156"/>
        <v>#NAME?</v>
      </c>
      <c r="BO104" s="387" t="e">
        <f t="shared" si="157"/>
        <v>#NAME?</v>
      </c>
      <c r="BP104" s="175" t="e">
        <f t="shared" si="158"/>
        <v>#NAME?</v>
      </c>
      <c r="BQ104" s="235"/>
      <c r="BR104" s="235"/>
      <c r="BS104" s="235"/>
      <c r="BT104" s="235"/>
    </row>
    <row r="105" spans="6:72" x14ac:dyDescent="0.2">
      <c r="H105" s="173">
        <v>99</v>
      </c>
      <c r="I105" s="513">
        <f t="shared" si="159"/>
        <v>0.11879999999999999</v>
      </c>
      <c r="J105" s="175" t="e">
        <f t="shared" si="105"/>
        <v>#NAME?</v>
      </c>
      <c r="K105" s="232" t="e">
        <f t="shared" si="106"/>
        <v>#NAME?</v>
      </c>
      <c r="L105" s="290" t="e">
        <f t="shared" si="117"/>
        <v>#NAME?</v>
      </c>
      <c r="M105" s="208" t="e">
        <f t="shared" si="139"/>
        <v>#NAME?</v>
      </c>
      <c r="N105" s="291" t="e">
        <f t="shared" si="107"/>
        <v>#NAME?</v>
      </c>
      <c r="O105" s="291">
        <f t="shared" si="108"/>
        <v>3.4413362295619046E-5</v>
      </c>
      <c r="P105" s="233" t="e">
        <f t="shared" si="140"/>
        <v>#NAME?</v>
      </c>
      <c r="Q105" s="232" t="e">
        <f t="shared" si="160"/>
        <v>#NAME?</v>
      </c>
      <c r="R105" s="232" t="e">
        <f t="shared" si="118"/>
        <v>#NAME?</v>
      </c>
      <c r="S105" s="517" t="e">
        <f t="shared" si="110"/>
        <v>#NAME?</v>
      </c>
      <c r="T105" s="232" t="e">
        <f t="shared" si="141"/>
        <v>#NAME?</v>
      </c>
      <c r="U105" s="233" t="e">
        <f t="shared" si="111"/>
        <v>#NAME?</v>
      </c>
      <c r="V105" s="232" t="e">
        <f t="shared" si="119"/>
        <v>#NAME?</v>
      </c>
      <c r="W105" s="232" t="e">
        <f t="shared" si="142"/>
        <v>#NAME?</v>
      </c>
      <c r="X105" s="232" t="e">
        <f t="shared" si="120"/>
        <v>#NAME?</v>
      </c>
      <c r="Y105" s="234" t="e">
        <f t="shared" si="121"/>
        <v>#NAME?</v>
      </c>
      <c r="Z105" s="234" t="e">
        <f t="shared" si="143"/>
        <v>#NAME?</v>
      </c>
      <c r="AA105" s="232" t="e">
        <f t="shared" si="122"/>
        <v>#NAME?</v>
      </c>
      <c r="AB105" s="232" t="e">
        <f>RdsonTop*AA105^2</f>
        <v>#NAME?</v>
      </c>
      <c r="AC105" s="232" t="e">
        <f t="shared" si="124"/>
        <v>#NAME?</v>
      </c>
      <c r="AD105">
        <v>20</v>
      </c>
      <c r="AE105" s="208">
        <v>10</v>
      </c>
      <c r="AF105" s="232" t="e">
        <f t="shared" si="125"/>
        <v>#NAME?</v>
      </c>
      <c r="AG105" s="232" t="e">
        <f t="shared" si="126"/>
        <v>#NAME?</v>
      </c>
      <c r="AH105" s="232" t="e">
        <f t="shared" si="144"/>
        <v>#NAME?</v>
      </c>
      <c r="AI105" s="232" t="e">
        <f t="shared" si="127"/>
        <v>#NAME?</v>
      </c>
      <c r="AJ105" s="232" t="e">
        <f>RdsonBot*AI105^2</f>
        <v>#NAME?</v>
      </c>
      <c r="AK105" s="232" t="e">
        <f t="shared" si="129"/>
        <v>#NAME?</v>
      </c>
      <c r="AL105" s="232">
        <f t="shared" si="130"/>
        <v>0</v>
      </c>
      <c r="AM105" s="232" t="e">
        <f t="shared" si="131"/>
        <v>#NAME?</v>
      </c>
      <c r="AN105" s="232" t="e">
        <f t="shared" si="145"/>
        <v>#NAME?</v>
      </c>
      <c r="AO105" s="232" t="e">
        <f t="shared" si="112"/>
        <v>#NAME?</v>
      </c>
      <c r="AP105" s="232" t="e">
        <f t="shared" si="161"/>
        <v>#NAME?</v>
      </c>
      <c r="AQ105" s="232" t="e">
        <f t="shared" si="146"/>
        <v>#NAME?</v>
      </c>
      <c r="AR105" s="232" t="e">
        <f t="shared" si="147"/>
        <v>#NAME?</v>
      </c>
      <c r="AS105" s="232" t="e">
        <f t="shared" si="133"/>
        <v>#NAME?</v>
      </c>
      <c r="AT105" s="232">
        <f t="shared" si="113"/>
        <v>0.59399999999999997</v>
      </c>
      <c r="AU105" s="292" t="e">
        <f t="shared" si="148"/>
        <v>#NAME?</v>
      </c>
      <c r="AV105" s="235" t="e">
        <f t="shared" si="149"/>
        <v>#NAME?</v>
      </c>
      <c r="AW105" s="235" t="e">
        <f t="shared" si="150"/>
        <v>#NAME?</v>
      </c>
      <c r="AX105" s="235" t="e">
        <f t="shared" si="134"/>
        <v>#NAME?</v>
      </c>
      <c r="AY105" s="235" t="e">
        <f t="shared" si="151"/>
        <v>#NAME?</v>
      </c>
      <c r="AZ105" s="235" t="e">
        <f t="shared" si="135"/>
        <v>#NAME?</v>
      </c>
      <c r="BA105" s="235" t="e">
        <f t="shared" si="136"/>
        <v>#NAME?</v>
      </c>
      <c r="BB105" s="235" t="e">
        <f t="shared" si="114"/>
        <v>#NAME?</v>
      </c>
      <c r="BC105" s="235" t="e">
        <f t="shared" si="115"/>
        <v>#NAME?</v>
      </c>
      <c r="BD105" s="235" t="e">
        <f t="shared" si="137"/>
        <v>#NAME?</v>
      </c>
      <c r="BE105" s="235" t="e">
        <f t="shared" si="152"/>
        <v>#NAME?</v>
      </c>
      <c r="BF105" s="235" t="e">
        <f t="shared" si="153"/>
        <v>#NAME?</v>
      </c>
      <c r="BG105" s="235" t="e">
        <f t="shared" si="138"/>
        <v>#NAME?</v>
      </c>
      <c r="BH105" s="233" t="e">
        <f t="shared" si="154"/>
        <v>#NAME?</v>
      </c>
      <c r="BI105" s="175">
        <f t="shared" si="116"/>
        <v>118.79999999999998</v>
      </c>
      <c r="BJ105" s="292">
        <v>92.547652626407782</v>
      </c>
      <c r="BK105" s="235">
        <f t="shared" si="155"/>
        <v>0.92547652626407784</v>
      </c>
      <c r="BL105" s="376">
        <v>90.27975203107151</v>
      </c>
      <c r="BM105" s="294"/>
      <c r="BN105" s="387" t="e">
        <f t="shared" si="156"/>
        <v>#NAME?</v>
      </c>
      <c r="BO105" s="387" t="e">
        <f t="shared" si="157"/>
        <v>#NAME?</v>
      </c>
      <c r="BP105" s="175" t="e">
        <f t="shared" si="158"/>
        <v>#NAME?</v>
      </c>
      <c r="BQ105" s="235"/>
      <c r="BR105" s="235"/>
      <c r="BS105" s="235"/>
      <c r="BT105" s="235"/>
    </row>
    <row r="106" spans="6:72" x14ac:dyDescent="0.2">
      <c r="H106" s="173">
        <v>100</v>
      </c>
      <c r="I106" s="513">
        <f t="shared" si="159"/>
        <v>0.12</v>
      </c>
      <c r="J106" s="175" t="e">
        <f t="shared" si="105"/>
        <v>#NAME?</v>
      </c>
      <c r="K106" s="232" t="e">
        <f t="shared" si="106"/>
        <v>#NAME?</v>
      </c>
      <c r="L106" s="290" t="e">
        <f t="shared" si="117"/>
        <v>#NAME?</v>
      </c>
      <c r="M106" s="208" t="e">
        <f t="shared" si="139"/>
        <v>#NAME?</v>
      </c>
      <c r="N106" s="291" t="e">
        <f t="shared" si="107"/>
        <v>#NAME?</v>
      </c>
      <c r="O106" s="291">
        <f t="shared" si="108"/>
        <v>3.4069228672662852E-5</v>
      </c>
      <c r="P106" s="233" t="e">
        <f t="shared" si="140"/>
        <v>#NAME?</v>
      </c>
      <c r="Q106" s="232" t="e">
        <f t="shared" si="160"/>
        <v>#NAME?</v>
      </c>
      <c r="R106" s="232" t="e">
        <f t="shared" si="118"/>
        <v>#NAME?</v>
      </c>
      <c r="S106" s="517" t="e">
        <f t="shared" si="110"/>
        <v>#NAME?</v>
      </c>
      <c r="T106" s="232" t="e">
        <f t="shared" si="141"/>
        <v>#NAME?</v>
      </c>
      <c r="U106" s="233" t="e">
        <f t="shared" si="111"/>
        <v>#NAME?</v>
      </c>
      <c r="V106" s="232" t="e">
        <f t="shared" si="119"/>
        <v>#NAME?</v>
      </c>
      <c r="W106" s="232" t="e">
        <f t="shared" si="142"/>
        <v>#NAME?</v>
      </c>
      <c r="X106" s="232" t="e">
        <f t="shared" si="120"/>
        <v>#NAME?</v>
      </c>
      <c r="Y106" s="234" t="e">
        <f t="shared" si="121"/>
        <v>#NAME?</v>
      </c>
      <c r="Z106" s="234" t="e">
        <f t="shared" si="143"/>
        <v>#NAME?</v>
      </c>
      <c r="AA106" s="232" t="e">
        <f t="shared" si="122"/>
        <v>#NAME?</v>
      </c>
      <c r="AB106" s="232" t="e">
        <f>RdsonTop*AA106^2</f>
        <v>#NAME?</v>
      </c>
      <c r="AC106" s="232" t="e">
        <f t="shared" si="124"/>
        <v>#NAME?</v>
      </c>
      <c r="AD106">
        <v>20</v>
      </c>
      <c r="AE106" s="208">
        <v>10</v>
      </c>
      <c r="AF106" s="232" t="e">
        <f t="shared" si="125"/>
        <v>#NAME?</v>
      </c>
      <c r="AG106" s="232" t="e">
        <f t="shared" si="126"/>
        <v>#NAME?</v>
      </c>
      <c r="AH106" s="232" t="e">
        <f t="shared" si="144"/>
        <v>#NAME?</v>
      </c>
      <c r="AI106" s="232" t="e">
        <f t="shared" si="127"/>
        <v>#NAME?</v>
      </c>
      <c r="AJ106" s="232" t="e">
        <f>RdsonBot*AI106^2</f>
        <v>#NAME?</v>
      </c>
      <c r="AK106" s="232" t="e">
        <f t="shared" si="129"/>
        <v>#NAME?</v>
      </c>
      <c r="AL106" s="232">
        <f t="shared" si="130"/>
        <v>0</v>
      </c>
      <c r="AM106" s="232" t="e">
        <f t="shared" si="131"/>
        <v>#NAME?</v>
      </c>
      <c r="AN106" s="232" t="e">
        <f t="shared" si="145"/>
        <v>#NAME?</v>
      </c>
      <c r="AO106" s="232" t="e">
        <f t="shared" si="112"/>
        <v>#NAME?</v>
      </c>
      <c r="AP106" s="232" t="e">
        <f t="shared" si="161"/>
        <v>#NAME?</v>
      </c>
      <c r="AQ106" s="232" t="e">
        <f t="shared" si="146"/>
        <v>#NAME?</v>
      </c>
      <c r="AR106" s="232" t="e">
        <f t="shared" si="147"/>
        <v>#NAME?</v>
      </c>
      <c r="AS106" s="232" t="e">
        <f>SUM(T106,W106,Z106,AR106)</f>
        <v>#NAME?</v>
      </c>
      <c r="AT106" s="232">
        <f t="shared" si="113"/>
        <v>0.6</v>
      </c>
      <c r="AU106" s="292" t="e">
        <f t="shared" si="148"/>
        <v>#NAME?</v>
      </c>
      <c r="AV106" s="235" t="e">
        <f t="shared" si="149"/>
        <v>#NAME?</v>
      </c>
      <c r="AW106" s="235" t="e">
        <f t="shared" si="150"/>
        <v>#NAME?</v>
      </c>
      <c r="AX106" s="235" t="e">
        <f t="shared" si="134"/>
        <v>#NAME?</v>
      </c>
      <c r="AY106" s="235" t="e">
        <f t="shared" si="151"/>
        <v>#NAME?</v>
      </c>
      <c r="AZ106" s="235" t="e">
        <f t="shared" si="135"/>
        <v>#NAME?</v>
      </c>
      <c r="BA106" s="235" t="e">
        <f t="shared" si="136"/>
        <v>#NAME?</v>
      </c>
      <c r="BB106" s="235" t="e">
        <f t="shared" si="114"/>
        <v>#NAME?</v>
      </c>
      <c r="BC106" s="235" t="e">
        <f t="shared" si="115"/>
        <v>#NAME?</v>
      </c>
      <c r="BD106" s="235" t="e">
        <f t="shared" si="137"/>
        <v>#NAME?</v>
      </c>
      <c r="BE106" s="235" t="e">
        <f t="shared" si="152"/>
        <v>#NAME?</v>
      </c>
      <c r="BF106" s="235" t="e">
        <f t="shared" si="153"/>
        <v>#NAME?</v>
      </c>
      <c r="BG106" s="235" t="e">
        <f t="shared" si="138"/>
        <v>#NAME?</v>
      </c>
      <c r="BH106" s="233" t="e">
        <f t="shared" si="154"/>
        <v>#NAME?</v>
      </c>
      <c r="BI106" s="175">
        <f t="shared" si="116"/>
        <v>120</v>
      </c>
      <c r="BJ106" s="292">
        <v>92.54886816441558</v>
      </c>
      <c r="BK106" s="235">
        <f t="shared" si="155"/>
        <v>0.92548868164415576</v>
      </c>
      <c r="BL106" s="376">
        <v>90.289880442384444</v>
      </c>
      <c r="BM106" s="294"/>
      <c r="BN106" s="387" t="e">
        <f t="shared" si="156"/>
        <v>#NAME?</v>
      </c>
      <c r="BO106" s="387" t="e">
        <f t="shared" si="157"/>
        <v>#NAME?</v>
      </c>
      <c r="BP106" s="175" t="e">
        <f t="shared" si="158"/>
        <v>#NAME?</v>
      </c>
      <c r="BQ106" s="235"/>
      <c r="BR106" s="235"/>
      <c r="BS106" s="235"/>
      <c r="BT106" s="235"/>
    </row>
    <row r="107" spans="6:72" x14ac:dyDescent="0.2">
      <c r="BK107" s="235"/>
      <c r="BL107" s="293"/>
      <c r="BM107" s="294"/>
      <c r="BN107" s="387"/>
      <c r="BO107" s="387"/>
      <c r="BQ107" s="235"/>
      <c r="BR107" s="235"/>
      <c r="BS107" s="235"/>
      <c r="BT107" s="235"/>
    </row>
    <row r="108" spans="6:72" x14ac:dyDescent="0.2">
      <c r="H108" s="382">
        <v>1.0000000000000001E-5</v>
      </c>
      <c r="I108" s="233" t="s">
        <v>2</v>
      </c>
      <c r="J108" s="232" t="s">
        <v>395</v>
      </c>
    </row>
    <row r="109" spans="6:72" x14ac:dyDescent="0.2">
      <c r="H109" s="289">
        <f>Iout_maxload_PFM</f>
        <v>0.12</v>
      </c>
      <c r="I109" s="233" t="s">
        <v>2</v>
      </c>
      <c r="J109" s="232" t="s">
        <v>396</v>
      </c>
      <c r="N109" s="474">
        <f>O106</f>
        <v>3.4069228672662852E-5</v>
      </c>
      <c r="O109" s="345" t="s">
        <v>528</v>
      </c>
      <c r="AU109" s="343" t="s">
        <v>397</v>
      </c>
      <c r="AV109" s="344" t="e">
        <f>AV106</f>
        <v>#NAME?</v>
      </c>
      <c r="AW109" s="344" t="e">
        <f>AW106</f>
        <v>#NAME?</v>
      </c>
      <c r="AX109" s="344" t="e">
        <f>AX106</f>
        <v>#NAME?</v>
      </c>
      <c r="AY109" s="344" t="e">
        <f>AY106</f>
        <v>#NAME?</v>
      </c>
      <c r="AZ109" s="289"/>
      <c r="BA109" s="344" t="e">
        <f>BA106</f>
        <v>#NAME?</v>
      </c>
      <c r="BB109" s="344" t="e">
        <f>BB106</f>
        <v>#NAME?</v>
      </c>
      <c r="BC109" s="344" t="e">
        <f>BC106</f>
        <v>#NAME?</v>
      </c>
      <c r="BD109" s="289"/>
      <c r="BE109" s="344" t="e">
        <f>BE106</f>
        <v>#NAME?</v>
      </c>
    </row>
    <row r="110" spans="6:72" x14ac:dyDescent="0.2">
      <c r="H110" s="289">
        <f>LOG(max_I/min_I,EXP(1))</f>
        <v>9.3926619287701367</v>
      </c>
      <c r="I110" s="233"/>
      <c r="J110" s="232" t="s">
        <v>398</v>
      </c>
      <c r="N110" s="347" t="e">
        <f>AT106+AS106</f>
        <v>#NAME?</v>
      </c>
      <c r="O110" s="345" t="s">
        <v>529</v>
      </c>
      <c r="AU110" s="343" t="s">
        <v>399</v>
      </c>
      <c r="AV110" s="344" t="e">
        <f>AV56</f>
        <v>#NAME?</v>
      </c>
      <c r="AW110" s="344" t="e">
        <f t="shared" ref="AW110:BE110" si="162">AW56</f>
        <v>#NAME?</v>
      </c>
      <c r="AX110" s="344" t="e">
        <f t="shared" si="162"/>
        <v>#NAME?</v>
      </c>
      <c r="AY110" s="344" t="e">
        <f t="shared" si="162"/>
        <v>#NAME?</v>
      </c>
      <c r="AZ110" s="344"/>
      <c r="BA110" s="344" t="e">
        <f t="shared" si="162"/>
        <v>#NAME?</v>
      </c>
      <c r="BB110" s="344" t="e">
        <f t="shared" si="162"/>
        <v>#NAME?</v>
      </c>
      <c r="BC110" s="344" t="e">
        <f t="shared" si="162"/>
        <v>#NAME?</v>
      </c>
      <c r="BD110" s="344"/>
      <c r="BE110" s="344" t="e">
        <f t="shared" si="162"/>
        <v>#NAME?</v>
      </c>
    </row>
    <row r="111" spans="6:72" x14ac:dyDescent="0.2">
      <c r="N111" s="347" t="e">
        <f>N110/VIN_nom</f>
        <v>#NAME?</v>
      </c>
      <c r="O111" s="345" t="s">
        <v>530</v>
      </c>
      <c r="AY111" s="235"/>
      <c r="AZ111" s="235"/>
      <c r="BA111" s="235"/>
      <c r="BC111" s="235"/>
      <c r="BD111" s="235"/>
      <c r="BE111" s="235"/>
    </row>
    <row r="112" spans="6:72" x14ac:dyDescent="0.2">
      <c r="J112" s="345"/>
      <c r="K112" s="345"/>
      <c r="N112" s="291"/>
      <c r="P112" s="346"/>
      <c r="Q112" s="347"/>
    </row>
    <row r="113" spans="10:58" x14ac:dyDescent="0.2">
      <c r="J113" s="345"/>
      <c r="K113" s="345"/>
      <c r="P113" s="346"/>
      <c r="Q113" s="347"/>
    </row>
    <row r="114" spans="10:58" x14ac:dyDescent="0.2">
      <c r="P114" s="346"/>
      <c r="Q114" s="347"/>
    </row>
    <row r="115" spans="10:58" x14ac:dyDescent="0.2">
      <c r="AU115" s="343"/>
      <c r="AV115" s="344"/>
      <c r="AW115" s="344"/>
      <c r="AX115" s="344"/>
      <c r="AY115" s="344"/>
      <c r="AZ115" s="344"/>
      <c r="BA115" s="344"/>
      <c r="BB115" s="344"/>
      <c r="BC115" s="344"/>
      <c r="BD115" s="344"/>
      <c r="BE115" s="344"/>
    </row>
    <row r="116" spans="10:58" x14ac:dyDescent="0.2">
      <c r="P116" s="346"/>
      <c r="Q116" s="347"/>
    </row>
    <row r="125" spans="10:58" x14ac:dyDescent="0.2">
      <c r="AT125" s="232" t="s">
        <v>275</v>
      </c>
      <c r="AU125" s="343" t="s">
        <v>399</v>
      </c>
      <c r="AV125" s="344">
        <v>1.0297657167620348E-2</v>
      </c>
      <c r="AW125" s="344">
        <v>1.8557479052598299E-2</v>
      </c>
      <c r="AX125" s="344">
        <v>2.1886458807960196E-2</v>
      </c>
      <c r="AY125" s="344">
        <v>2.0607602979573505E-2</v>
      </c>
      <c r="AZ125" s="344">
        <v>0</v>
      </c>
      <c r="BA125" s="344">
        <v>2.370003140169575E-3</v>
      </c>
      <c r="BB125" s="344">
        <v>1.2764483100900866E-2</v>
      </c>
      <c r="BC125" s="344">
        <v>2.3876651606253522E-2</v>
      </c>
      <c r="BD125" s="344">
        <v>4.2888258889496483E-5</v>
      </c>
      <c r="BE125" s="344">
        <v>4.9146718244167699E-2</v>
      </c>
      <c r="BF125" s="173">
        <v>0.1595499423581335</v>
      </c>
    </row>
    <row r="126" spans="10:58" x14ac:dyDescent="0.2">
      <c r="J126" s="173"/>
      <c r="K126" s="173"/>
      <c r="AT126" s="232" t="s">
        <v>267</v>
      </c>
      <c r="AU126" s="235" t="s">
        <v>399</v>
      </c>
      <c r="AV126" s="365">
        <v>3.6409104085968987E-3</v>
      </c>
      <c r="AW126" s="365">
        <v>6.5692245841190103E-3</v>
      </c>
      <c r="AX126" s="365">
        <v>5.4394694205683519E-2</v>
      </c>
      <c r="AY126" s="365">
        <v>4.5907837520612008E-3</v>
      </c>
      <c r="AZ126" s="365">
        <v>0</v>
      </c>
      <c r="BA126" s="365">
        <v>7.3751579484765363E-4</v>
      </c>
      <c r="BB126" s="365">
        <v>7.2151246180390156E-3</v>
      </c>
      <c r="BC126" s="365">
        <v>1.4929120352630757E-2</v>
      </c>
      <c r="BD126" s="365">
        <v>5.5024434421027814E-6</v>
      </c>
      <c r="BE126" s="365">
        <v>8.2551506228875166E-2</v>
      </c>
    </row>
    <row r="127" spans="10:58" x14ac:dyDescent="0.2">
      <c r="J127" s="173"/>
      <c r="K127" s="173"/>
    </row>
    <row r="128" spans="10:58" x14ac:dyDescent="0.2">
      <c r="J128" s="173"/>
      <c r="K128" s="173"/>
    </row>
    <row r="129" spans="10:57" x14ac:dyDescent="0.2">
      <c r="J129" s="233"/>
      <c r="K129" s="233"/>
    </row>
    <row r="130" spans="10:57" x14ac:dyDescent="0.2">
      <c r="J130" s="233"/>
      <c r="K130" s="233"/>
    </row>
    <row r="131" spans="10:57" x14ac:dyDescent="0.2">
      <c r="J131" s="233"/>
      <c r="K131" s="233"/>
      <c r="AT131" s="232" t="s">
        <v>275</v>
      </c>
      <c r="AU131" s="175" t="s">
        <v>397</v>
      </c>
      <c r="AV131" s="235">
        <v>1.0757450496859163E-2</v>
      </c>
      <c r="AW131" s="235">
        <v>1.9386075784552374E-2</v>
      </c>
      <c r="AX131" s="235">
        <v>2.2863695435355675E-2</v>
      </c>
      <c r="AY131" s="235">
        <v>2.1527738329525089E-2</v>
      </c>
      <c r="AZ131" s="235">
        <v>0</v>
      </c>
      <c r="BA131" s="235">
        <v>2.4758244562599445E-3</v>
      </c>
      <c r="BB131" s="235">
        <v>1.3334420911554554E-2</v>
      </c>
      <c r="BC131" s="235">
        <v>2.4942750909659597E-2</v>
      </c>
      <c r="BD131" s="235">
        <v>3.6915573345206084E-5</v>
      </c>
      <c r="BE131" s="235">
        <v>6.6987357062394748E-3</v>
      </c>
    </row>
    <row r="132" spans="10:57" x14ac:dyDescent="0.2">
      <c r="J132" s="233"/>
      <c r="K132" s="233"/>
      <c r="AT132" s="232" t="s">
        <v>267</v>
      </c>
      <c r="AU132" s="175" t="s">
        <v>397</v>
      </c>
      <c r="AV132" s="365">
        <v>8.1000709018000279E-3</v>
      </c>
      <c r="AW132" s="365">
        <v>1.4614802049391215E-2</v>
      </c>
      <c r="AX132" s="365">
        <v>2.4831534664325892E-2</v>
      </c>
      <c r="AY132" s="365">
        <v>9.9057039827182662E-3</v>
      </c>
      <c r="AZ132" s="365">
        <v>1.1631608311305648E-2</v>
      </c>
      <c r="BA132" s="365">
        <v>1.6465542803473395E-3</v>
      </c>
      <c r="BB132" s="365">
        <v>1.6051760250250457E-2</v>
      </c>
      <c r="BC132" s="365">
        <v>6.8152413568584669E-3</v>
      </c>
      <c r="BD132" s="365">
        <v>1.7517781122613987E-5</v>
      </c>
      <c r="BE132" s="365">
        <v>1.2837829865088564E-2</v>
      </c>
    </row>
    <row r="133" spans="10:57" x14ac:dyDescent="0.2">
      <c r="J133" s="233"/>
      <c r="K133" s="233"/>
    </row>
    <row r="137" spans="10:57" x14ac:dyDescent="0.2">
      <c r="AV137" s="365"/>
      <c r="AW137" s="365"/>
      <c r="AX137" s="365"/>
      <c r="AY137" s="365"/>
      <c r="AZ137" s="365"/>
      <c r="BA137" s="365"/>
      <c r="BB137" s="365"/>
      <c r="BC137" s="365"/>
      <c r="BD137" s="365"/>
      <c r="BE137" s="365"/>
    </row>
    <row r="138" spans="10:57" x14ac:dyDescent="0.2">
      <c r="AV138" s="365"/>
      <c r="AW138" s="365"/>
      <c r="AX138" s="365"/>
      <c r="AY138" s="365"/>
      <c r="AZ138" s="365"/>
      <c r="BA138" s="365"/>
      <c r="BB138" s="365"/>
      <c r="BC138" s="365"/>
      <c r="BD138" s="365"/>
      <c r="BE138" s="365"/>
    </row>
  </sheetData>
  <mergeCells count="3">
    <mergeCell ref="A1:E3"/>
    <mergeCell ref="G2:H2"/>
    <mergeCell ref="A4:E4"/>
  </mergeCells>
  <conditionalFormatting sqref="B29:B31">
    <cfRule type="cellIs" dxfId="22" priority="6" stopIfTrue="1" operator="notEqual">
      <formula>G28</formula>
    </cfRule>
  </conditionalFormatting>
  <conditionalFormatting sqref="B30:B31">
    <cfRule type="cellIs" dxfId="21" priority="5" stopIfTrue="1" operator="notEqual">
      <formula>G29</formula>
    </cfRule>
  </conditionalFormatting>
  <conditionalFormatting sqref="B32:B35">
    <cfRule type="cellIs" dxfId="20" priority="4" stopIfTrue="1" operator="notEqual">
      <formula>G36</formula>
    </cfRule>
  </conditionalFormatting>
  <conditionalFormatting sqref="B37:B41">
    <cfRule type="cellIs" dxfId="19" priority="3" stopIfTrue="1" operator="notEqual">
      <formula>G42</formula>
    </cfRule>
  </conditionalFormatting>
  <conditionalFormatting sqref="B43:B44">
    <cfRule type="cellIs" dxfId="18" priority="2" stopIfTrue="1" operator="notEqual">
      <formula>G53</formula>
    </cfRule>
  </conditionalFormatting>
  <conditionalFormatting sqref="B51:B52">
    <cfRule type="cellIs" dxfId="17" priority="7" stopIfTrue="1" operator="notEqual">
      <formula>G69</formula>
    </cfRule>
  </conditionalFormatting>
  <conditionalFormatting sqref="B48">
    <cfRule type="cellIs" dxfId="16" priority="8" stopIfTrue="1" operator="notEqual">
      <formula>G64</formula>
    </cfRule>
  </conditionalFormatting>
  <conditionalFormatting sqref="B50">
    <cfRule type="cellIs" dxfId="15" priority="9" stopIfTrue="1" operator="notEqual">
      <formula>G66</formula>
    </cfRule>
  </conditionalFormatting>
  <conditionalFormatting sqref="B45:B46">
    <cfRule type="cellIs" dxfId="14" priority="10" stopIfTrue="1" operator="notEqual">
      <formula>G55</formula>
    </cfRule>
  </conditionalFormatting>
  <conditionalFormatting sqref="B49">
    <cfRule type="cellIs" dxfId="13" priority="1" stopIfTrue="1" operator="notEqual">
      <formula>G66</formula>
    </cfRule>
  </conditionalFormatting>
  <conditionalFormatting sqref="B53">
    <cfRule type="cellIs" dxfId="12" priority="11" stopIfTrue="1" operator="notEqual">
      <formula>G73</formula>
    </cfRule>
  </conditionalFormatting>
  <pageMargins left="0.75" right="0.75" top="1" bottom="1" header="0.5" footer="0.5"/>
  <pageSetup scale="79" orientation="portrait" r:id="rId1"/>
  <headerFooter alignWithMargins="0"/>
  <colBreaks count="1" manualBreakCount="1">
    <brk id="7" max="1048575" man="1"/>
  </colBreaks>
  <ignoredErrors>
    <ignoredError sqref="B8:B9 BN8:BO106 BN6:BO6 B29:B30 B32:B35" unlockedFormula="1"/>
    <ignoredError sqref="D33" formula="1"/>
  </ignoredErrors>
  <drawing r:id="rId2"/>
  <legacyDrawing r:id="rId3"/>
  <oleObjects>
    <mc:AlternateContent xmlns:mc="http://schemas.openxmlformats.org/markup-compatibility/2006">
      <mc:Choice Requires="x14">
        <oleObject progId="Visio.Drawing.11" shapeId="684033" r:id="rId4">
          <objectPr defaultSize="0" autoPict="0" r:id="rId5">
            <anchor moveWithCells="1">
              <from>
                <xdr:col>17</xdr:col>
                <xdr:colOff>85725</xdr:colOff>
                <xdr:row>115</xdr:row>
                <xdr:rowOff>9525</xdr:rowOff>
              </from>
              <to>
                <xdr:col>30</xdr:col>
                <xdr:colOff>571500</xdr:colOff>
                <xdr:row>129</xdr:row>
                <xdr:rowOff>9525</xdr:rowOff>
              </to>
            </anchor>
          </objectPr>
        </oleObject>
      </mc:Choice>
      <mc:Fallback>
        <oleObject progId="Visio.Drawing.11" shapeId="684033" r:id="rId4"/>
      </mc:Fallback>
    </mc:AlternateContent>
  </oleObjects>
  <mc:AlternateContent xmlns:mc="http://schemas.openxmlformats.org/markup-compatibility/2006">
    <mc:Choice Requires="x14">
      <controls>
        <mc:AlternateContent xmlns:mc="http://schemas.openxmlformats.org/markup-compatibility/2006">
          <mc:Choice Requires="x14">
            <control shapeId="684034" r:id="rId6" name="Button 2">
              <controlPr defaultSize="0" autoFill="0" autoPict="0" macro="[0]!Store_Old_Data_PFM" altText="Store Efficiency Data">
                <anchor moveWithCells="1" sizeWithCells="1">
                  <from>
                    <xdr:col>5</xdr:col>
                    <xdr:colOff>200025</xdr:colOff>
                    <xdr:row>49</xdr:row>
                    <xdr:rowOff>114300</xdr:rowOff>
                  </from>
                  <to>
                    <xdr:col>6</xdr:col>
                    <xdr:colOff>428625</xdr:colOff>
                    <xdr:row>54</xdr:row>
                    <xdr:rowOff>19050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BZ133"/>
  <sheetViews>
    <sheetView showWhiteSpace="0" zoomScale="90" zoomScaleNormal="90" workbookViewId="0">
      <pane ySplit="5" topLeftCell="A6" activePane="bottomLeft" state="frozen"/>
      <selection pane="bottomLeft" activeCell="B28" sqref="B28"/>
    </sheetView>
  </sheetViews>
  <sheetFormatPr defaultColWidth="9.140625" defaultRowHeight="12.75" x14ac:dyDescent="0.2"/>
  <cols>
    <col min="1" max="1" width="15.7109375" style="173" customWidth="1"/>
    <col min="2" max="2" width="11.5703125" style="173" customWidth="1"/>
    <col min="3" max="3" width="9.140625" style="173"/>
    <col min="4" max="4" width="12.42578125" style="173" bestFit="1" customWidth="1"/>
    <col min="5" max="5" width="51.42578125" style="173" customWidth="1"/>
    <col min="6" max="6" width="13.42578125" style="173" customWidth="1"/>
    <col min="7" max="7" width="10" style="173" customWidth="1"/>
    <col min="8" max="8" width="6.85546875" style="173" customWidth="1"/>
    <col min="9" max="9" width="12.42578125" style="173" bestFit="1" customWidth="1"/>
    <col min="10" max="10" width="9.140625" style="232" customWidth="1"/>
    <col min="11" max="12" width="8.85546875"/>
    <col min="13" max="13" width="10" style="173" customWidth="1"/>
    <col min="14" max="14" width="7" style="232" customWidth="1"/>
    <col min="15" max="16" width="10.5703125" style="208" customWidth="1"/>
    <col min="17" max="17" width="10" style="208" customWidth="1"/>
    <col min="18" max="18" width="10.5703125" style="208" customWidth="1"/>
    <col min="19" max="19" width="8.42578125" style="232" customWidth="1"/>
    <col min="20" max="20" width="9.28515625" style="232" customWidth="1"/>
    <col min="21" max="21" width="9.42578125" style="173" customWidth="1"/>
    <col min="22" max="22" width="9.42578125" style="232" customWidth="1"/>
    <col min="23" max="23" width="8.28515625" style="233" customWidth="1"/>
    <col min="24" max="24" width="9.5703125" style="232" customWidth="1"/>
    <col min="25" max="25" width="9.42578125" style="232" bestFit="1" customWidth="1"/>
    <col min="26" max="26" width="8.5703125" style="232" customWidth="1"/>
    <col min="27" max="27" width="9.7109375" style="234" customWidth="1"/>
    <col min="28" max="28" width="9.140625" style="234" customWidth="1"/>
    <col min="29" max="29" width="8.140625" style="232" customWidth="1"/>
    <col min="30" max="30" width="10.28515625" style="232" customWidth="1"/>
    <col min="31" max="31" width="9.42578125" style="232" customWidth="1"/>
    <col min="32" max="32" width="8.85546875"/>
    <col min="33" max="33" width="9.7109375" style="232" customWidth="1"/>
    <col min="34" max="34" width="11.5703125" style="232" customWidth="1"/>
    <col min="35" max="35" width="10.140625" style="232" customWidth="1"/>
    <col min="36" max="36" width="11.140625" style="232" customWidth="1"/>
    <col min="37" max="37" width="9.140625" style="232"/>
    <col min="38" max="38" width="10.28515625" style="232" customWidth="1"/>
    <col min="39" max="39" width="9.85546875" style="232" customWidth="1"/>
    <col min="40" max="40" width="9.7109375" style="232" customWidth="1"/>
    <col min="41" max="41" width="10.28515625" style="232" customWidth="1"/>
    <col min="42" max="42" width="10.140625" style="232" customWidth="1"/>
    <col min="43" max="43" width="10.42578125" style="232" customWidth="1"/>
    <col min="44" max="44" width="11.28515625" style="232" customWidth="1"/>
    <col min="45" max="45" width="11.7109375" style="232" customWidth="1"/>
    <col min="46" max="46" width="10.42578125" style="232" customWidth="1"/>
    <col min="47" max="47" width="11.42578125" style="232" customWidth="1"/>
    <col min="48" max="48" width="10.140625" style="232" customWidth="1"/>
    <col min="49" max="49" width="10" style="175" bestFit="1" customWidth="1"/>
    <col min="50" max="52" width="12.7109375" style="358" customWidth="1"/>
    <col min="53" max="53" width="14" style="358" customWidth="1"/>
    <col min="54" max="54" width="12.85546875" style="358" customWidth="1"/>
    <col min="55" max="55" width="10.42578125" style="358" customWidth="1"/>
    <col min="56" max="56" width="9" style="358" customWidth="1"/>
    <col min="57" max="57" width="8.85546875" style="358" customWidth="1"/>
    <col min="58" max="58" width="10.85546875" style="358" customWidth="1"/>
    <col min="59" max="59" width="11.140625" style="358" customWidth="1"/>
    <col min="60" max="61" width="9.140625" style="358"/>
    <col min="62" max="62" width="8.85546875" style="175" customWidth="1"/>
    <col min="63" max="63" width="9.140625" style="233"/>
    <col min="64" max="64" width="12.5703125" style="173" customWidth="1"/>
    <col min="65" max="65" width="13.5703125" style="175" customWidth="1"/>
    <col min="66" max="66" width="12.7109375" style="208" customWidth="1"/>
    <col min="67" max="67" width="3.7109375" style="173" customWidth="1"/>
    <col min="68" max="68" width="12.42578125" style="173" bestFit="1" customWidth="1"/>
    <col min="69" max="69" width="3.5703125" style="173" customWidth="1"/>
    <col min="70" max="70" width="9.140625" style="175"/>
    <col min="71" max="71" width="11.140625" style="175" customWidth="1"/>
    <col min="72" max="72" width="9.140625" style="175"/>
    <col min="73" max="73" width="4.7109375" style="173" customWidth="1"/>
    <col min="74" max="74" width="3.7109375" style="173" customWidth="1"/>
    <col min="75" max="75" width="12.42578125" style="173" customWidth="1"/>
    <col min="76" max="76" width="11.85546875" style="173" customWidth="1"/>
    <col min="77" max="77" width="11.5703125" style="173" customWidth="1"/>
    <col min="78" max="78" width="11.7109375" style="173" customWidth="1"/>
    <col min="79" max="79" width="9.140625" style="173"/>
    <col min="80" max="80" width="9.140625" style="173" customWidth="1"/>
    <col min="81" max="16384" width="9.140625" style="173"/>
  </cols>
  <sheetData>
    <row r="1" spans="1:78" x14ac:dyDescent="0.2">
      <c r="A1" s="596" t="s">
        <v>283</v>
      </c>
      <c r="B1" s="596"/>
      <c r="C1" s="596"/>
      <c r="D1" s="596"/>
      <c r="E1" s="596"/>
    </row>
    <row r="2" spans="1:78" ht="15.75" x14ac:dyDescent="0.2">
      <c r="A2" s="596"/>
      <c r="B2" s="596"/>
      <c r="C2" s="596"/>
      <c r="D2" s="596"/>
      <c r="E2" s="596"/>
      <c r="G2" s="597" t="s">
        <v>33</v>
      </c>
      <c r="H2" s="597"/>
      <c r="AC2" s="232">
        <v>1.9257738538542499E-2</v>
      </c>
      <c r="AD2" s="232">
        <v>7.417209872377299E-4</v>
      </c>
      <c r="AE2" s="232">
        <v>1.2403450565440797E-3</v>
      </c>
      <c r="AF2">
        <v>20</v>
      </c>
      <c r="AG2" s="232">
        <v>7.1523178807947021</v>
      </c>
      <c r="AH2" s="232">
        <v>0</v>
      </c>
      <c r="AI2" s="232">
        <v>8.3629954314142624E-4</v>
      </c>
      <c r="AJ2" s="232">
        <v>1.5780205303791562E-3</v>
      </c>
      <c r="AL2" s="291">
        <f>Ifb</f>
        <v>6.9999999999999999E-6</v>
      </c>
    </row>
    <row r="3" spans="1:78" ht="13.5" thickBot="1" x14ac:dyDescent="0.25">
      <c r="A3" s="596"/>
      <c r="B3" s="596"/>
      <c r="C3" s="596"/>
      <c r="D3" s="596"/>
      <c r="E3" s="596"/>
    </row>
    <row r="4" spans="1:78" ht="13.5" thickBot="1" x14ac:dyDescent="0.25">
      <c r="A4" s="598"/>
      <c r="B4" s="598"/>
      <c r="C4" s="598"/>
      <c r="D4" s="598"/>
      <c r="E4" s="598"/>
      <c r="H4" s="236" t="s">
        <v>34</v>
      </c>
      <c r="I4" s="237"/>
      <c r="J4" s="238"/>
      <c r="K4" s="599" t="s">
        <v>284</v>
      </c>
      <c r="L4" s="600"/>
      <c r="M4" s="600"/>
      <c r="N4" s="600"/>
      <c r="O4" s="600"/>
      <c r="P4" s="600"/>
      <c r="Q4" s="600"/>
      <c r="R4" s="601"/>
      <c r="S4" s="242" t="s">
        <v>285</v>
      </c>
      <c r="T4" s="243"/>
      <c r="U4" s="244"/>
      <c r="V4" s="245"/>
      <c r="W4" s="246" t="s">
        <v>21</v>
      </c>
      <c r="X4" s="247"/>
      <c r="Y4" s="238"/>
      <c r="Z4" s="242" t="s">
        <v>39</v>
      </c>
      <c r="AA4" s="248"/>
      <c r="AB4" s="249"/>
      <c r="AC4" s="242" t="s">
        <v>286</v>
      </c>
      <c r="AD4" s="243"/>
      <c r="AE4" s="243"/>
      <c r="AF4" s="504"/>
      <c r="AG4" s="504"/>
      <c r="AH4" s="243"/>
      <c r="AI4" s="243"/>
      <c r="AJ4" s="238"/>
      <c r="AK4" s="250" t="s">
        <v>287</v>
      </c>
      <c r="AL4" s="251"/>
      <c r="AM4" s="251"/>
      <c r="AN4" s="250" t="s">
        <v>288</v>
      </c>
      <c r="AO4" s="512"/>
      <c r="AP4" s="512"/>
      <c r="AQ4" s="251"/>
      <c r="AR4" s="255"/>
      <c r="AS4" s="256"/>
      <c r="AT4" s="257"/>
      <c r="AU4" s="242" t="s">
        <v>255</v>
      </c>
      <c r="AV4" s="243"/>
      <c r="AW4" s="244"/>
      <c r="AX4" s="359"/>
      <c r="AY4" s="359"/>
      <c r="AZ4" s="359"/>
      <c r="BA4" s="359"/>
      <c r="BB4" s="359"/>
      <c r="BC4" s="359"/>
      <c r="BD4" s="359"/>
      <c r="BE4" s="359"/>
      <c r="BF4" s="359"/>
      <c r="BG4" s="359"/>
      <c r="BH4" s="359"/>
      <c r="BI4" s="359"/>
      <c r="BJ4" s="348"/>
      <c r="BK4" s="352"/>
      <c r="BL4" s="244"/>
      <c r="BM4" s="350"/>
      <c r="BN4" s="509"/>
      <c r="BO4" s="510"/>
      <c r="BP4" s="510"/>
      <c r="BQ4" s="510"/>
      <c r="BR4" s="510"/>
      <c r="BS4" s="510"/>
      <c r="BT4" s="510"/>
      <c r="BU4" s="510"/>
      <c r="BV4" s="510"/>
      <c r="BW4" s="510"/>
      <c r="BX4" s="510"/>
      <c r="BY4" s="510"/>
      <c r="BZ4" s="511"/>
    </row>
    <row r="5" spans="1:78" ht="78" customHeight="1" thickBot="1" x14ac:dyDescent="0.45">
      <c r="A5" s="259" t="s">
        <v>61</v>
      </c>
      <c r="B5" s="260"/>
      <c r="C5" s="260"/>
      <c r="D5" s="261"/>
      <c r="E5" s="262"/>
      <c r="H5" s="263" t="s">
        <v>36</v>
      </c>
      <c r="I5" s="264" t="s">
        <v>289</v>
      </c>
      <c r="J5" s="265" t="s">
        <v>290</v>
      </c>
      <c r="K5" s="273" t="s">
        <v>553</v>
      </c>
      <c r="L5" s="266" t="s">
        <v>554</v>
      </c>
      <c r="M5" s="506" t="s">
        <v>291</v>
      </c>
      <c r="N5" s="266" t="s">
        <v>68</v>
      </c>
      <c r="O5" s="267" t="s">
        <v>292</v>
      </c>
      <c r="P5" s="268" t="s">
        <v>293</v>
      </c>
      <c r="Q5" s="268" t="s">
        <v>294</v>
      </c>
      <c r="R5" s="267" t="s">
        <v>558</v>
      </c>
      <c r="S5" s="269" t="s">
        <v>295</v>
      </c>
      <c r="T5" s="266" t="s">
        <v>296</v>
      </c>
      <c r="U5" s="264" t="s">
        <v>297</v>
      </c>
      <c r="V5" s="265" t="s">
        <v>298</v>
      </c>
      <c r="W5" s="270" t="s">
        <v>295</v>
      </c>
      <c r="X5" s="266" t="s">
        <v>299</v>
      </c>
      <c r="Y5" s="265" t="s">
        <v>300</v>
      </c>
      <c r="Z5" s="269" t="s">
        <v>295</v>
      </c>
      <c r="AA5" s="271" t="s">
        <v>301</v>
      </c>
      <c r="AB5" s="272" t="s">
        <v>302</v>
      </c>
      <c r="AC5" s="269" t="s">
        <v>295</v>
      </c>
      <c r="AD5" s="266" t="s">
        <v>303</v>
      </c>
      <c r="AE5" s="266" t="s">
        <v>304</v>
      </c>
      <c r="AF5" s="266" t="s">
        <v>555</v>
      </c>
      <c r="AG5" s="266" t="s">
        <v>552</v>
      </c>
      <c r="AH5" s="266" t="s">
        <v>305</v>
      </c>
      <c r="AI5" s="273" t="s">
        <v>306</v>
      </c>
      <c r="AJ5" s="265" t="s">
        <v>307</v>
      </c>
      <c r="AK5" s="274" t="s">
        <v>295</v>
      </c>
      <c r="AL5" s="275" t="s">
        <v>308</v>
      </c>
      <c r="AM5" s="275" t="s">
        <v>309</v>
      </c>
      <c r="AN5" s="275" t="s">
        <v>310</v>
      </c>
      <c r="AO5" s="275" t="s">
        <v>311</v>
      </c>
      <c r="AP5" s="276" t="s">
        <v>312</v>
      </c>
      <c r="AQ5" s="274" t="s">
        <v>313</v>
      </c>
      <c r="AR5" s="274" t="s">
        <v>314</v>
      </c>
      <c r="AS5" s="274" t="s">
        <v>315</v>
      </c>
      <c r="AT5" s="277" t="s">
        <v>316</v>
      </c>
      <c r="AU5" s="269" t="s">
        <v>317</v>
      </c>
      <c r="AV5" s="266" t="s">
        <v>318</v>
      </c>
      <c r="AW5" s="278" t="s">
        <v>319</v>
      </c>
      <c r="AX5" s="360" t="s">
        <v>320</v>
      </c>
      <c r="AY5" s="360" t="s">
        <v>321</v>
      </c>
      <c r="AZ5" s="360" t="s">
        <v>322</v>
      </c>
      <c r="BA5" s="360" t="s">
        <v>323</v>
      </c>
      <c r="BB5" s="360" t="s">
        <v>324</v>
      </c>
      <c r="BC5" s="360" t="s">
        <v>325</v>
      </c>
      <c r="BD5" s="360" t="s">
        <v>326</v>
      </c>
      <c r="BE5" s="361" t="s">
        <v>327</v>
      </c>
      <c r="BF5" s="362" t="s">
        <v>328</v>
      </c>
      <c r="BG5" s="363" t="s">
        <v>329</v>
      </c>
      <c r="BH5" s="364" t="s">
        <v>330</v>
      </c>
      <c r="BI5" s="363" t="s">
        <v>400</v>
      </c>
      <c r="BJ5" s="349" t="s">
        <v>331</v>
      </c>
      <c r="BK5" s="354" t="s">
        <v>332</v>
      </c>
      <c r="BL5" s="279" t="s">
        <v>333</v>
      </c>
      <c r="BM5" s="351" t="s">
        <v>333</v>
      </c>
      <c r="BN5" s="282" t="s">
        <v>334</v>
      </c>
      <c r="BO5" s="283"/>
      <c r="BP5" s="284" t="s">
        <v>335</v>
      </c>
      <c r="BQ5" s="283"/>
      <c r="BR5" s="366" t="s">
        <v>402</v>
      </c>
      <c r="BS5" s="367" t="s">
        <v>403</v>
      </c>
      <c r="BT5" s="508" t="s">
        <v>401</v>
      </c>
      <c r="BU5" s="283"/>
      <c r="BV5" s="283"/>
      <c r="BW5" s="507" t="s">
        <v>456</v>
      </c>
      <c r="BX5" s="277" t="s">
        <v>584</v>
      </c>
      <c r="BY5" s="367" t="s">
        <v>458</v>
      </c>
      <c r="BZ5" s="508" t="s">
        <v>457</v>
      </c>
    </row>
    <row r="6" spans="1:78" x14ac:dyDescent="0.2">
      <c r="A6" s="285" t="s">
        <v>37</v>
      </c>
      <c r="B6" s="286" t="s">
        <v>62</v>
      </c>
      <c r="C6" s="287" t="s">
        <v>51</v>
      </c>
      <c r="D6" s="287" t="s">
        <v>118</v>
      </c>
      <c r="E6" s="288" t="s">
        <v>60</v>
      </c>
      <c r="F6" s="289"/>
      <c r="G6" s="289"/>
      <c r="H6" s="173">
        <v>0.1</v>
      </c>
      <c r="I6" s="522">
        <f t="shared" ref="I6:I37" si="0">IF(PLOT_TYPE=1, H6/100*Iout_maxload_COT, min_I*EXP(H6*rr/100))</f>
        <v>1.4999999999999999E-4</v>
      </c>
      <c r="J6" s="233" t="e">
        <f t="shared" ref="J6:J37" si="1">IF(I6&lt;Icrit, (Vin-(Rdcr+RdsonTop)*Iripple/2-Vout)/L*OnTime, (Vin-(Rdcr+RdsonTop)*I6-Vout)/L*OnTime)</f>
        <v>#NAME?</v>
      </c>
      <c r="K6" s="233" t="e">
        <f t="shared" ref="K6:K37" si="2">IF(I6&lt;Icrit, (Vin-(Rdcr+RdsonTop)*Iripple/2-Vout)/L*OnTime, I6+((Vin-(Rdcr+RdsonTop)*J6-Vout)/L*OnTime)/2)</f>
        <v>#NAME?</v>
      </c>
      <c r="L6" s="233" t="e">
        <f t="shared" ref="L6:L37" si="3">IF(I6&lt;Icrit, 0, I6-((Vin-(Rdcr+RdsonTop)*K6-Vout)/L*OnTime)/2)</f>
        <v>#NAME?</v>
      </c>
      <c r="M6" s="290" t="e">
        <f t="shared" ref="M6:M37" si="4">IF(I6&lt;Icrit, L*J6/(Vout+J6/2*(RdsonBot+Rdcr)), L*J6/(Vout+I6*(RdsonBot+Rdcr)))</f>
        <v>#NAME?</v>
      </c>
      <c r="N6" s="232" t="e">
        <f>OnTime*O6</f>
        <v>#NAME?</v>
      </c>
      <c r="O6" s="208" t="e">
        <f t="shared" ref="O6:O37" si="5">IF(I6&lt;Icrit,I6/((OnTime+M6)*J6/2),1/(OnTime+M6))</f>
        <v>#NAME?</v>
      </c>
      <c r="P6" s="291" t="e">
        <f t="shared" ref="P6:P38" si="6">IF(1/O6-OnTime-M6&gt;Tsleep, OnTime+M6+Tsleep, 1/O6)</f>
        <v>#NAME?</v>
      </c>
      <c r="Q6" s="291" t="e">
        <f t="shared" ref="Q6:Q38" si="7">IF(1/O6-OnTime-M6&gt;Tsleep, 1/O6-OnTime-M6-Tsleep, 0)</f>
        <v>#NAME?</v>
      </c>
      <c r="R6" s="291" t="e">
        <f t="shared" ref="R6:R38" si="8">P6*O6*Iq_active+Q6*O6*Iq_sleep</f>
        <v>#NAME?</v>
      </c>
      <c r="S6" s="232" t="e">
        <f t="shared" ref="S6:S38" si="9">IF(I6&lt;Icrit,Iripple*SQRT((OnTime+OffTime)*O6/3), SQRT(I6^2+Iripple^2/12))</f>
        <v>#NAME?</v>
      </c>
      <c r="T6" s="232" t="e">
        <f t="shared" ref="T6:T38" si="10">S6^2*Rdcr</f>
        <v>#NAME?</v>
      </c>
      <c r="U6" s="173" t="e">
        <f t="shared" ref="U6:U38" si="11">(O6/Fsw)*Fsw^2.5*(Iripple/2)^2.5*k_core</f>
        <v>#NAME?</v>
      </c>
      <c r="V6" s="232" t="e">
        <f>T6+U6</f>
        <v>#NAME?</v>
      </c>
      <c r="W6" s="233" t="e">
        <f t="shared" ref="W6:W38" si="12">Iripple/SQRT(12)*SQRT((OnTime+M6)*O6)</f>
        <v>#NAME?</v>
      </c>
      <c r="X6" s="232" t="e">
        <f t="shared" ref="X6:X70" si="13">RCoutEsr*W6^2</f>
        <v>#NAME?</v>
      </c>
      <c r="Y6" s="232" t="e">
        <f>X6</f>
        <v>#NAME?</v>
      </c>
      <c r="Z6" s="232" t="e">
        <f t="shared" ref="Z6:Z38" si="14">SQRT($N6)*SQRT($I6^2*(1-N6)+(Iripple^2)/12)</f>
        <v>#NAME?</v>
      </c>
      <c r="AA6" s="234" t="e">
        <f t="shared" ref="AA6:AA70" si="15">RCinEsr*Z6^2</f>
        <v>#NAME?</v>
      </c>
      <c r="AB6" s="234" t="e">
        <f>AA6</f>
        <v>#NAME?</v>
      </c>
      <c r="AC6" s="232" t="e">
        <f t="shared" ref="AC6:AC38" si="16">IF(I6&lt;Icrit,Iripple*SQRT((OnTime)*O6/3), SQRT(OnTime*O6*(I6^2+Iripple^2/12)))</f>
        <v>#NAME?</v>
      </c>
      <c r="AD6" s="232" t="e">
        <f t="shared" ref="AD6:AD38" si="17">RdsonTop*AC6^2</f>
        <v>#NAME?</v>
      </c>
      <c r="AE6" s="232" t="e">
        <f t="shared" ref="AE6:AE38" si="18">QgTop*O6*Vdd</f>
        <v>#NAME?</v>
      </c>
      <c r="AF6">
        <v>20</v>
      </c>
      <c r="AG6" s="505" t="e">
        <f t="shared" ref="AG6:AG37" si="19">IF(I6&lt;Icrit, Csw*Vin/Iripple*1000000000, Csw*Vin/(I6+Iripple/2)*1000000000)</f>
        <v>#NAME?</v>
      </c>
      <c r="AH6" s="232" t="e">
        <f t="shared" ref="AH6:AH37" si="20">IF(I6&lt;Icrit, Vin*(I6+Iripple/2)*AG6/1000000000/2*O6, Vin*(I6-Iripple/2)*AF6/1000000000/2*O6+Vin*(I6+Iripple/2)*AG6/1000000000/2*O6)</f>
        <v>#NAME?</v>
      </c>
      <c r="AI6" s="232" t="e">
        <f t="shared" ref="AI6:AI37" si="21">IF(I6&lt;Icrit, Csw*(Vin)^2*O6/2, Csw*Vin^2*O6/2)</f>
        <v>#NAME?</v>
      </c>
      <c r="AJ6" s="232" t="e">
        <f t="shared" ref="AJ6:AJ37" si="22">AD6+AH6+AI6</f>
        <v>#NAME?</v>
      </c>
      <c r="AK6" s="232" t="e">
        <f t="shared" ref="AK6:AK37" si="23">IF(I6&lt;Icrit,Iripple*SQRT((OffTime)*O6/3), SQRT(OffTime*O6*(I6^2+Iripple^2/12)))</f>
        <v>#NAME?</v>
      </c>
      <c r="AL6" s="232" t="e">
        <f t="shared" ref="AL6:AL38" si="24">RdsonBot*AK6^2</f>
        <v>#NAME?</v>
      </c>
      <c r="AM6" s="232" t="e">
        <f t="shared" ref="AM6:AM37" si="25">QgBot*O6*Vdd</f>
        <v>#NAME?</v>
      </c>
      <c r="AN6" s="232" t="e">
        <f t="shared" ref="AN6:AN37" si="26">IF(I6&lt;Icrit, Vin*Idss*N6, QrrBot*(I6-Iripple/2)/0.1*O6*Vin+Vin*Idss*N6)</f>
        <v>#NAME?</v>
      </c>
      <c r="AO6" s="232" t="e">
        <f t="shared" ref="AO6:AO37" si="27">IF(I6&lt;Icrit, dead1*O6*(I6+Iripple/2)*((I6+Iripple/2)*BDserR+VSD), dead1*O6*(I6+Iripple/2)*((I6+Iripple/2)*BDserR+VSD)+dead2*O6*(I6-Iripple/2)*((I6-Iripple/2)*BDserR+VSD))</f>
        <v>#NAME?</v>
      </c>
      <c r="AP6" s="232" t="e">
        <f>AL6+AN6+AO6</f>
        <v>#NAME?</v>
      </c>
      <c r="AQ6" s="232" t="e">
        <f t="shared" ref="AQ6:AQ37" si="28">Vin*R6+Vout*Ifb/0.7</f>
        <v>#NAME?</v>
      </c>
      <c r="AR6" s="232" t="e">
        <f t="shared" ref="AR6:AR37" si="29">(Vin-Vdd)*(O6*QgBot+O6*QgTop)+AQ6</f>
        <v>#NAME?</v>
      </c>
      <c r="AS6" s="232" t="e">
        <f t="shared" ref="AS6:AS37" si="30">AE6+AM6</f>
        <v>#NAME?</v>
      </c>
      <c r="AT6" s="232" t="e">
        <f>AJ6+AP6+AR6+AS6</f>
        <v>#NAME?</v>
      </c>
      <c r="AU6" s="232" t="e">
        <f t="shared" ref="AU6:AU37" si="31">SUM(V6,Y6,AB6,AT6)</f>
        <v>#NAME?</v>
      </c>
      <c r="AV6" s="232">
        <f t="shared" ref="AV6:AV37" si="32">Vout*I6</f>
        <v>7.4999999999999991E-4</v>
      </c>
      <c r="AW6" s="292" t="e">
        <f>AV6/(AV6+AU6)</f>
        <v>#NAME?</v>
      </c>
      <c r="AX6" s="358" t="e">
        <f t="shared" ref="AX6:AX37" si="33">AD6/($AV6+$AU6)</f>
        <v>#NAME?</v>
      </c>
      <c r="AY6" s="358" t="e">
        <f>AL6/($AV6+$AU6)</f>
        <v>#NAME?</v>
      </c>
      <c r="AZ6" s="358" t="e">
        <f t="shared" ref="AZ6:AZ37" si="34">Vin*O6*(QgBot+QgTop)/($AV6+$AU6)</f>
        <v>#NAME?</v>
      </c>
      <c r="BA6" s="358" t="e">
        <f t="shared" ref="BA6:BA70" si="35">AH6/($AV6+$AU6)</f>
        <v>#NAME?</v>
      </c>
      <c r="BB6" s="358" t="e">
        <f t="shared" ref="BB6:BB70" si="36">AN6/(AU6+AV6)</f>
        <v>#NAME?</v>
      </c>
      <c r="BC6" s="358" t="e">
        <f t="shared" ref="BC6:BC70" si="37">AO6/($AV6+$AU6)</f>
        <v>#NAME?</v>
      </c>
      <c r="BD6" s="358" t="e">
        <f t="shared" ref="BD6:BD37" si="38">T6/($AV6+$AU6)</f>
        <v>#NAME?</v>
      </c>
      <c r="BE6" s="358" t="e">
        <f t="shared" ref="BE6:BE37" si="39">U6/($AV6+$AU6)</f>
        <v>#NAME?</v>
      </c>
      <c r="BF6" s="358" t="e">
        <f t="shared" ref="BF6:BF37" si="40">(Y6+AB6)/($AV6+$AU6)</f>
        <v>#NAME?</v>
      </c>
      <c r="BG6" s="235" t="e">
        <f>AQ6/($AV6+$AU6)</f>
        <v>#NAME?</v>
      </c>
      <c r="BH6" s="235" t="e">
        <f>AU6/($AV6+$AU6)</f>
        <v>#NAME?</v>
      </c>
      <c r="BI6" s="235" t="e">
        <f>AW6</f>
        <v>#NAME?</v>
      </c>
      <c r="BJ6" s="175" t="e">
        <f>100*BI6</f>
        <v>#NAME?</v>
      </c>
      <c r="BK6" s="233">
        <f>CHOOSE(MODE, I6*1000, 'PFM Efficiency'!BI6)</f>
        <v>0.15</v>
      </c>
      <c r="BL6" s="175">
        <v>59.702372085750142</v>
      </c>
      <c r="BM6" s="235">
        <f>BL6/100</f>
        <v>0.59702372085750144</v>
      </c>
      <c r="BN6" s="293" t="e">
        <f t="shared" ref="BN6:BN69" si="41">O6/1000</f>
        <v>#NAME?</v>
      </c>
      <c r="BO6" s="294"/>
      <c r="BP6" s="235" t="e">
        <f>AI6/($AV6+$AU6)</f>
        <v>#NAME?</v>
      </c>
      <c r="BQ6" s="294"/>
      <c r="BR6" s="175" t="e">
        <f>1000*AT6</f>
        <v>#NAME?</v>
      </c>
      <c r="BS6" s="175" t="e">
        <f>1000*AR6</f>
        <v>#NAME?</v>
      </c>
      <c r="BT6" s="175" t="e">
        <f t="shared" ref="BT6:BT37" si="42">1000*V6</f>
        <v>#NAME?</v>
      </c>
      <c r="BU6" s="235"/>
      <c r="BV6" s="235"/>
      <c r="BW6" s="175" t="e">
        <f>IF(MODE=1, BJ6, 'PFM Efficiency'!BH6)</f>
        <v>#NAME?</v>
      </c>
      <c r="BX6" s="175" t="e">
        <f>IF(MODE=1, BR6, 'PFM Efficiency'!BN6)</f>
        <v>#NAME?</v>
      </c>
      <c r="BY6" s="175" t="e">
        <f>IF(MODE=1, BS6, 'PFM Efficiency'!BO6)</f>
        <v>#NAME?</v>
      </c>
      <c r="BZ6" s="175" t="e">
        <f>IF(MODE=1, BT6, 'PFM Efficiency'!BP6)</f>
        <v>#NAME?</v>
      </c>
    </row>
    <row r="7" spans="1:78" x14ac:dyDescent="0.2">
      <c r="A7" s="455"/>
      <c r="B7" s="286"/>
      <c r="C7" s="287"/>
      <c r="D7" s="287"/>
      <c r="E7" s="288"/>
      <c r="F7" s="289"/>
      <c r="G7" s="289"/>
      <c r="H7" s="173">
        <v>1</v>
      </c>
      <c r="I7" s="522">
        <f t="shared" si="0"/>
        <v>1.5E-3</v>
      </c>
      <c r="J7" s="233" t="e">
        <f t="shared" si="1"/>
        <v>#NAME?</v>
      </c>
      <c r="K7" s="233" t="e">
        <f t="shared" si="2"/>
        <v>#NAME?</v>
      </c>
      <c r="L7" s="233" t="e">
        <f t="shared" si="3"/>
        <v>#NAME?</v>
      </c>
      <c r="M7" s="290" t="e">
        <f t="shared" si="4"/>
        <v>#NAME?</v>
      </c>
      <c r="N7" s="232" t="e">
        <f>OnTime*O7</f>
        <v>#NAME?</v>
      </c>
      <c r="O7" s="208" t="e">
        <f t="shared" si="5"/>
        <v>#NAME?</v>
      </c>
      <c r="P7" s="291" t="e">
        <f t="shared" ref="P7" si="43">IF(1/O7-OnTime-M7&gt;Tsleep, OnTime+M7+Tsleep, 1/O7)</f>
        <v>#NAME?</v>
      </c>
      <c r="Q7" s="291" t="e">
        <f t="shared" ref="Q7" si="44">IF(1/O7-OnTime-M7&gt;Tsleep, 1/O7-OnTime-M7-Tsleep, 0)</f>
        <v>#NAME?</v>
      </c>
      <c r="R7" s="291" t="e">
        <f t="shared" ref="R7" si="45">P7*O7*Iq_active+Q7*O7*Iq_sleep</f>
        <v>#NAME?</v>
      </c>
      <c r="S7" s="232" t="e">
        <f t="shared" ref="S7" si="46">IF(I7&lt;Icrit,Iripple*SQRT((OnTime+OffTime)*O7/3), SQRT(I7^2+Iripple^2/12))</f>
        <v>#NAME?</v>
      </c>
      <c r="T7" s="232" t="e">
        <f t="shared" ref="T7" si="47">S7^2*Rdcr</f>
        <v>#NAME?</v>
      </c>
      <c r="U7" s="173" t="e">
        <f t="shared" ref="U7" si="48">(O7/Fsw)*Fsw^2.5*(Iripple/2)^2.5*k_core</f>
        <v>#NAME?</v>
      </c>
      <c r="V7" s="232" t="e">
        <f>T7+U7</f>
        <v>#NAME?</v>
      </c>
      <c r="W7" s="233" t="e">
        <f t="shared" ref="W7" si="49">Iripple/SQRT(12)*SQRT((OnTime+M7)*O7)</f>
        <v>#NAME?</v>
      </c>
      <c r="X7" s="232" t="e">
        <f t="shared" ref="X7" si="50">RCoutEsr*W7^2</f>
        <v>#NAME?</v>
      </c>
      <c r="Y7" s="232" t="e">
        <f>X7</f>
        <v>#NAME?</v>
      </c>
      <c r="Z7" s="232" t="e">
        <f t="shared" ref="Z7" si="51">SQRT($N7)*SQRT($I7^2*(1-N7)+(Iripple^2)/12)</f>
        <v>#NAME?</v>
      </c>
      <c r="AA7" s="234" t="e">
        <f t="shared" ref="AA7" si="52">RCinEsr*Z7^2</f>
        <v>#NAME?</v>
      </c>
      <c r="AB7" s="234" t="e">
        <f>AA7</f>
        <v>#NAME?</v>
      </c>
      <c r="AC7" s="232" t="e">
        <f t="shared" ref="AC7" si="53">IF(I7&lt;Icrit,Iripple*SQRT((OnTime)*O7/3), SQRT(OnTime*O7*(I7^2+Iripple^2/12)))</f>
        <v>#NAME?</v>
      </c>
      <c r="AD7" s="232" t="e">
        <f t="shared" ref="AD7" si="54">RdsonTop*AC7^2</f>
        <v>#NAME?</v>
      </c>
      <c r="AE7" s="232" t="e">
        <f t="shared" ref="AE7" si="55">QgTop*O7*Vdd</f>
        <v>#NAME?</v>
      </c>
      <c r="AF7">
        <v>20</v>
      </c>
      <c r="AG7" s="505" t="e">
        <f t="shared" si="19"/>
        <v>#NAME?</v>
      </c>
      <c r="AH7" s="232" t="e">
        <f t="shared" si="20"/>
        <v>#NAME?</v>
      </c>
      <c r="AI7" s="232" t="e">
        <f t="shared" si="21"/>
        <v>#NAME?</v>
      </c>
      <c r="AJ7" s="232" t="e">
        <f t="shared" si="22"/>
        <v>#NAME?</v>
      </c>
      <c r="AK7" s="232" t="e">
        <f t="shared" si="23"/>
        <v>#NAME?</v>
      </c>
      <c r="AL7" s="232" t="e">
        <f t="shared" ref="AL7" si="56">RdsonBot*AK7^2</f>
        <v>#NAME?</v>
      </c>
      <c r="AM7" s="232" t="e">
        <f t="shared" si="25"/>
        <v>#NAME?</v>
      </c>
      <c r="AN7" s="232" t="e">
        <f t="shared" si="26"/>
        <v>#NAME?</v>
      </c>
      <c r="AO7" s="232" t="e">
        <f t="shared" si="27"/>
        <v>#NAME?</v>
      </c>
      <c r="AP7" s="232" t="e">
        <f>AL7+AN7+AO7</f>
        <v>#NAME?</v>
      </c>
      <c r="AQ7" s="232" t="e">
        <f t="shared" si="28"/>
        <v>#NAME?</v>
      </c>
      <c r="AR7" s="232" t="e">
        <f t="shared" si="29"/>
        <v>#NAME?</v>
      </c>
      <c r="AS7" s="232" t="e">
        <f t="shared" si="30"/>
        <v>#NAME?</v>
      </c>
      <c r="AT7" s="232" t="e">
        <f>AJ7+AP7+AR7+AS7</f>
        <v>#NAME?</v>
      </c>
      <c r="AU7" s="232" t="e">
        <f t="shared" si="31"/>
        <v>#NAME?</v>
      </c>
      <c r="AV7" s="232">
        <f t="shared" si="32"/>
        <v>7.4999999999999997E-3</v>
      </c>
      <c r="AW7" s="292" t="e">
        <f>AV7/(AV7+AU7)</f>
        <v>#NAME?</v>
      </c>
      <c r="AX7" s="358" t="e">
        <f t="shared" si="33"/>
        <v>#NAME?</v>
      </c>
      <c r="AY7" s="358" t="e">
        <f>AL7/($AV7+$AU7)</f>
        <v>#NAME?</v>
      </c>
      <c r="AZ7" s="358" t="e">
        <f t="shared" si="34"/>
        <v>#NAME?</v>
      </c>
      <c r="BA7" s="358" t="e">
        <f t="shared" ref="BA7" si="57">AH7/($AV7+$AU7)</f>
        <v>#NAME?</v>
      </c>
      <c r="BB7" s="358" t="e">
        <f t="shared" ref="BB7" si="58">AN7/(AU7+AV7)</f>
        <v>#NAME?</v>
      </c>
      <c r="BC7" s="358" t="e">
        <f t="shared" ref="BC7" si="59">AO7/($AV7+$AU7)</f>
        <v>#NAME?</v>
      </c>
      <c r="BD7" s="358" t="e">
        <f t="shared" si="38"/>
        <v>#NAME?</v>
      </c>
      <c r="BE7" s="358" t="e">
        <f t="shared" si="39"/>
        <v>#NAME?</v>
      </c>
      <c r="BF7" s="358" t="e">
        <f t="shared" si="40"/>
        <v>#NAME?</v>
      </c>
      <c r="BG7" s="235" t="e">
        <f>AQ7/($AV7+$AU7)</f>
        <v>#NAME?</v>
      </c>
      <c r="BH7" s="235" t="e">
        <f t="shared" ref="BH7:BH70" si="60">AU7/($AV7+$AU7)</f>
        <v>#NAME?</v>
      </c>
      <c r="BI7" s="235" t="e">
        <f>AW7</f>
        <v>#NAME?</v>
      </c>
      <c r="BJ7" s="175" t="e">
        <f>100*BI7</f>
        <v>#NAME?</v>
      </c>
      <c r="BK7" s="233">
        <f>CHOOSE(MODE, I7*1000, 'PFM Efficiency'!BI7)</f>
        <v>1.5</v>
      </c>
      <c r="BL7" s="175">
        <v>83.682599061581868</v>
      </c>
      <c r="BM7" s="235">
        <f t="shared" ref="BM7:BM70" si="61">BL7/100</f>
        <v>0.83682599061581864</v>
      </c>
      <c r="BN7" s="293" t="e">
        <f t="shared" si="41"/>
        <v>#NAME?</v>
      </c>
      <c r="BO7" s="294"/>
      <c r="BP7" s="235" t="e">
        <f>AI7/($AV7+$AU7)</f>
        <v>#NAME?</v>
      </c>
      <c r="BQ7" s="294"/>
      <c r="BR7" s="175" t="e">
        <f>1000*AT7</f>
        <v>#NAME?</v>
      </c>
      <c r="BS7" s="175" t="e">
        <f>1000*AR7</f>
        <v>#NAME?</v>
      </c>
      <c r="BT7" s="175" t="e">
        <f t="shared" si="42"/>
        <v>#NAME?</v>
      </c>
      <c r="BU7" s="235"/>
      <c r="BV7" s="235"/>
      <c r="BW7" s="175" t="e">
        <f>IF(MODE=1, BJ7, 'PFM Efficiency'!BH7)</f>
        <v>#NAME?</v>
      </c>
      <c r="BX7" s="175" t="e">
        <f>IF(MODE=1, BR7, 'PFM Efficiency'!BN7)</f>
        <v>#NAME?</v>
      </c>
      <c r="BY7" s="175" t="e">
        <f>IF(MODE=1, BS7, 'PFM Efficiency'!BO7)</f>
        <v>#NAME?</v>
      </c>
      <c r="BZ7" s="175" t="e">
        <f>IF(MODE=1, BT7, 'PFM Efficiency'!BP7)</f>
        <v>#NAME?</v>
      </c>
    </row>
    <row r="8" spans="1:78" x14ac:dyDescent="0.2">
      <c r="A8" s="295" t="s">
        <v>4</v>
      </c>
      <c r="B8" s="296">
        <f>Vin</f>
        <v>43</v>
      </c>
      <c r="C8" s="174" t="s">
        <v>0</v>
      </c>
      <c r="D8" s="202">
        <f>B8</f>
        <v>43</v>
      </c>
      <c r="E8" s="174" t="s">
        <v>4</v>
      </c>
      <c r="F8" s="289"/>
      <c r="G8" s="289"/>
      <c r="H8" s="173">
        <v>2</v>
      </c>
      <c r="I8" s="522">
        <f t="shared" si="0"/>
        <v>3.0000000000000001E-3</v>
      </c>
      <c r="J8" s="233" t="e">
        <f t="shared" si="1"/>
        <v>#NAME?</v>
      </c>
      <c r="K8" s="233" t="e">
        <f t="shared" si="2"/>
        <v>#NAME?</v>
      </c>
      <c r="L8" s="233" t="e">
        <f t="shared" si="3"/>
        <v>#NAME?</v>
      </c>
      <c r="M8" s="290" t="e">
        <f t="shared" si="4"/>
        <v>#NAME?</v>
      </c>
      <c r="N8" s="232" t="e">
        <f t="shared" ref="N8:N71" si="62">OnTime*O8</f>
        <v>#NAME?</v>
      </c>
      <c r="O8" s="208" t="e">
        <f t="shared" si="5"/>
        <v>#NAME?</v>
      </c>
      <c r="P8" s="291" t="e">
        <f t="shared" si="6"/>
        <v>#NAME?</v>
      </c>
      <c r="Q8" s="291" t="e">
        <f t="shared" si="7"/>
        <v>#NAME?</v>
      </c>
      <c r="R8" s="291" t="e">
        <f t="shared" si="8"/>
        <v>#NAME?</v>
      </c>
      <c r="S8" s="232" t="e">
        <f t="shared" si="9"/>
        <v>#NAME?</v>
      </c>
      <c r="T8" s="232" t="e">
        <f t="shared" si="10"/>
        <v>#NAME?</v>
      </c>
      <c r="U8" s="173" t="e">
        <f t="shared" si="11"/>
        <v>#NAME?</v>
      </c>
      <c r="V8" s="232" t="e">
        <f t="shared" ref="V8:V71" si="63">T8+U8</f>
        <v>#NAME?</v>
      </c>
      <c r="W8" s="233" t="e">
        <f t="shared" si="12"/>
        <v>#NAME?</v>
      </c>
      <c r="X8" s="232" t="e">
        <f t="shared" si="13"/>
        <v>#NAME?</v>
      </c>
      <c r="Y8" s="232" t="e">
        <f t="shared" ref="Y8:Y71" si="64">X8</f>
        <v>#NAME?</v>
      </c>
      <c r="Z8" s="232" t="e">
        <f t="shared" si="14"/>
        <v>#NAME?</v>
      </c>
      <c r="AA8" s="234" t="e">
        <f t="shared" si="15"/>
        <v>#NAME?</v>
      </c>
      <c r="AB8" s="234" t="e">
        <f t="shared" ref="AB8:AB71" si="65">AA8</f>
        <v>#NAME?</v>
      </c>
      <c r="AC8" s="232" t="e">
        <f t="shared" si="16"/>
        <v>#NAME?</v>
      </c>
      <c r="AD8" s="232" t="e">
        <f t="shared" si="17"/>
        <v>#NAME?</v>
      </c>
      <c r="AE8" s="232" t="e">
        <f t="shared" si="18"/>
        <v>#NAME?</v>
      </c>
      <c r="AF8">
        <v>20</v>
      </c>
      <c r="AG8" s="505" t="e">
        <f t="shared" si="19"/>
        <v>#NAME?</v>
      </c>
      <c r="AH8" s="232" t="e">
        <f t="shared" si="20"/>
        <v>#NAME?</v>
      </c>
      <c r="AI8" s="232" t="e">
        <f t="shared" si="21"/>
        <v>#NAME?</v>
      </c>
      <c r="AJ8" s="232" t="e">
        <f t="shared" si="22"/>
        <v>#NAME?</v>
      </c>
      <c r="AK8" s="232" t="e">
        <f t="shared" si="23"/>
        <v>#NAME?</v>
      </c>
      <c r="AL8" s="232" t="e">
        <f t="shared" si="24"/>
        <v>#NAME?</v>
      </c>
      <c r="AM8" s="232" t="e">
        <f t="shared" si="25"/>
        <v>#NAME?</v>
      </c>
      <c r="AN8" s="232" t="e">
        <f t="shared" si="26"/>
        <v>#NAME?</v>
      </c>
      <c r="AO8" s="232" t="e">
        <f t="shared" si="27"/>
        <v>#NAME?</v>
      </c>
      <c r="AP8" s="232" t="e">
        <f t="shared" ref="AP8:AP71" si="66">AL8+AN8+AO8</f>
        <v>#NAME?</v>
      </c>
      <c r="AQ8" s="232" t="e">
        <f t="shared" si="28"/>
        <v>#NAME?</v>
      </c>
      <c r="AR8" s="232" t="e">
        <f t="shared" si="29"/>
        <v>#NAME?</v>
      </c>
      <c r="AS8" s="232" t="e">
        <f t="shared" si="30"/>
        <v>#NAME?</v>
      </c>
      <c r="AT8" s="232" t="e">
        <f t="shared" ref="AT8:AT71" si="67">AJ8+AP8+AR8+AS8</f>
        <v>#NAME?</v>
      </c>
      <c r="AU8" s="232" t="e">
        <f t="shared" si="31"/>
        <v>#NAME?</v>
      </c>
      <c r="AV8" s="232">
        <f t="shared" si="32"/>
        <v>1.4999999999999999E-2</v>
      </c>
      <c r="AW8" s="292" t="e">
        <f>AV8/(AV8+AU8)</f>
        <v>#NAME?</v>
      </c>
      <c r="AX8" s="358" t="e">
        <f t="shared" si="33"/>
        <v>#NAME?</v>
      </c>
      <c r="AY8" s="358" t="e">
        <f t="shared" ref="AY8:AY71" si="68">AL8/($AV8+$AU8)</f>
        <v>#NAME?</v>
      </c>
      <c r="AZ8" s="358" t="e">
        <f t="shared" si="34"/>
        <v>#NAME?</v>
      </c>
      <c r="BA8" s="358" t="e">
        <f t="shared" si="35"/>
        <v>#NAME?</v>
      </c>
      <c r="BB8" s="358" t="e">
        <f t="shared" si="36"/>
        <v>#NAME?</v>
      </c>
      <c r="BC8" s="358" t="e">
        <f t="shared" si="37"/>
        <v>#NAME?</v>
      </c>
      <c r="BD8" s="358" t="e">
        <f t="shared" si="38"/>
        <v>#NAME?</v>
      </c>
      <c r="BE8" s="358" t="e">
        <f t="shared" si="39"/>
        <v>#NAME?</v>
      </c>
      <c r="BF8" s="358" t="e">
        <f t="shared" si="40"/>
        <v>#NAME?</v>
      </c>
      <c r="BG8" s="235" t="e">
        <f t="shared" ref="BG8:BG71" si="69">AQ8/($AV8+$AU8)</f>
        <v>#NAME?</v>
      </c>
      <c r="BH8" s="235" t="e">
        <f t="shared" si="60"/>
        <v>#NAME?</v>
      </c>
      <c r="BI8" s="235" t="e">
        <f t="shared" ref="BI8:BI71" si="70">AW8</f>
        <v>#NAME?</v>
      </c>
      <c r="BJ8" s="175" t="e">
        <f t="shared" ref="BJ8:BJ71" si="71">100*BI8</f>
        <v>#NAME?</v>
      </c>
      <c r="BK8" s="233">
        <f>CHOOSE(MODE, I8*1000, 'PFM Efficiency'!BI8)</f>
        <v>3</v>
      </c>
      <c r="BL8" s="175">
        <v>85.591306536493136</v>
      </c>
      <c r="BM8" s="235">
        <f t="shared" si="61"/>
        <v>0.85591306536493139</v>
      </c>
      <c r="BN8" s="293" t="e">
        <f t="shared" si="41"/>
        <v>#NAME?</v>
      </c>
      <c r="BO8" s="294"/>
      <c r="BP8" s="235" t="e">
        <f t="shared" ref="BP8:BP71" si="72">AI8/($AV8+$AU8)</f>
        <v>#NAME?</v>
      </c>
      <c r="BQ8" s="294"/>
      <c r="BR8" s="175" t="e">
        <f t="shared" ref="BR8:BR71" si="73">1000*AT8</f>
        <v>#NAME?</v>
      </c>
      <c r="BS8" s="175" t="e">
        <f t="shared" ref="BS8:BS71" si="74">1000*AR8</f>
        <v>#NAME?</v>
      </c>
      <c r="BT8" s="175" t="e">
        <f t="shared" si="42"/>
        <v>#NAME?</v>
      </c>
      <c r="BU8" s="235"/>
      <c r="BV8" s="235"/>
      <c r="BW8" s="175" t="e">
        <f>IF(MODE=1, BJ8, 'PFM Efficiency'!BH8)</f>
        <v>#NAME?</v>
      </c>
      <c r="BX8" s="175" t="e">
        <f>IF(MODE=1, BR8, 'PFM Efficiency'!BN8)</f>
        <v>#NAME?</v>
      </c>
      <c r="BY8" s="175" t="e">
        <f>IF(MODE=1, BS8, 'PFM Efficiency'!BO8)</f>
        <v>#NAME?</v>
      </c>
      <c r="BZ8" s="175" t="e">
        <f>IF(MODE=1, BT8, 'PFM Efficiency'!BP8)</f>
        <v>#NAME?</v>
      </c>
    </row>
    <row r="9" spans="1:78" x14ac:dyDescent="0.2">
      <c r="A9" s="297" t="s">
        <v>5</v>
      </c>
      <c r="B9" s="296">
        <f>Vout</f>
        <v>5</v>
      </c>
      <c r="C9" s="174" t="s">
        <v>0</v>
      </c>
      <c r="D9" s="202">
        <f>B9</f>
        <v>5</v>
      </c>
      <c r="E9" s="174" t="s">
        <v>5</v>
      </c>
      <c r="F9" s="289"/>
      <c r="G9" s="289"/>
      <c r="H9" s="173">
        <v>3</v>
      </c>
      <c r="I9" s="522">
        <f t="shared" si="0"/>
        <v>4.4999999999999997E-3</v>
      </c>
      <c r="J9" s="233" t="e">
        <f t="shared" si="1"/>
        <v>#NAME?</v>
      </c>
      <c r="K9" s="233" t="e">
        <f t="shared" si="2"/>
        <v>#NAME?</v>
      </c>
      <c r="L9" s="233" t="e">
        <f t="shared" si="3"/>
        <v>#NAME?</v>
      </c>
      <c r="M9" s="290" t="e">
        <f t="shared" si="4"/>
        <v>#NAME?</v>
      </c>
      <c r="N9" s="232" t="e">
        <f t="shared" si="62"/>
        <v>#NAME?</v>
      </c>
      <c r="O9" s="208" t="e">
        <f t="shared" si="5"/>
        <v>#NAME?</v>
      </c>
      <c r="P9" s="291" t="e">
        <f t="shared" si="6"/>
        <v>#NAME?</v>
      </c>
      <c r="Q9" s="291" t="e">
        <f t="shared" si="7"/>
        <v>#NAME?</v>
      </c>
      <c r="R9" s="291" t="e">
        <f t="shared" si="8"/>
        <v>#NAME?</v>
      </c>
      <c r="S9" s="232" t="e">
        <f t="shared" si="9"/>
        <v>#NAME?</v>
      </c>
      <c r="T9" s="232" t="e">
        <f t="shared" si="10"/>
        <v>#NAME?</v>
      </c>
      <c r="U9" s="173" t="e">
        <f t="shared" si="11"/>
        <v>#NAME?</v>
      </c>
      <c r="V9" s="232" t="e">
        <f t="shared" si="63"/>
        <v>#NAME?</v>
      </c>
      <c r="W9" s="233" t="e">
        <f t="shared" si="12"/>
        <v>#NAME?</v>
      </c>
      <c r="X9" s="232" t="e">
        <f t="shared" si="13"/>
        <v>#NAME?</v>
      </c>
      <c r="Y9" s="232" t="e">
        <f t="shared" si="64"/>
        <v>#NAME?</v>
      </c>
      <c r="Z9" s="232" t="e">
        <f t="shared" si="14"/>
        <v>#NAME?</v>
      </c>
      <c r="AA9" s="234" t="e">
        <f t="shared" si="15"/>
        <v>#NAME?</v>
      </c>
      <c r="AB9" s="234" t="e">
        <f t="shared" si="65"/>
        <v>#NAME?</v>
      </c>
      <c r="AC9" s="232" t="e">
        <f t="shared" si="16"/>
        <v>#NAME?</v>
      </c>
      <c r="AD9" s="232" t="e">
        <f t="shared" si="17"/>
        <v>#NAME?</v>
      </c>
      <c r="AE9" s="232" t="e">
        <f t="shared" si="18"/>
        <v>#NAME?</v>
      </c>
      <c r="AF9">
        <v>20</v>
      </c>
      <c r="AG9" s="505" t="e">
        <f t="shared" si="19"/>
        <v>#NAME?</v>
      </c>
      <c r="AH9" s="232" t="e">
        <f t="shared" si="20"/>
        <v>#NAME?</v>
      </c>
      <c r="AI9" s="232" t="e">
        <f t="shared" si="21"/>
        <v>#NAME?</v>
      </c>
      <c r="AJ9" s="232" t="e">
        <f t="shared" si="22"/>
        <v>#NAME?</v>
      </c>
      <c r="AK9" s="232" t="e">
        <f t="shared" si="23"/>
        <v>#NAME?</v>
      </c>
      <c r="AL9" s="232" t="e">
        <f t="shared" si="24"/>
        <v>#NAME?</v>
      </c>
      <c r="AM9" s="232" t="e">
        <f t="shared" si="25"/>
        <v>#NAME?</v>
      </c>
      <c r="AN9" s="232" t="e">
        <f t="shared" si="26"/>
        <v>#NAME?</v>
      </c>
      <c r="AO9" s="232" t="e">
        <f t="shared" si="27"/>
        <v>#NAME?</v>
      </c>
      <c r="AP9" s="232" t="e">
        <f t="shared" si="66"/>
        <v>#NAME?</v>
      </c>
      <c r="AQ9" s="232" t="e">
        <f t="shared" si="28"/>
        <v>#NAME?</v>
      </c>
      <c r="AR9" s="232" t="e">
        <f t="shared" si="29"/>
        <v>#NAME?</v>
      </c>
      <c r="AS9" s="232" t="e">
        <f t="shared" si="30"/>
        <v>#NAME?</v>
      </c>
      <c r="AT9" s="232" t="e">
        <f t="shared" si="67"/>
        <v>#NAME?</v>
      </c>
      <c r="AU9" s="232" t="e">
        <f t="shared" si="31"/>
        <v>#NAME?</v>
      </c>
      <c r="AV9" s="232">
        <f t="shared" si="32"/>
        <v>2.2499999999999999E-2</v>
      </c>
      <c r="AW9" s="292" t="e">
        <f t="shared" ref="AW9:AW72" si="75">AV9/(AV9+AU9)</f>
        <v>#NAME?</v>
      </c>
      <c r="AX9" s="358" t="e">
        <f t="shared" si="33"/>
        <v>#NAME?</v>
      </c>
      <c r="AY9" s="358" t="e">
        <f t="shared" si="68"/>
        <v>#NAME?</v>
      </c>
      <c r="AZ9" s="358" t="e">
        <f t="shared" si="34"/>
        <v>#NAME?</v>
      </c>
      <c r="BA9" s="358" t="e">
        <f t="shared" si="35"/>
        <v>#NAME?</v>
      </c>
      <c r="BB9" s="358" t="e">
        <f t="shared" si="36"/>
        <v>#NAME?</v>
      </c>
      <c r="BC9" s="358" t="e">
        <f t="shared" si="37"/>
        <v>#NAME?</v>
      </c>
      <c r="BD9" s="358" t="e">
        <f t="shared" si="38"/>
        <v>#NAME?</v>
      </c>
      <c r="BE9" s="358" t="e">
        <f t="shared" si="39"/>
        <v>#NAME?</v>
      </c>
      <c r="BF9" s="358" t="e">
        <f t="shared" si="40"/>
        <v>#NAME?</v>
      </c>
      <c r="BG9" s="235" t="e">
        <f t="shared" si="69"/>
        <v>#NAME?</v>
      </c>
      <c r="BH9" s="235" t="e">
        <f t="shared" si="60"/>
        <v>#NAME?</v>
      </c>
      <c r="BI9" s="235" t="e">
        <f t="shared" si="70"/>
        <v>#NAME?</v>
      </c>
      <c r="BJ9" s="175" t="e">
        <f t="shared" si="71"/>
        <v>#NAME?</v>
      </c>
      <c r="BK9" s="233">
        <f>CHOOSE(MODE, I9*1000, 'PFM Efficiency'!BI9)</f>
        <v>4.5</v>
      </c>
      <c r="BL9" s="175">
        <v>86.246143423411425</v>
      </c>
      <c r="BM9" s="235">
        <f t="shared" si="61"/>
        <v>0.86246143423411425</v>
      </c>
      <c r="BN9" s="293" t="e">
        <f t="shared" si="41"/>
        <v>#NAME?</v>
      </c>
      <c r="BO9" s="294"/>
      <c r="BP9" s="235" t="e">
        <f t="shared" si="72"/>
        <v>#NAME?</v>
      </c>
      <c r="BQ9" s="294"/>
      <c r="BR9" s="175" t="e">
        <f t="shared" si="73"/>
        <v>#NAME?</v>
      </c>
      <c r="BS9" s="175" t="e">
        <f t="shared" si="74"/>
        <v>#NAME?</v>
      </c>
      <c r="BT9" s="175" t="e">
        <f t="shared" si="42"/>
        <v>#NAME?</v>
      </c>
      <c r="BU9" s="235"/>
      <c r="BV9" s="235"/>
      <c r="BW9" s="175" t="e">
        <f>IF(MODE=1, BJ9, 'PFM Efficiency'!BH9)</f>
        <v>#NAME?</v>
      </c>
      <c r="BX9" s="175" t="e">
        <f>IF(MODE=1, BR9, 'PFM Efficiency'!BN9)</f>
        <v>#NAME?</v>
      </c>
      <c r="BY9" s="175" t="e">
        <f>IF(MODE=1, BS9, 'PFM Efficiency'!BO9)</f>
        <v>#NAME?</v>
      </c>
      <c r="BZ9" s="175" t="e">
        <f>IF(MODE=1, BT9, 'PFM Efficiency'!BP9)</f>
        <v>#NAME?</v>
      </c>
    </row>
    <row r="10" spans="1:78" x14ac:dyDescent="0.2">
      <c r="A10" s="297" t="s">
        <v>6</v>
      </c>
      <c r="B10" s="296">
        <f>MIN(Iout, 0.15)</f>
        <v>0.15</v>
      </c>
      <c r="C10" s="174" t="s">
        <v>2</v>
      </c>
      <c r="D10" s="202">
        <f>B10</f>
        <v>0.15</v>
      </c>
      <c r="E10" s="174" t="s">
        <v>336</v>
      </c>
      <c r="F10" s="289"/>
      <c r="G10" s="289"/>
      <c r="H10" s="173">
        <v>4</v>
      </c>
      <c r="I10" s="522">
        <f t="shared" si="0"/>
        <v>6.0000000000000001E-3</v>
      </c>
      <c r="J10" s="233" t="e">
        <f t="shared" si="1"/>
        <v>#NAME?</v>
      </c>
      <c r="K10" s="233" t="e">
        <f t="shared" si="2"/>
        <v>#NAME?</v>
      </c>
      <c r="L10" s="233" t="e">
        <f t="shared" si="3"/>
        <v>#NAME?</v>
      </c>
      <c r="M10" s="290" t="e">
        <f t="shared" si="4"/>
        <v>#NAME?</v>
      </c>
      <c r="N10" s="232" t="e">
        <f t="shared" si="62"/>
        <v>#NAME?</v>
      </c>
      <c r="O10" s="208" t="e">
        <f t="shared" si="5"/>
        <v>#NAME?</v>
      </c>
      <c r="P10" s="291" t="e">
        <f t="shared" si="6"/>
        <v>#NAME?</v>
      </c>
      <c r="Q10" s="291" t="e">
        <f t="shared" si="7"/>
        <v>#NAME?</v>
      </c>
      <c r="R10" s="291" t="e">
        <f t="shared" si="8"/>
        <v>#NAME?</v>
      </c>
      <c r="S10" s="232" t="e">
        <f t="shared" si="9"/>
        <v>#NAME?</v>
      </c>
      <c r="T10" s="232" t="e">
        <f t="shared" si="10"/>
        <v>#NAME?</v>
      </c>
      <c r="U10" s="173" t="e">
        <f t="shared" si="11"/>
        <v>#NAME?</v>
      </c>
      <c r="V10" s="232" t="e">
        <f t="shared" si="63"/>
        <v>#NAME?</v>
      </c>
      <c r="W10" s="233" t="e">
        <f t="shared" si="12"/>
        <v>#NAME?</v>
      </c>
      <c r="X10" s="232" t="e">
        <f t="shared" si="13"/>
        <v>#NAME?</v>
      </c>
      <c r="Y10" s="232" t="e">
        <f t="shared" si="64"/>
        <v>#NAME?</v>
      </c>
      <c r="Z10" s="232" t="e">
        <f t="shared" si="14"/>
        <v>#NAME?</v>
      </c>
      <c r="AA10" s="234" t="e">
        <f t="shared" si="15"/>
        <v>#NAME?</v>
      </c>
      <c r="AB10" s="234" t="e">
        <f t="shared" si="65"/>
        <v>#NAME?</v>
      </c>
      <c r="AC10" s="232" t="e">
        <f t="shared" si="16"/>
        <v>#NAME?</v>
      </c>
      <c r="AD10" s="232" t="e">
        <f t="shared" si="17"/>
        <v>#NAME?</v>
      </c>
      <c r="AE10" s="232" t="e">
        <f t="shared" si="18"/>
        <v>#NAME?</v>
      </c>
      <c r="AF10">
        <v>20</v>
      </c>
      <c r="AG10" s="505" t="e">
        <f t="shared" si="19"/>
        <v>#NAME?</v>
      </c>
      <c r="AH10" s="232" t="e">
        <f t="shared" si="20"/>
        <v>#NAME?</v>
      </c>
      <c r="AI10" s="232" t="e">
        <f t="shared" si="21"/>
        <v>#NAME?</v>
      </c>
      <c r="AJ10" s="232" t="e">
        <f t="shared" si="22"/>
        <v>#NAME?</v>
      </c>
      <c r="AK10" s="232" t="e">
        <f t="shared" si="23"/>
        <v>#NAME?</v>
      </c>
      <c r="AL10" s="232" t="e">
        <f t="shared" si="24"/>
        <v>#NAME?</v>
      </c>
      <c r="AM10" s="232" t="e">
        <f t="shared" si="25"/>
        <v>#NAME?</v>
      </c>
      <c r="AN10" s="232" t="e">
        <f t="shared" si="26"/>
        <v>#NAME?</v>
      </c>
      <c r="AO10" s="232" t="e">
        <f t="shared" si="27"/>
        <v>#NAME?</v>
      </c>
      <c r="AP10" s="232" t="e">
        <f t="shared" si="66"/>
        <v>#NAME?</v>
      </c>
      <c r="AQ10" s="232" t="e">
        <f t="shared" si="28"/>
        <v>#NAME?</v>
      </c>
      <c r="AR10" s="232" t="e">
        <f t="shared" si="29"/>
        <v>#NAME?</v>
      </c>
      <c r="AS10" s="232" t="e">
        <f t="shared" si="30"/>
        <v>#NAME?</v>
      </c>
      <c r="AT10" s="232" t="e">
        <f t="shared" si="67"/>
        <v>#NAME?</v>
      </c>
      <c r="AU10" s="232" t="e">
        <f t="shared" si="31"/>
        <v>#NAME?</v>
      </c>
      <c r="AV10" s="232">
        <f t="shared" si="32"/>
        <v>0.03</v>
      </c>
      <c r="AW10" s="292" t="e">
        <f t="shared" si="75"/>
        <v>#NAME?</v>
      </c>
      <c r="AX10" s="358" t="e">
        <f t="shared" si="33"/>
        <v>#NAME?</v>
      </c>
      <c r="AY10" s="358" t="e">
        <f t="shared" si="68"/>
        <v>#NAME?</v>
      </c>
      <c r="AZ10" s="358" t="e">
        <f t="shared" si="34"/>
        <v>#NAME?</v>
      </c>
      <c r="BA10" s="358" t="e">
        <f t="shared" si="35"/>
        <v>#NAME?</v>
      </c>
      <c r="BB10" s="358" t="e">
        <f t="shared" si="36"/>
        <v>#NAME?</v>
      </c>
      <c r="BC10" s="358" t="e">
        <f t="shared" si="37"/>
        <v>#NAME?</v>
      </c>
      <c r="BD10" s="358" t="e">
        <f t="shared" si="38"/>
        <v>#NAME?</v>
      </c>
      <c r="BE10" s="358" t="e">
        <f t="shared" si="39"/>
        <v>#NAME?</v>
      </c>
      <c r="BF10" s="358" t="e">
        <f t="shared" si="40"/>
        <v>#NAME?</v>
      </c>
      <c r="BG10" s="235" t="e">
        <f t="shared" si="69"/>
        <v>#NAME?</v>
      </c>
      <c r="BH10" s="235" t="e">
        <f t="shared" si="60"/>
        <v>#NAME?</v>
      </c>
      <c r="BI10" s="235" t="e">
        <f t="shared" si="70"/>
        <v>#NAME?</v>
      </c>
      <c r="BJ10" s="175" t="e">
        <f t="shared" si="71"/>
        <v>#NAME?</v>
      </c>
      <c r="BK10" s="233">
        <f>CHOOSE(MODE, I10*1000, 'PFM Efficiency'!BI10)</f>
        <v>6</v>
      </c>
      <c r="BL10" s="175">
        <v>86.576655770717792</v>
      </c>
      <c r="BM10" s="235">
        <f t="shared" si="61"/>
        <v>0.86576655770717792</v>
      </c>
      <c r="BN10" s="293" t="e">
        <f t="shared" si="41"/>
        <v>#NAME?</v>
      </c>
      <c r="BO10" s="294"/>
      <c r="BP10" s="235" t="e">
        <f t="shared" si="72"/>
        <v>#NAME?</v>
      </c>
      <c r="BQ10" s="294"/>
      <c r="BR10" s="175" t="e">
        <f t="shared" si="73"/>
        <v>#NAME?</v>
      </c>
      <c r="BS10" s="175" t="e">
        <f t="shared" si="74"/>
        <v>#NAME?</v>
      </c>
      <c r="BT10" s="175" t="e">
        <f t="shared" si="42"/>
        <v>#NAME?</v>
      </c>
      <c r="BU10" s="235"/>
      <c r="BV10" s="235"/>
      <c r="BW10" s="175" t="e">
        <f>IF(MODE=1, BJ10, 'PFM Efficiency'!BH10)</f>
        <v>#NAME?</v>
      </c>
      <c r="BX10" s="175" t="e">
        <f>IF(MODE=1, BR10, 'PFM Efficiency'!BN10)</f>
        <v>#NAME?</v>
      </c>
      <c r="BY10" s="175" t="e">
        <f>IF(MODE=1, BS10, 'PFM Efficiency'!BO10)</f>
        <v>#NAME?</v>
      </c>
      <c r="BZ10" s="175" t="e">
        <f>IF(MODE=1, BT10, 'PFM Efficiency'!BP10)</f>
        <v>#NAME?</v>
      </c>
    </row>
    <row r="11" spans="1:78" x14ac:dyDescent="0.2">
      <c r="A11" s="297" t="s">
        <v>181</v>
      </c>
      <c r="B11" s="370">
        <f>Vout/(Fsw/1000)*100000/16</f>
        <v>125</v>
      </c>
      <c r="C11" s="298" t="s">
        <v>337</v>
      </c>
      <c r="D11" s="309">
        <f>B11*1000</f>
        <v>125000</v>
      </c>
      <c r="E11" s="174" t="s">
        <v>455</v>
      </c>
      <c r="F11" s="289"/>
      <c r="G11" s="289"/>
      <c r="H11" s="173">
        <v>5</v>
      </c>
      <c r="I11" s="522">
        <f t="shared" si="0"/>
        <v>7.4999999999999997E-3</v>
      </c>
      <c r="J11" s="233" t="e">
        <f t="shared" si="1"/>
        <v>#NAME?</v>
      </c>
      <c r="K11" s="233" t="e">
        <f t="shared" si="2"/>
        <v>#NAME?</v>
      </c>
      <c r="L11" s="233" t="e">
        <f t="shared" si="3"/>
        <v>#NAME?</v>
      </c>
      <c r="M11" s="290" t="e">
        <f t="shared" si="4"/>
        <v>#NAME?</v>
      </c>
      <c r="N11" s="232" t="e">
        <f t="shared" si="62"/>
        <v>#NAME?</v>
      </c>
      <c r="O11" s="208" t="e">
        <f t="shared" si="5"/>
        <v>#NAME?</v>
      </c>
      <c r="P11" s="291" t="e">
        <f t="shared" si="6"/>
        <v>#NAME?</v>
      </c>
      <c r="Q11" s="291" t="e">
        <f t="shared" si="7"/>
        <v>#NAME?</v>
      </c>
      <c r="R11" s="291" t="e">
        <f t="shared" si="8"/>
        <v>#NAME?</v>
      </c>
      <c r="S11" s="232" t="e">
        <f t="shared" si="9"/>
        <v>#NAME?</v>
      </c>
      <c r="T11" s="232" t="e">
        <f t="shared" si="10"/>
        <v>#NAME?</v>
      </c>
      <c r="U11" s="173" t="e">
        <f t="shared" si="11"/>
        <v>#NAME?</v>
      </c>
      <c r="V11" s="232" t="e">
        <f t="shared" si="63"/>
        <v>#NAME?</v>
      </c>
      <c r="W11" s="233" t="e">
        <f t="shared" si="12"/>
        <v>#NAME?</v>
      </c>
      <c r="X11" s="232" t="e">
        <f t="shared" si="13"/>
        <v>#NAME?</v>
      </c>
      <c r="Y11" s="232" t="e">
        <f t="shared" si="64"/>
        <v>#NAME?</v>
      </c>
      <c r="Z11" s="232" t="e">
        <f t="shared" si="14"/>
        <v>#NAME?</v>
      </c>
      <c r="AA11" s="234" t="e">
        <f t="shared" si="15"/>
        <v>#NAME?</v>
      </c>
      <c r="AB11" s="234" t="e">
        <f t="shared" si="65"/>
        <v>#NAME?</v>
      </c>
      <c r="AC11" s="232" t="e">
        <f t="shared" si="16"/>
        <v>#NAME?</v>
      </c>
      <c r="AD11" s="232" t="e">
        <f t="shared" si="17"/>
        <v>#NAME?</v>
      </c>
      <c r="AE11" s="232" t="e">
        <f t="shared" si="18"/>
        <v>#NAME?</v>
      </c>
      <c r="AF11">
        <v>20</v>
      </c>
      <c r="AG11" s="505" t="e">
        <f t="shared" si="19"/>
        <v>#NAME?</v>
      </c>
      <c r="AH11" s="232" t="e">
        <f t="shared" si="20"/>
        <v>#NAME?</v>
      </c>
      <c r="AI11" s="232" t="e">
        <f t="shared" si="21"/>
        <v>#NAME?</v>
      </c>
      <c r="AJ11" s="232" t="e">
        <f t="shared" si="22"/>
        <v>#NAME?</v>
      </c>
      <c r="AK11" s="232" t="e">
        <f t="shared" si="23"/>
        <v>#NAME?</v>
      </c>
      <c r="AL11" s="232" t="e">
        <f t="shared" si="24"/>
        <v>#NAME?</v>
      </c>
      <c r="AM11" s="232" t="e">
        <f t="shared" si="25"/>
        <v>#NAME?</v>
      </c>
      <c r="AN11" s="232" t="e">
        <f t="shared" si="26"/>
        <v>#NAME?</v>
      </c>
      <c r="AO11" s="232" t="e">
        <f t="shared" si="27"/>
        <v>#NAME?</v>
      </c>
      <c r="AP11" s="232" t="e">
        <f t="shared" si="66"/>
        <v>#NAME?</v>
      </c>
      <c r="AQ11" s="232" t="e">
        <f t="shared" si="28"/>
        <v>#NAME?</v>
      </c>
      <c r="AR11" s="232" t="e">
        <f t="shared" si="29"/>
        <v>#NAME?</v>
      </c>
      <c r="AS11" s="232" t="e">
        <f t="shared" si="30"/>
        <v>#NAME?</v>
      </c>
      <c r="AT11" s="232" t="e">
        <f t="shared" si="67"/>
        <v>#NAME?</v>
      </c>
      <c r="AU11" s="232" t="e">
        <f t="shared" si="31"/>
        <v>#NAME?</v>
      </c>
      <c r="AV11" s="232">
        <f t="shared" si="32"/>
        <v>3.7499999999999999E-2</v>
      </c>
      <c r="AW11" s="292" t="e">
        <f t="shared" si="75"/>
        <v>#NAME?</v>
      </c>
      <c r="AX11" s="358" t="e">
        <f t="shared" si="33"/>
        <v>#NAME?</v>
      </c>
      <c r="AY11" s="358" t="e">
        <f t="shared" si="68"/>
        <v>#NAME?</v>
      </c>
      <c r="AZ11" s="358" t="e">
        <f t="shared" si="34"/>
        <v>#NAME?</v>
      </c>
      <c r="BA11" s="358" t="e">
        <f t="shared" si="35"/>
        <v>#NAME?</v>
      </c>
      <c r="BB11" s="358" t="e">
        <f t="shared" si="36"/>
        <v>#NAME?</v>
      </c>
      <c r="BC11" s="358" t="e">
        <f t="shared" si="37"/>
        <v>#NAME?</v>
      </c>
      <c r="BD11" s="358" t="e">
        <f t="shared" si="38"/>
        <v>#NAME?</v>
      </c>
      <c r="BE11" s="358" t="e">
        <f t="shared" si="39"/>
        <v>#NAME?</v>
      </c>
      <c r="BF11" s="358" t="e">
        <f t="shared" si="40"/>
        <v>#NAME?</v>
      </c>
      <c r="BG11" s="235" t="e">
        <f t="shared" si="69"/>
        <v>#NAME?</v>
      </c>
      <c r="BH11" s="235" t="e">
        <f t="shared" si="60"/>
        <v>#NAME?</v>
      </c>
      <c r="BI11" s="235" t="e">
        <f t="shared" si="70"/>
        <v>#NAME?</v>
      </c>
      <c r="BJ11" s="175" t="e">
        <f t="shared" si="71"/>
        <v>#NAME?</v>
      </c>
      <c r="BK11" s="233">
        <f>CHOOSE(MODE, I11*1000, 'PFM Efficiency'!BI11)</f>
        <v>7.5</v>
      </c>
      <c r="BL11" s="175">
        <v>86.775636491192159</v>
      </c>
      <c r="BM11" s="235">
        <f t="shared" si="61"/>
        <v>0.86775636491192154</v>
      </c>
      <c r="BN11" s="293" t="e">
        <f t="shared" si="41"/>
        <v>#NAME?</v>
      </c>
      <c r="BO11" s="294"/>
      <c r="BP11" s="235" t="e">
        <f t="shared" si="72"/>
        <v>#NAME?</v>
      </c>
      <c r="BQ11" s="294"/>
      <c r="BR11" s="175" t="e">
        <f t="shared" si="73"/>
        <v>#NAME?</v>
      </c>
      <c r="BS11" s="175" t="e">
        <f t="shared" si="74"/>
        <v>#NAME?</v>
      </c>
      <c r="BT11" s="175" t="e">
        <f t="shared" si="42"/>
        <v>#NAME?</v>
      </c>
      <c r="BU11" s="235"/>
      <c r="BV11" s="235"/>
      <c r="BW11" s="175" t="e">
        <f>IF(MODE=1, BJ11, 'PFM Efficiency'!BH11)</f>
        <v>#NAME?</v>
      </c>
      <c r="BX11" s="175" t="e">
        <f>IF(MODE=1, BR11, 'PFM Efficiency'!BN11)</f>
        <v>#NAME?</v>
      </c>
      <c r="BY11" s="175" t="e">
        <f>IF(MODE=1, BS11, 'PFM Efficiency'!BO11)</f>
        <v>#NAME?</v>
      </c>
      <c r="BZ11" s="175" t="e">
        <f>IF(MODE=1, BT11, 'PFM Efficiency'!BP11)</f>
        <v>#NAME?</v>
      </c>
    </row>
    <row r="12" spans="1:78" x14ac:dyDescent="0.2">
      <c r="A12" s="297" t="s">
        <v>338</v>
      </c>
      <c r="B12" s="296">
        <v>25</v>
      </c>
      <c r="C12" s="174" t="s">
        <v>137</v>
      </c>
      <c r="D12" s="202">
        <f>B12</f>
        <v>25</v>
      </c>
      <c r="E12" s="174" t="s">
        <v>339</v>
      </c>
      <c r="F12" s="289"/>
      <c r="H12" s="173">
        <v>6</v>
      </c>
      <c r="I12" s="522">
        <f t="shared" si="0"/>
        <v>8.9999999999999993E-3</v>
      </c>
      <c r="J12" s="233" t="e">
        <f t="shared" si="1"/>
        <v>#NAME?</v>
      </c>
      <c r="K12" s="233" t="e">
        <f t="shared" si="2"/>
        <v>#NAME?</v>
      </c>
      <c r="L12" s="233" t="e">
        <f t="shared" si="3"/>
        <v>#NAME?</v>
      </c>
      <c r="M12" s="290" t="e">
        <f t="shared" si="4"/>
        <v>#NAME?</v>
      </c>
      <c r="N12" s="232" t="e">
        <f t="shared" si="62"/>
        <v>#NAME?</v>
      </c>
      <c r="O12" s="208" t="e">
        <f t="shared" si="5"/>
        <v>#NAME?</v>
      </c>
      <c r="P12" s="291" t="e">
        <f t="shared" si="6"/>
        <v>#NAME?</v>
      </c>
      <c r="Q12" s="291" t="e">
        <f t="shared" si="7"/>
        <v>#NAME?</v>
      </c>
      <c r="R12" s="291" t="e">
        <f t="shared" si="8"/>
        <v>#NAME?</v>
      </c>
      <c r="S12" s="232" t="e">
        <f t="shared" si="9"/>
        <v>#NAME?</v>
      </c>
      <c r="T12" s="232" t="e">
        <f t="shared" si="10"/>
        <v>#NAME?</v>
      </c>
      <c r="U12" s="173" t="e">
        <f t="shared" si="11"/>
        <v>#NAME?</v>
      </c>
      <c r="V12" s="232" t="e">
        <f t="shared" si="63"/>
        <v>#NAME?</v>
      </c>
      <c r="W12" s="233" t="e">
        <f t="shared" si="12"/>
        <v>#NAME?</v>
      </c>
      <c r="X12" s="232" t="e">
        <f t="shared" si="13"/>
        <v>#NAME?</v>
      </c>
      <c r="Y12" s="232" t="e">
        <f t="shared" si="64"/>
        <v>#NAME?</v>
      </c>
      <c r="Z12" s="232" t="e">
        <f t="shared" si="14"/>
        <v>#NAME?</v>
      </c>
      <c r="AA12" s="234" t="e">
        <f t="shared" si="15"/>
        <v>#NAME?</v>
      </c>
      <c r="AB12" s="234" t="e">
        <f t="shared" si="65"/>
        <v>#NAME?</v>
      </c>
      <c r="AC12" s="232" t="e">
        <f t="shared" si="16"/>
        <v>#NAME?</v>
      </c>
      <c r="AD12" s="232" t="e">
        <f t="shared" si="17"/>
        <v>#NAME?</v>
      </c>
      <c r="AE12" s="232" t="e">
        <f t="shared" si="18"/>
        <v>#NAME?</v>
      </c>
      <c r="AF12">
        <v>20</v>
      </c>
      <c r="AG12" s="505" t="e">
        <f t="shared" si="19"/>
        <v>#NAME?</v>
      </c>
      <c r="AH12" s="232" t="e">
        <f t="shared" si="20"/>
        <v>#NAME?</v>
      </c>
      <c r="AI12" s="232" t="e">
        <f t="shared" si="21"/>
        <v>#NAME?</v>
      </c>
      <c r="AJ12" s="232" t="e">
        <f t="shared" si="22"/>
        <v>#NAME?</v>
      </c>
      <c r="AK12" s="232" t="e">
        <f t="shared" si="23"/>
        <v>#NAME?</v>
      </c>
      <c r="AL12" s="232" t="e">
        <f t="shared" si="24"/>
        <v>#NAME?</v>
      </c>
      <c r="AM12" s="232" t="e">
        <f t="shared" si="25"/>
        <v>#NAME?</v>
      </c>
      <c r="AN12" s="232" t="e">
        <f t="shared" si="26"/>
        <v>#NAME?</v>
      </c>
      <c r="AO12" s="232" t="e">
        <f t="shared" si="27"/>
        <v>#NAME?</v>
      </c>
      <c r="AP12" s="232" t="e">
        <f t="shared" si="66"/>
        <v>#NAME?</v>
      </c>
      <c r="AQ12" s="232" t="e">
        <f t="shared" si="28"/>
        <v>#NAME?</v>
      </c>
      <c r="AR12" s="232" t="e">
        <f t="shared" si="29"/>
        <v>#NAME?</v>
      </c>
      <c r="AS12" s="232" t="e">
        <f t="shared" si="30"/>
        <v>#NAME?</v>
      </c>
      <c r="AT12" s="232" t="e">
        <f t="shared" si="67"/>
        <v>#NAME?</v>
      </c>
      <c r="AU12" s="232" t="e">
        <f t="shared" si="31"/>
        <v>#NAME?</v>
      </c>
      <c r="AV12" s="232">
        <f t="shared" si="32"/>
        <v>4.4999999999999998E-2</v>
      </c>
      <c r="AW12" s="292" t="e">
        <f t="shared" si="75"/>
        <v>#NAME?</v>
      </c>
      <c r="AX12" s="358" t="e">
        <f t="shared" si="33"/>
        <v>#NAME?</v>
      </c>
      <c r="AY12" s="358" t="e">
        <f t="shared" si="68"/>
        <v>#NAME?</v>
      </c>
      <c r="AZ12" s="358" t="e">
        <f t="shared" si="34"/>
        <v>#NAME?</v>
      </c>
      <c r="BA12" s="358" t="e">
        <f t="shared" si="35"/>
        <v>#NAME?</v>
      </c>
      <c r="BB12" s="358" t="e">
        <f t="shared" si="36"/>
        <v>#NAME?</v>
      </c>
      <c r="BC12" s="358" t="e">
        <f t="shared" si="37"/>
        <v>#NAME?</v>
      </c>
      <c r="BD12" s="358" t="e">
        <f t="shared" si="38"/>
        <v>#NAME?</v>
      </c>
      <c r="BE12" s="358" t="e">
        <f t="shared" si="39"/>
        <v>#NAME?</v>
      </c>
      <c r="BF12" s="358" t="e">
        <f t="shared" si="40"/>
        <v>#NAME?</v>
      </c>
      <c r="BG12" s="235" t="e">
        <f t="shared" si="69"/>
        <v>#NAME?</v>
      </c>
      <c r="BH12" s="235" t="e">
        <f t="shared" si="60"/>
        <v>#NAME?</v>
      </c>
      <c r="BI12" s="235" t="e">
        <f t="shared" si="70"/>
        <v>#NAME?</v>
      </c>
      <c r="BJ12" s="175" t="e">
        <f t="shared" si="71"/>
        <v>#NAME?</v>
      </c>
      <c r="BK12" s="233">
        <f>CHOOSE(MODE, I12*1000, 'PFM Efficiency'!BI12)</f>
        <v>9</v>
      </c>
      <c r="BL12" s="175">
        <v>86.908342895294993</v>
      </c>
      <c r="BM12" s="235">
        <f t="shared" si="61"/>
        <v>0.86908342895294988</v>
      </c>
      <c r="BN12" s="293" t="e">
        <f t="shared" si="41"/>
        <v>#NAME?</v>
      </c>
      <c r="BO12" s="294"/>
      <c r="BP12" s="235" t="e">
        <f t="shared" si="72"/>
        <v>#NAME?</v>
      </c>
      <c r="BQ12" s="294"/>
      <c r="BR12" s="175" t="e">
        <f t="shared" si="73"/>
        <v>#NAME?</v>
      </c>
      <c r="BS12" s="175" t="e">
        <f t="shared" si="74"/>
        <v>#NAME?</v>
      </c>
      <c r="BT12" s="175" t="e">
        <f t="shared" si="42"/>
        <v>#NAME?</v>
      </c>
      <c r="BU12" s="235"/>
      <c r="BV12" s="235"/>
      <c r="BW12" s="175" t="e">
        <f>IF(MODE=1, BJ12, 'PFM Efficiency'!BH12)</f>
        <v>#NAME?</v>
      </c>
      <c r="BX12" s="175" t="e">
        <f>IF(MODE=1, BR12, 'PFM Efficiency'!BN12)</f>
        <v>#NAME?</v>
      </c>
      <c r="BY12" s="175" t="e">
        <f>IF(MODE=1, BS12, 'PFM Efficiency'!BO12)</f>
        <v>#NAME?</v>
      </c>
      <c r="BZ12" s="175" t="e">
        <f>IF(MODE=1, BT12, 'PFM Efficiency'!BP12)</f>
        <v>#NAME?</v>
      </c>
    </row>
    <row r="13" spans="1:78" x14ac:dyDescent="0.2">
      <c r="A13" s="299" t="s">
        <v>340</v>
      </c>
      <c r="B13" s="300">
        <v>5</v>
      </c>
      <c r="C13" s="174" t="s">
        <v>0</v>
      </c>
      <c r="D13" s="202">
        <f>B13</f>
        <v>5</v>
      </c>
      <c r="E13" s="174" t="s">
        <v>341</v>
      </c>
      <c r="F13" s="289"/>
      <c r="G13" s="289"/>
      <c r="H13" s="173">
        <v>7</v>
      </c>
      <c r="I13" s="522">
        <f t="shared" si="0"/>
        <v>1.0500000000000001E-2</v>
      </c>
      <c r="J13" s="233" t="e">
        <f t="shared" si="1"/>
        <v>#NAME?</v>
      </c>
      <c r="K13" s="233" t="e">
        <f t="shared" si="2"/>
        <v>#NAME?</v>
      </c>
      <c r="L13" s="233" t="e">
        <f t="shared" si="3"/>
        <v>#NAME?</v>
      </c>
      <c r="M13" s="290" t="e">
        <f t="shared" si="4"/>
        <v>#NAME?</v>
      </c>
      <c r="N13" s="232" t="e">
        <f t="shared" si="62"/>
        <v>#NAME?</v>
      </c>
      <c r="O13" s="208" t="e">
        <f t="shared" si="5"/>
        <v>#NAME?</v>
      </c>
      <c r="P13" s="291" t="e">
        <f t="shared" si="6"/>
        <v>#NAME?</v>
      </c>
      <c r="Q13" s="291" t="e">
        <f t="shared" si="7"/>
        <v>#NAME?</v>
      </c>
      <c r="R13" s="291" t="e">
        <f t="shared" si="8"/>
        <v>#NAME?</v>
      </c>
      <c r="S13" s="232" t="e">
        <f t="shared" si="9"/>
        <v>#NAME?</v>
      </c>
      <c r="T13" s="232" t="e">
        <f t="shared" si="10"/>
        <v>#NAME?</v>
      </c>
      <c r="U13" s="173" t="e">
        <f t="shared" si="11"/>
        <v>#NAME?</v>
      </c>
      <c r="V13" s="232" t="e">
        <f t="shared" si="63"/>
        <v>#NAME?</v>
      </c>
      <c r="W13" s="233" t="e">
        <f t="shared" si="12"/>
        <v>#NAME?</v>
      </c>
      <c r="X13" s="232" t="e">
        <f t="shared" si="13"/>
        <v>#NAME?</v>
      </c>
      <c r="Y13" s="232" t="e">
        <f t="shared" si="64"/>
        <v>#NAME?</v>
      </c>
      <c r="Z13" s="232" t="e">
        <f t="shared" si="14"/>
        <v>#NAME?</v>
      </c>
      <c r="AA13" s="234" t="e">
        <f t="shared" si="15"/>
        <v>#NAME?</v>
      </c>
      <c r="AB13" s="234" t="e">
        <f t="shared" si="65"/>
        <v>#NAME?</v>
      </c>
      <c r="AC13" s="232" t="e">
        <f t="shared" si="16"/>
        <v>#NAME?</v>
      </c>
      <c r="AD13" s="232" t="e">
        <f t="shared" si="17"/>
        <v>#NAME?</v>
      </c>
      <c r="AE13" s="232" t="e">
        <f t="shared" si="18"/>
        <v>#NAME?</v>
      </c>
      <c r="AF13">
        <v>20</v>
      </c>
      <c r="AG13" s="505" t="e">
        <f t="shared" si="19"/>
        <v>#NAME?</v>
      </c>
      <c r="AH13" s="232" t="e">
        <f t="shared" si="20"/>
        <v>#NAME?</v>
      </c>
      <c r="AI13" s="232" t="e">
        <f t="shared" si="21"/>
        <v>#NAME?</v>
      </c>
      <c r="AJ13" s="232" t="e">
        <f t="shared" si="22"/>
        <v>#NAME?</v>
      </c>
      <c r="AK13" s="232" t="e">
        <f t="shared" si="23"/>
        <v>#NAME?</v>
      </c>
      <c r="AL13" s="232" t="e">
        <f t="shared" si="24"/>
        <v>#NAME?</v>
      </c>
      <c r="AM13" s="232" t="e">
        <f t="shared" si="25"/>
        <v>#NAME?</v>
      </c>
      <c r="AN13" s="232" t="e">
        <f t="shared" si="26"/>
        <v>#NAME?</v>
      </c>
      <c r="AO13" s="232" t="e">
        <f t="shared" si="27"/>
        <v>#NAME?</v>
      </c>
      <c r="AP13" s="232" t="e">
        <f t="shared" si="66"/>
        <v>#NAME?</v>
      </c>
      <c r="AQ13" s="232" t="e">
        <f t="shared" si="28"/>
        <v>#NAME?</v>
      </c>
      <c r="AR13" s="232" t="e">
        <f t="shared" si="29"/>
        <v>#NAME?</v>
      </c>
      <c r="AS13" s="232" t="e">
        <f t="shared" si="30"/>
        <v>#NAME?</v>
      </c>
      <c r="AT13" s="232" t="e">
        <f t="shared" si="67"/>
        <v>#NAME?</v>
      </c>
      <c r="AU13" s="232" t="e">
        <f t="shared" si="31"/>
        <v>#NAME?</v>
      </c>
      <c r="AV13" s="232">
        <f t="shared" si="32"/>
        <v>5.2500000000000005E-2</v>
      </c>
      <c r="AW13" s="292" t="e">
        <f t="shared" si="75"/>
        <v>#NAME?</v>
      </c>
      <c r="AX13" s="358" t="e">
        <f t="shared" si="33"/>
        <v>#NAME?</v>
      </c>
      <c r="AY13" s="358" t="e">
        <f t="shared" si="68"/>
        <v>#NAME?</v>
      </c>
      <c r="AZ13" s="358" t="e">
        <f t="shared" si="34"/>
        <v>#NAME?</v>
      </c>
      <c r="BA13" s="358" t="e">
        <f t="shared" si="35"/>
        <v>#NAME?</v>
      </c>
      <c r="BB13" s="358" t="e">
        <f t="shared" si="36"/>
        <v>#NAME?</v>
      </c>
      <c r="BC13" s="358" t="e">
        <f t="shared" si="37"/>
        <v>#NAME?</v>
      </c>
      <c r="BD13" s="358" t="e">
        <f t="shared" si="38"/>
        <v>#NAME?</v>
      </c>
      <c r="BE13" s="358" t="e">
        <f t="shared" si="39"/>
        <v>#NAME?</v>
      </c>
      <c r="BF13" s="358" t="e">
        <f t="shared" si="40"/>
        <v>#NAME?</v>
      </c>
      <c r="BG13" s="235" t="e">
        <f t="shared" si="69"/>
        <v>#NAME?</v>
      </c>
      <c r="BH13" s="235" t="e">
        <f t="shared" si="60"/>
        <v>#NAME?</v>
      </c>
      <c r="BI13" s="235" t="e">
        <f t="shared" si="70"/>
        <v>#NAME?</v>
      </c>
      <c r="BJ13" s="175" t="e">
        <f t="shared" si="71"/>
        <v>#NAME?</v>
      </c>
      <c r="BK13" s="233">
        <f>CHOOSE(MODE, I13*1000, 'PFM Efficiency'!BI13)</f>
        <v>10.5</v>
      </c>
      <c r="BL13" s="175">
        <v>87.002989620240314</v>
      </c>
      <c r="BM13" s="235">
        <f t="shared" si="61"/>
        <v>0.87002989620240312</v>
      </c>
      <c r="BN13" s="293" t="e">
        <f t="shared" si="41"/>
        <v>#NAME?</v>
      </c>
      <c r="BO13" s="294"/>
      <c r="BP13" s="235" t="e">
        <f t="shared" si="72"/>
        <v>#NAME?</v>
      </c>
      <c r="BQ13" s="294"/>
      <c r="BR13" s="175" t="e">
        <f t="shared" si="73"/>
        <v>#NAME?</v>
      </c>
      <c r="BS13" s="175" t="e">
        <f t="shared" si="74"/>
        <v>#NAME?</v>
      </c>
      <c r="BT13" s="175" t="e">
        <f t="shared" si="42"/>
        <v>#NAME?</v>
      </c>
      <c r="BU13" s="235"/>
      <c r="BV13" s="235"/>
      <c r="BW13" s="175" t="e">
        <f>IF(MODE=1, BJ13, 'PFM Efficiency'!BH13)</f>
        <v>#NAME?</v>
      </c>
      <c r="BX13" s="175" t="e">
        <f>IF(MODE=1, BR13, 'PFM Efficiency'!BN13)</f>
        <v>#NAME?</v>
      </c>
      <c r="BY13" s="175" t="e">
        <f>IF(MODE=1, BS13, 'PFM Efficiency'!BO13)</f>
        <v>#NAME?</v>
      </c>
      <c r="BZ13" s="175" t="e">
        <f>IF(MODE=1, BT13, 'PFM Efficiency'!BP13)</f>
        <v>#NAME?</v>
      </c>
    </row>
    <row r="14" spans="1:78" x14ac:dyDescent="0.2">
      <c r="F14" s="289"/>
      <c r="G14" s="289"/>
      <c r="H14" s="173">
        <v>8</v>
      </c>
      <c r="I14" s="522">
        <f t="shared" si="0"/>
        <v>1.2E-2</v>
      </c>
      <c r="J14" s="233" t="e">
        <f t="shared" si="1"/>
        <v>#NAME?</v>
      </c>
      <c r="K14" s="233" t="e">
        <f t="shared" si="2"/>
        <v>#NAME?</v>
      </c>
      <c r="L14" s="233" t="e">
        <f t="shared" si="3"/>
        <v>#NAME?</v>
      </c>
      <c r="M14" s="290" t="e">
        <f t="shared" si="4"/>
        <v>#NAME?</v>
      </c>
      <c r="N14" s="232" t="e">
        <f t="shared" si="62"/>
        <v>#NAME?</v>
      </c>
      <c r="O14" s="208" t="e">
        <f t="shared" si="5"/>
        <v>#NAME?</v>
      </c>
      <c r="P14" s="291" t="e">
        <f t="shared" si="6"/>
        <v>#NAME?</v>
      </c>
      <c r="Q14" s="291" t="e">
        <f t="shared" si="7"/>
        <v>#NAME?</v>
      </c>
      <c r="R14" s="291" t="e">
        <f t="shared" si="8"/>
        <v>#NAME?</v>
      </c>
      <c r="S14" s="232" t="e">
        <f t="shared" si="9"/>
        <v>#NAME?</v>
      </c>
      <c r="T14" s="232" t="e">
        <f t="shared" si="10"/>
        <v>#NAME?</v>
      </c>
      <c r="U14" s="173" t="e">
        <f t="shared" si="11"/>
        <v>#NAME?</v>
      </c>
      <c r="V14" s="232" t="e">
        <f t="shared" si="63"/>
        <v>#NAME?</v>
      </c>
      <c r="W14" s="233" t="e">
        <f t="shared" si="12"/>
        <v>#NAME?</v>
      </c>
      <c r="X14" s="232" t="e">
        <f t="shared" si="13"/>
        <v>#NAME?</v>
      </c>
      <c r="Y14" s="232" t="e">
        <f t="shared" si="64"/>
        <v>#NAME?</v>
      </c>
      <c r="Z14" s="232" t="e">
        <f t="shared" si="14"/>
        <v>#NAME?</v>
      </c>
      <c r="AA14" s="234" t="e">
        <f t="shared" si="15"/>
        <v>#NAME?</v>
      </c>
      <c r="AB14" s="234" t="e">
        <f t="shared" si="65"/>
        <v>#NAME?</v>
      </c>
      <c r="AC14" s="232" t="e">
        <f t="shared" si="16"/>
        <v>#NAME?</v>
      </c>
      <c r="AD14" s="232" t="e">
        <f t="shared" si="17"/>
        <v>#NAME?</v>
      </c>
      <c r="AE14" s="232" t="e">
        <f t="shared" si="18"/>
        <v>#NAME?</v>
      </c>
      <c r="AF14">
        <v>20</v>
      </c>
      <c r="AG14" s="505" t="e">
        <f t="shared" si="19"/>
        <v>#NAME?</v>
      </c>
      <c r="AH14" s="232" t="e">
        <f t="shared" si="20"/>
        <v>#NAME?</v>
      </c>
      <c r="AI14" s="232" t="e">
        <f t="shared" si="21"/>
        <v>#NAME?</v>
      </c>
      <c r="AJ14" s="232" t="e">
        <f t="shared" si="22"/>
        <v>#NAME?</v>
      </c>
      <c r="AK14" s="232" t="e">
        <f t="shared" si="23"/>
        <v>#NAME?</v>
      </c>
      <c r="AL14" s="232" t="e">
        <f t="shared" si="24"/>
        <v>#NAME?</v>
      </c>
      <c r="AM14" s="232" t="e">
        <f t="shared" si="25"/>
        <v>#NAME?</v>
      </c>
      <c r="AN14" s="232" t="e">
        <f t="shared" si="26"/>
        <v>#NAME?</v>
      </c>
      <c r="AO14" s="232" t="e">
        <f t="shared" si="27"/>
        <v>#NAME?</v>
      </c>
      <c r="AP14" s="232" t="e">
        <f t="shared" si="66"/>
        <v>#NAME?</v>
      </c>
      <c r="AQ14" s="232" t="e">
        <f t="shared" si="28"/>
        <v>#NAME?</v>
      </c>
      <c r="AR14" s="232" t="e">
        <f t="shared" si="29"/>
        <v>#NAME?</v>
      </c>
      <c r="AS14" s="232" t="e">
        <f t="shared" si="30"/>
        <v>#NAME?</v>
      </c>
      <c r="AT14" s="232" t="e">
        <f t="shared" si="67"/>
        <v>#NAME?</v>
      </c>
      <c r="AU14" s="232" t="e">
        <f t="shared" si="31"/>
        <v>#NAME?</v>
      </c>
      <c r="AV14" s="232">
        <f t="shared" si="32"/>
        <v>0.06</v>
      </c>
      <c r="AW14" s="292" t="e">
        <f t="shared" si="75"/>
        <v>#NAME?</v>
      </c>
      <c r="AX14" s="358" t="e">
        <f t="shared" si="33"/>
        <v>#NAME?</v>
      </c>
      <c r="AY14" s="358" t="e">
        <f t="shared" si="68"/>
        <v>#NAME?</v>
      </c>
      <c r="AZ14" s="358" t="e">
        <f t="shared" si="34"/>
        <v>#NAME?</v>
      </c>
      <c r="BA14" s="358" t="e">
        <f t="shared" si="35"/>
        <v>#NAME?</v>
      </c>
      <c r="BB14" s="358" t="e">
        <f t="shared" si="36"/>
        <v>#NAME?</v>
      </c>
      <c r="BC14" s="358" t="e">
        <f t="shared" si="37"/>
        <v>#NAME?</v>
      </c>
      <c r="BD14" s="358" t="e">
        <f t="shared" si="38"/>
        <v>#NAME?</v>
      </c>
      <c r="BE14" s="358" t="e">
        <f t="shared" si="39"/>
        <v>#NAME?</v>
      </c>
      <c r="BF14" s="358" t="e">
        <f t="shared" si="40"/>
        <v>#NAME?</v>
      </c>
      <c r="BG14" s="235" t="e">
        <f t="shared" si="69"/>
        <v>#NAME?</v>
      </c>
      <c r="BH14" s="235" t="e">
        <f t="shared" si="60"/>
        <v>#NAME?</v>
      </c>
      <c r="BI14" s="235" t="e">
        <f t="shared" si="70"/>
        <v>#NAME?</v>
      </c>
      <c r="BJ14" s="175" t="e">
        <f t="shared" si="71"/>
        <v>#NAME?</v>
      </c>
      <c r="BK14" s="233">
        <f>CHOOSE(MODE, I14*1000, 'PFM Efficiency'!BI14)</f>
        <v>12</v>
      </c>
      <c r="BL14" s="175">
        <v>87.073765890198644</v>
      </c>
      <c r="BM14" s="235">
        <f t="shared" si="61"/>
        <v>0.8707376589019864</v>
      </c>
      <c r="BN14" s="293" t="e">
        <f t="shared" si="41"/>
        <v>#NAME?</v>
      </c>
      <c r="BO14" s="294"/>
      <c r="BP14" s="235" t="e">
        <f t="shared" si="72"/>
        <v>#NAME?</v>
      </c>
      <c r="BQ14" s="294"/>
      <c r="BR14" s="175" t="e">
        <f t="shared" si="73"/>
        <v>#NAME?</v>
      </c>
      <c r="BS14" s="175" t="e">
        <f t="shared" si="74"/>
        <v>#NAME?</v>
      </c>
      <c r="BT14" s="175" t="e">
        <f t="shared" si="42"/>
        <v>#NAME?</v>
      </c>
      <c r="BU14" s="235"/>
      <c r="BV14" s="235"/>
      <c r="BW14" s="175" t="e">
        <f>IF(MODE=1, BJ14, 'PFM Efficiency'!BH14)</f>
        <v>#NAME?</v>
      </c>
      <c r="BX14" s="175" t="e">
        <f>IF(MODE=1, BR14, 'PFM Efficiency'!BN14)</f>
        <v>#NAME?</v>
      </c>
      <c r="BY14" s="175" t="e">
        <f>IF(MODE=1, BS14, 'PFM Efficiency'!BO14)</f>
        <v>#NAME?</v>
      </c>
      <c r="BZ14" s="175" t="e">
        <f>IF(MODE=1, BT14, 'PFM Efficiency'!BP14)</f>
        <v>#NAME?</v>
      </c>
    </row>
    <row r="15" spans="1:78" x14ac:dyDescent="0.2">
      <c r="A15" s="301" t="s">
        <v>52</v>
      </c>
      <c r="B15" s="261"/>
      <c r="C15" s="261"/>
      <c r="D15" s="261"/>
      <c r="E15" s="262"/>
      <c r="F15" s="289"/>
      <c r="G15" s="289"/>
      <c r="H15" s="173">
        <v>9</v>
      </c>
      <c r="I15" s="522">
        <f t="shared" si="0"/>
        <v>1.35E-2</v>
      </c>
      <c r="J15" s="233" t="e">
        <f t="shared" si="1"/>
        <v>#NAME?</v>
      </c>
      <c r="K15" s="233" t="e">
        <f t="shared" si="2"/>
        <v>#NAME?</v>
      </c>
      <c r="L15" s="233" t="e">
        <f t="shared" si="3"/>
        <v>#NAME?</v>
      </c>
      <c r="M15" s="290" t="e">
        <f t="shared" si="4"/>
        <v>#NAME?</v>
      </c>
      <c r="N15" s="232" t="e">
        <f t="shared" si="62"/>
        <v>#NAME?</v>
      </c>
      <c r="O15" s="208" t="e">
        <f t="shared" si="5"/>
        <v>#NAME?</v>
      </c>
      <c r="P15" s="291" t="e">
        <f t="shared" si="6"/>
        <v>#NAME?</v>
      </c>
      <c r="Q15" s="291" t="e">
        <f t="shared" si="7"/>
        <v>#NAME?</v>
      </c>
      <c r="R15" s="291" t="e">
        <f t="shared" si="8"/>
        <v>#NAME?</v>
      </c>
      <c r="S15" s="232" t="e">
        <f t="shared" si="9"/>
        <v>#NAME?</v>
      </c>
      <c r="T15" s="232" t="e">
        <f t="shared" si="10"/>
        <v>#NAME?</v>
      </c>
      <c r="U15" s="173" t="e">
        <f t="shared" si="11"/>
        <v>#NAME?</v>
      </c>
      <c r="V15" s="232" t="e">
        <f t="shared" si="63"/>
        <v>#NAME?</v>
      </c>
      <c r="W15" s="233" t="e">
        <f t="shared" si="12"/>
        <v>#NAME?</v>
      </c>
      <c r="X15" s="232" t="e">
        <f t="shared" si="13"/>
        <v>#NAME?</v>
      </c>
      <c r="Y15" s="232" t="e">
        <f t="shared" si="64"/>
        <v>#NAME?</v>
      </c>
      <c r="Z15" s="232" t="e">
        <f t="shared" si="14"/>
        <v>#NAME?</v>
      </c>
      <c r="AA15" s="234" t="e">
        <f t="shared" si="15"/>
        <v>#NAME?</v>
      </c>
      <c r="AB15" s="234" t="e">
        <f t="shared" si="65"/>
        <v>#NAME?</v>
      </c>
      <c r="AC15" s="232" t="e">
        <f t="shared" si="16"/>
        <v>#NAME?</v>
      </c>
      <c r="AD15" s="232" t="e">
        <f t="shared" si="17"/>
        <v>#NAME?</v>
      </c>
      <c r="AE15" s="232" t="e">
        <f t="shared" si="18"/>
        <v>#NAME?</v>
      </c>
      <c r="AF15">
        <v>20</v>
      </c>
      <c r="AG15" s="505" t="e">
        <f t="shared" si="19"/>
        <v>#NAME?</v>
      </c>
      <c r="AH15" s="232" t="e">
        <f t="shared" si="20"/>
        <v>#NAME?</v>
      </c>
      <c r="AI15" s="232" t="e">
        <f t="shared" si="21"/>
        <v>#NAME?</v>
      </c>
      <c r="AJ15" s="232" t="e">
        <f t="shared" si="22"/>
        <v>#NAME?</v>
      </c>
      <c r="AK15" s="232" t="e">
        <f t="shared" si="23"/>
        <v>#NAME?</v>
      </c>
      <c r="AL15" s="232" t="e">
        <f t="shared" si="24"/>
        <v>#NAME?</v>
      </c>
      <c r="AM15" s="232" t="e">
        <f t="shared" si="25"/>
        <v>#NAME?</v>
      </c>
      <c r="AN15" s="232" t="e">
        <f t="shared" si="26"/>
        <v>#NAME?</v>
      </c>
      <c r="AO15" s="232" t="e">
        <f t="shared" si="27"/>
        <v>#NAME?</v>
      </c>
      <c r="AP15" s="232" t="e">
        <f t="shared" si="66"/>
        <v>#NAME?</v>
      </c>
      <c r="AQ15" s="232" t="e">
        <f t="shared" si="28"/>
        <v>#NAME?</v>
      </c>
      <c r="AR15" s="232" t="e">
        <f t="shared" si="29"/>
        <v>#NAME?</v>
      </c>
      <c r="AS15" s="232" t="e">
        <f t="shared" si="30"/>
        <v>#NAME?</v>
      </c>
      <c r="AT15" s="232" t="e">
        <f t="shared" si="67"/>
        <v>#NAME?</v>
      </c>
      <c r="AU15" s="232" t="e">
        <f t="shared" si="31"/>
        <v>#NAME?</v>
      </c>
      <c r="AV15" s="232">
        <f t="shared" si="32"/>
        <v>6.7500000000000004E-2</v>
      </c>
      <c r="AW15" s="292" t="e">
        <f t="shared" si="75"/>
        <v>#NAME?</v>
      </c>
      <c r="AX15" s="358" t="e">
        <f t="shared" si="33"/>
        <v>#NAME?</v>
      </c>
      <c r="AY15" s="358" t="e">
        <f t="shared" si="68"/>
        <v>#NAME?</v>
      </c>
      <c r="AZ15" s="358" t="e">
        <f t="shared" si="34"/>
        <v>#NAME?</v>
      </c>
      <c r="BA15" s="358" t="e">
        <f t="shared" si="35"/>
        <v>#NAME?</v>
      </c>
      <c r="BB15" s="358" t="e">
        <f t="shared" si="36"/>
        <v>#NAME?</v>
      </c>
      <c r="BC15" s="358" t="e">
        <f t="shared" si="37"/>
        <v>#NAME?</v>
      </c>
      <c r="BD15" s="358" t="e">
        <f t="shared" si="38"/>
        <v>#NAME?</v>
      </c>
      <c r="BE15" s="358" t="e">
        <f t="shared" si="39"/>
        <v>#NAME?</v>
      </c>
      <c r="BF15" s="358" t="e">
        <f t="shared" si="40"/>
        <v>#NAME?</v>
      </c>
      <c r="BG15" s="235" t="e">
        <f t="shared" si="69"/>
        <v>#NAME?</v>
      </c>
      <c r="BH15" s="235" t="e">
        <f t="shared" si="60"/>
        <v>#NAME?</v>
      </c>
      <c r="BI15" s="235" t="e">
        <f t="shared" si="70"/>
        <v>#NAME?</v>
      </c>
      <c r="BJ15" s="175" t="e">
        <f t="shared" si="71"/>
        <v>#NAME?</v>
      </c>
      <c r="BK15" s="233">
        <f>CHOOSE(MODE, I15*1000, 'PFM Efficiency'!BI15)</f>
        <v>13.5</v>
      </c>
      <c r="BL15" s="175">
        <v>87.128587175766796</v>
      </c>
      <c r="BM15" s="235">
        <f t="shared" si="61"/>
        <v>0.87128587175766792</v>
      </c>
      <c r="BN15" s="293" t="e">
        <f t="shared" si="41"/>
        <v>#NAME?</v>
      </c>
      <c r="BO15" s="294"/>
      <c r="BP15" s="235" t="e">
        <f t="shared" si="72"/>
        <v>#NAME?</v>
      </c>
      <c r="BQ15" s="294"/>
      <c r="BR15" s="175" t="e">
        <f t="shared" si="73"/>
        <v>#NAME?</v>
      </c>
      <c r="BS15" s="175" t="e">
        <f t="shared" si="74"/>
        <v>#NAME?</v>
      </c>
      <c r="BT15" s="175" t="e">
        <f t="shared" si="42"/>
        <v>#NAME?</v>
      </c>
      <c r="BU15" s="235"/>
      <c r="BV15" s="235"/>
      <c r="BW15" s="175" t="e">
        <f>IF(MODE=1, BJ15, 'PFM Efficiency'!BH15)</f>
        <v>#NAME?</v>
      </c>
      <c r="BX15" s="175" t="e">
        <f>IF(MODE=1, BR15, 'PFM Efficiency'!BN15)</f>
        <v>#NAME?</v>
      </c>
      <c r="BY15" s="175" t="e">
        <f>IF(MODE=1, BS15, 'PFM Efficiency'!BO15)</f>
        <v>#NAME?</v>
      </c>
      <c r="BZ15" s="175" t="e">
        <f>IF(MODE=1, BT15, 'PFM Efficiency'!BP15)</f>
        <v>#NAME?</v>
      </c>
    </row>
    <row r="16" spans="1:78" x14ac:dyDescent="0.2">
      <c r="A16" s="285" t="s">
        <v>37</v>
      </c>
      <c r="B16" s="286" t="s">
        <v>8</v>
      </c>
      <c r="C16" s="286" t="s">
        <v>51</v>
      </c>
      <c r="D16" s="302" t="s">
        <v>118</v>
      </c>
      <c r="E16" s="288" t="s">
        <v>60</v>
      </c>
      <c r="F16" s="289"/>
      <c r="G16" s="289"/>
      <c r="H16" s="173">
        <v>10</v>
      </c>
      <c r="I16" s="522">
        <f t="shared" si="0"/>
        <v>1.4999999999999999E-2</v>
      </c>
      <c r="J16" s="233" t="e">
        <f t="shared" si="1"/>
        <v>#NAME?</v>
      </c>
      <c r="K16" s="233" t="e">
        <f t="shared" si="2"/>
        <v>#NAME?</v>
      </c>
      <c r="L16" s="233" t="e">
        <f t="shared" si="3"/>
        <v>#NAME?</v>
      </c>
      <c r="M16" s="290" t="e">
        <f t="shared" si="4"/>
        <v>#NAME?</v>
      </c>
      <c r="N16" s="232" t="e">
        <f t="shared" si="62"/>
        <v>#NAME?</v>
      </c>
      <c r="O16" s="208" t="e">
        <f t="shared" si="5"/>
        <v>#NAME?</v>
      </c>
      <c r="P16" s="291" t="e">
        <f t="shared" si="6"/>
        <v>#NAME?</v>
      </c>
      <c r="Q16" s="291" t="e">
        <f t="shared" si="7"/>
        <v>#NAME?</v>
      </c>
      <c r="R16" s="291" t="e">
        <f t="shared" si="8"/>
        <v>#NAME?</v>
      </c>
      <c r="S16" s="232" t="e">
        <f t="shared" si="9"/>
        <v>#NAME?</v>
      </c>
      <c r="T16" s="232" t="e">
        <f t="shared" si="10"/>
        <v>#NAME?</v>
      </c>
      <c r="U16" s="173" t="e">
        <f t="shared" si="11"/>
        <v>#NAME?</v>
      </c>
      <c r="V16" s="232" t="e">
        <f t="shared" si="63"/>
        <v>#NAME?</v>
      </c>
      <c r="W16" s="233" t="e">
        <f t="shared" si="12"/>
        <v>#NAME?</v>
      </c>
      <c r="X16" s="232" t="e">
        <f t="shared" si="13"/>
        <v>#NAME?</v>
      </c>
      <c r="Y16" s="232" t="e">
        <f t="shared" si="64"/>
        <v>#NAME?</v>
      </c>
      <c r="Z16" s="232" t="e">
        <f t="shared" si="14"/>
        <v>#NAME?</v>
      </c>
      <c r="AA16" s="234" t="e">
        <f t="shared" si="15"/>
        <v>#NAME?</v>
      </c>
      <c r="AB16" s="234" t="e">
        <f t="shared" si="65"/>
        <v>#NAME?</v>
      </c>
      <c r="AC16" s="232" t="e">
        <f t="shared" si="16"/>
        <v>#NAME?</v>
      </c>
      <c r="AD16" s="232" t="e">
        <f t="shared" si="17"/>
        <v>#NAME?</v>
      </c>
      <c r="AE16" s="232" t="e">
        <f t="shared" si="18"/>
        <v>#NAME?</v>
      </c>
      <c r="AF16">
        <v>20</v>
      </c>
      <c r="AG16" s="505" t="e">
        <f t="shared" si="19"/>
        <v>#NAME?</v>
      </c>
      <c r="AH16" s="232" t="e">
        <f t="shared" si="20"/>
        <v>#NAME?</v>
      </c>
      <c r="AI16" s="232" t="e">
        <f t="shared" si="21"/>
        <v>#NAME?</v>
      </c>
      <c r="AJ16" s="232" t="e">
        <f t="shared" si="22"/>
        <v>#NAME?</v>
      </c>
      <c r="AK16" s="232" t="e">
        <f t="shared" si="23"/>
        <v>#NAME?</v>
      </c>
      <c r="AL16" s="232" t="e">
        <f t="shared" si="24"/>
        <v>#NAME?</v>
      </c>
      <c r="AM16" s="232" t="e">
        <f t="shared" si="25"/>
        <v>#NAME?</v>
      </c>
      <c r="AN16" s="232" t="e">
        <f t="shared" si="26"/>
        <v>#NAME?</v>
      </c>
      <c r="AO16" s="232" t="e">
        <f t="shared" si="27"/>
        <v>#NAME?</v>
      </c>
      <c r="AP16" s="232" t="e">
        <f t="shared" si="66"/>
        <v>#NAME?</v>
      </c>
      <c r="AQ16" s="232" t="e">
        <f t="shared" si="28"/>
        <v>#NAME?</v>
      </c>
      <c r="AR16" s="232" t="e">
        <f t="shared" si="29"/>
        <v>#NAME?</v>
      </c>
      <c r="AS16" s="232" t="e">
        <f t="shared" si="30"/>
        <v>#NAME?</v>
      </c>
      <c r="AT16" s="232" t="e">
        <f t="shared" si="67"/>
        <v>#NAME?</v>
      </c>
      <c r="AU16" s="232" t="e">
        <f t="shared" si="31"/>
        <v>#NAME?</v>
      </c>
      <c r="AV16" s="232">
        <f t="shared" si="32"/>
        <v>7.4999999999999997E-2</v>
      </c>
      <c r="AW16" s="292" t="e">
        <f t="shared" si="75"/>
        <v>#NAME?</v>
      </c>
      <c r="AX16" s="358" t="e">
        <f t="shared" si="33"/>
        <v>#NAME?</v>
      </c>
      <c r="AY16" s="358" t="e">
        <f t="shared" si="68"/>
        <v>#NAME?</v>
      </c>
      <c r="AZ16" s="358" t="e">
        <f t="shared" si="34"/>
        <v>#NAME?</v>
      </c>
      <c r="BA16" s="358" t="e">
        <f t="shared" si="35"/>
        <v>#NAME?</v>
      </c>
      <c r="BB16" s="358" t="e">
        <f t="shared" si="36"/>
        <v>#NAME?</v>
      </c>
      <c r="BC16" s="358" t="e">
        <f t="shared" si="37"/>
        <v>#NAME?</v>
      </c>
      <c r="BD16" s="358" t="e">
        <f t="shared" si="38"/>
        <v>#NAME?</v>
      </c>
      <c r="BE16" s="358" t="e">
        <f t="shared" si="39"/>
        <v>#NAME?</v>
      </c>
      <c r="BF16" s="358" t="e">
        <f t="shared" si="40"/>
        <v>#NAME?</v>
      </c>
      <c r="BG16" s="235" t="e">
        <f t="shared" si="69"/>
        <v>#NAME?</v>
      </c>
      <c r="BH16" s="235" t="e">
        <f t="shared" si="60"/>
        <v>#NAME?</v>
      </c>
      <c r="BI16" s="235" t="e">
        <f t="shared" si="70"/>
        <v>#NAME?</v>
      </c>
      <c r="BJ16" s="175" t="e">
        <f t="shared" si="71"/>
        <v>#NAME?</v>
      </c>
      <c r="BK16" s="233">
        <f>CHOOSE(MODE, I16*1000, 'PFM Efficiency'!BI16)</f>
        <v>15</v>
      </c>
      <c r="BL16" s="175">
        <v>87.172217484522335</v>
      </c>
      <c r="BM16" s="235">
        <f t="shared" si="61"/>
        <v>0.8717221748452233</v>
      </c>
      <c r="BN16" s="293" t="e">
        <f t="shared" si="41"/>
        <v>#NAME?</v>
      </c>
      <c r="BO16" s="294"/>
      <c r="BP16" s="235" t="e">
        <f t="shared" si="72"/>
        <v>#NAME?</v>
      </c>
      <c r="BQ16" s="294"/>
      <c r="BR16" s="175" t="e">
        <f t="shared" si="73"/>
        <v>#NAME?</v>
      </c>
      <c r="BS16" s="175" t="e">
        <f t="shared" si="74"/>
        <v>#NAME?</v>
      </c>
      <c r="BT16" s="175" t="e">
        <f t="shared" si="42"/>
        <v>#NAME?</v>
      </c>
      <c r="BU16" s="235"/>
      <c r="BV16" s="235"/>
      <c r="BW16" s="175" t="e">
        <f>IF(MODE=1, BJ16, 'PFM Efficiency'!BH16)</f>
        <v>#NAME?</v>
      </c>
      <c r="BX16" s="175" t="e">
        <f>IF(MODE=1, BR16, 'PFM Efficiency'!BN16)</f>
        <v>#NAME?</v>
      </c>
      <c r="BY16" s="175" t="e">
        <f>IF(MODE=1, BS16, 'PFM Efficiency'!BO16)</f>
        <v>#NAME?</v>
      </c>
      <c r="BZ16" s="175" t="e">
        <f>IF(MODE=1, BT16, 'PFM Efficiency'!BP16)</f>
        <v>#NAME?</v>
      </c>
    </row>
    <row r="17" spans="1:78" x14ac:dyDescent="0.2">
      <c r="A17" s="299" t="s">
        <v>342</v>
      </c>
      <c r="B17" s="303">
        <f>Vout/Vin/Fsw*1000000</f>
        <v>0.46511627906976744</v>
      </c>
      <c r="C17" s="304" t="s">
        <v>343</v>
      </c>
      <c r="D17" s="305">
        <f>B17/1000000</f>
        <v>4.6511627906976743E-7</v>
      </c>
      <c r="E17" s="174" t="s">
        <v>344</v>
      </c>
      <c r="F17" s="289"/>
      <c r="G17" s="289"/>
      <c r="H17" s="173">
        <v>11</v>
      </c>
      <c r="I17" s="522">
        <f t="shared" si="0"/>
        <v>1.6500000000000001E-2</v>
      </c>
      <c r="J17" s="233" t="e">
        <f t="shared" si="1"/>
        <v>#NAME?</v>
      </c>
      <c r="K17" s="233" t="e">
        <f t="shared" si="2"/>
        <v>#NAME?</v>
      </c>
      <c r="L17" s="233" t="e">
        <f t="shared" si="3"/>
        <v>#NAME?</v>
      </c>
      <c r="M17" s="290" t="e">
        <f t="shared" si="4"/>
        <v>#NAME?</v>
      </c>
      <c r="N17" s="232" t="e">
        <f t="shared" si="62"/>
        <v>#NAME?</v>
      </c>
      <c r="O17" s="208" t="e">
        <f t="shared" si="5"/>
        <v>#NAME?</v>
      </c>
      <c r="P17" s="291" t="e">
        <f t="shared" si="6"/>
        <v>#NAME?</v>
      </c>
      <c r="Q17" s="291" t="e">
        <f t="shared" si="7"/>
        <v>#NAME?</v>
      </c>
      <c r="R17" s="291" t="e">
        <f t="shared" si="8"/>
        <v>#NAME?</v>
      </c>
      <c r="S17" s="232" t="e">
        <f t="shared" si="9"/>
        <v>#NAME?</v>
      </c>
      <c r="T17" s="232" t="e">
        <f t="shared" si="10"/>
        <v>#NAME?</v>
      </c>
      <c r="U17" s="173" t="e">
        <f t="shared" si="11"/>
        <v>#NAME?</v>
      </c>
      <c r="V17" s="232" t="e">
        <f t="shared" si="63"/>
        <v>#NAME?</v>
      </c>
      <c r="W17" s="233" t="e">
        <f t="shared" si="12"/>
        <v>#NAME?</v>
      </c>
      <c r="X17" s="232" t="e">
        <f t="shared" si="13"/>
        <v>#NAME?</v>
      </c>
      <c r="Y17" s="232" t="e">
        <f t="shared" si="64"/>
        <v>#NAME?</v>
      </c>
      <c r="Z17" s="232" t="e">
        <f t="shared" si="14"/>
        <v>#NAME?</v>
      </c>
      <c r="AA17" s="234" t="e">
        <f t="shared" si="15"/>
        <v>#NAME?</v>
      </c>
      <c r="AB17" s="234" t="e">
        <f t="shared" si="65"/>
        <v>#NAME?</v>
      </c>
      <c r="AC17" s="232" t="e">
        <f t="shared" si="16"/>
        <v>#NAME?</v>
      </c>
      <c r="AD17" s="232" t="e">
        <f t="shared" si="17"/>
        <v>#NAME?</v>
      </c>
      <c r="AE17" s="232" t="e">
        <f t="shared" si="18"/>
        <v>#NAME?</v>
      </c>
      <c r="AF17">
        <v>20</v>
      </c>
      <c r="AG17" s="505" t="e">
        <f t="shared" si="19"/>
        <v>#NAME?</v>
      </c>
      <c r="AH17" s="232" t="e">
        <f t="shared" si="20"/>
        <v>#NAME?</v>
      </c>
      <c r="AI17" s="232" t="e">
        <f t="shared" si="21"/>
        <v>#NAME?</v>
      </c>
      <c r="AJ17" s="232" t="e">
        <f t="shared" si="22"/>
        <v>#NAME?</v>
      </c>
      <c r="AK17" s="232" t="e">
        <f t="shared" si="23"/>
        <v>#NAME?</v>
      </c>
      <c r="AL17" s="232" t="e">
        <f t="shared" si="24"/>
        <v>#NAME?</v>
      </c>
      <c r="AM17" s="232" t="e">
        <f t="shared" si="25"/>
        <v>#NAME?</v>
      </c>
      <c r="AN17" s="232" t="e">
        <f t="shared" si="26"/>
        <v>#NAME?</v>
      </c>
      <c r="AO17" s="232" t="e">
        <f t="shared" si="27"/>
        <v>#NAME?</v>
      </c>
      <c r="AP17" s="232" t="e">
        <f t="shared" si="66"/>
        <v>#NAME?</v>
      </c>
      <c r="AQ17" s="232" t="e">
        <f t="shared" si="28"/>
        <v>#NAME?</v>
      </c>
      <c r="AR17" s="232" t="e">
        <f t="shared" si="29"/>
        <v>#NAME?</v>
      </c>
      <c r="AS17" s="232" t="e">
        <f t="shared" si="30"/>
        <v>#NAME?</v>
      </c>
      <c r="AT17" s="232" t="e">
        <f t="shared" si="67"/>
        <v>#NAME?</v>
      </c>
      <c r="AU17" s="232" t="e">
        <f t="shared" si="31"/>
        <v>#NAME?</v>
      </c>
      <c r="AV17" s="232">
        <f t="shared" si="32"/>
        <v>8.2500000000000004E-2</v>
      </c>
      <c r="AW17" s="292" t="e">
        <f t="shared" si="75"/>
        <v>#NAME?</v>
      </c>
      <c r="AX17" s="358" t="e">
        <f t="shared" si="33"/>
        <v>#NAME?</v>
      </c>
      <c r="AY17" s="358" t="e">
        <f t="shared" si="68"/>
        <v>#NAME?</v>
      </c>
      <c r="AZ17" s="358" t="e">
        <f t="shared" si="34"/>
        <v>#NAME?</v>
      </c>
      <c r="BA17" s="358" t="e">
        <f t="shared" si="35"/>
        <v>#NAME?</v>
      </c>
      <c r="BB17" s="358" t="e">
        <f t="shared" si="36"/>
        <v>#NAME?</v>
      </c>
      <c r="BC17" s="358" t="e">
        <f t="shared" si="37"/>
        <v>#NAME?</v>
      </c>
      <c r="BD17" s="358" t="e">
        <f t="shared" si="38"/>
        <v>#NAME?</v>
      </c>
      <c r="BE17" s="358" t="e">
        <f t="shared" si="39"/>
        <v>#NAME?</v>
      </c>
      <c r="BF17" s="358" t="e">
        <f t="shared" si="40"/>
        <v>#NAME?</v>
      </c>
      <c r="BG17" s="235" t="e">
        <f t="shared" si="69"/>
        <v>#NAME?</v>
      </c>
      <c r="BH17" s="235" t="e">
        <f t="shared" si="60"/>
        <v>#NAME?</v>
      </c>
      <c r="BI17" s="235" t="e">
        <f t="shared" si="70"/>
        <v>#NAME?</v>
      </c>
      <c r="BJ17" s="175" t="e">
        <f t="shared" si="71"/>
        <v>#NAME?</v>
      </c>
      <c r="BK17" s="233">
        <f>CHOOSE(MODE, I17*1000, 'PFM Efficiency'!BI17)</f>
        <v>16.5</v>
      </c>
      <c r="BL17" s="175">
        <v>87.207695786257617</v>
      </c>
      <c r="BM17" s="235">
        <f t="shared" si="61"/>
        <v>0.87207695786257622</v>
      </c>
      <c r="BN17" s="293" t="e">
        <f t="shared" si="41"/>
        <v>#NAME?</v>
      </c>
      <c r="BO17" s="294"/>
      <c r="BP17" s="235" t="e">
        <f t="shared" si="72"/>
        <v>#NAME?</v>
      </c>
      <c r="BQ17" s="294"/>
      <c r="BR17" s="175" t="e">
        <f t="shared" si="73"/>
        <v>#NAME?</v>
      </c>
      <c r="BS17" s="175" t="e">
        <f t="shared" si="74"/>
        <v>#NAME?</v>
      </c>
      <c r="BT17" s="175" t="e">
        <f t="shared" si="42"/>
        <v>#NAME?</v>
      </c>
      <c r="BU17" s="235"/>
      <c r="BV17" s="235"/>
      <c r="BW17" s="175" t="e">
        <f>IF(MODE=1, BJ17, 'PFM Efficiency'!BH17)</f>
        <v>#NAME?</v>
      </c>
      <c r="BX17" s="175" t="e">
        <f>IF(MODE=1, BR17, 'PFM Efficiency'!BN17)</f>
        <v>#NAME?</v>
      </c>
      <c r="BY17" s="175" t="e">
        <f>IF(MODE=1, BS17, 'PFM Efficiency'!BO17)</f>
        <v>#NAME?</v>
      </c>
      <c r="BZ17" s="175" t="e">
        <f>IF(MODE=1, BT17, 'PFM Efficiency'!BP17)</f>
        <v>#NAME?</v>
      </c>
    </row>
    <row r="18" spans="1:78" x14ac:dyDescent="0.2">
      <c r="A18" s="299" t="s">
        <v>345</v>
      </c>
      <c r="B18" s="303" t="e">
        <f>L*Iripple*1000000/(Vout+(Rdcr+RdsonBot)*Iout)</f>
        <v>#NAME?</v>
      </c>
      <c r="C18" s="304" t="s">
        <v>343</v>
      </c>
      <c r="D18" s="306" t="e">
        <f>B18/1000000</f>
        <v>#NAME?</v>
      </c>
      <c r="E18" s="174" t="s">
        <v>346</v>
      </c>
      <c r="F18" s="289"/>
      <c r="G18" s="289"/>
      <c r="H18" s="173">
        <v>12</v>
      </c>
      <c r="I18" s="522">
        <f t="shared" si="0"/>
        <v>1.7999999999999999E-2</v>
      </c>
      <c r="J18" s="233" t="e">
        <f t="shared" si="1"/>
        <v>#NAME?</v>
      </c>
      <c r="K18" s="233" t="e">
        <f t="shared" si="2"/>
        <v>#NAME?</v>
      </c>
      <c r="L18" s="233" t="e">
        <f t="shared" si="3"/>
        <v>#NAME?</v>
      </c>
      <c r="M18" s="290" t="e">
        <f t="shared" si="4"/>
        <v>#NAME?</v>
      </c>
      <c r="N18" s="232" t="e">
        <f t="shared" si="62"/>
        <v>#NAME?</v>
      </c>
      <c r="O18" s="208" t="e">
        <f t="shared" si="5"/>
        <v>#NAME?</v>
      </c>
      <c r="P18" s="291" t="e">
        <f t="shared" si="6"/>
        <v>#NAME?</v>
      </c>
      <c r="Q18" s="291" t="e">
        <f t="shared" si="7"/>
        <v>#NAME?</v>
      </c>
      <c r="R18" s="291" t="e">
        <f t="shared" si="8"/>
        <v>#NAME?</v>
      </c>
      <c r="S18" s="232" t="e">
        <f t="shared" si="9"/>
        <v>#NAME?</v>
      </c>
      <c r="T18" s="232" t="e">
        <f t="shared" si="10"/>
        <v>#NAME?</v>
      </c>
      <c r="U18" s="173" t="e">
        <f t="shared" si="11"/>
        <v>#NAME?</v>
      </c>
      <c r="V18" s="232" t="e">
        <f t="shared" si="63"/>
        <v>#NAME?</v>
      </c>
      <c r="W18" s="233" t="e">
        <f t="shared" si="12"/>
        <v>#NAME?</v>
      </c>
      <c r="X18" s="232" t="e">
        <f t="shared" si="13"/>
        <v>#NAME?</v>
      </c>
      <c r="Y18" s="232" t="e">
        <f t="shared" si="64"/>
        <v>#NAME?</v>
      </c>
      <c r="Z18" s="232" t="e">
        <f t="shared" si="14"/>
        <v>#NAME?</v>
      </c>
      <c r="AA18" s="234" t="e">
        <f t="shared" si="15"/>
        <v>#NAME?</v>
      </c>
      <c r="AB18" s="234" t="e">
        <f t="shared" si="65"/>
        <v>#NAME?</v>
      </c>
      <c r="AC18" s="232" t="e">
        <f t="shared" si="16"/>
        <v>#NAME?</v>
      </c>
      <c r="AD18" s="232" t="e">
        <f t="shared" si="17"/>
        <v>#NAME?</v>
      </c>
      <c r="AE18" s="232" t="e">
        <f t="shared" si="18"/>
        <v>#NAME?</v>
      </c>
      <c r="AF18">
        <v>20</v>
      </c>
      <c r="AG18" s="505" t="e">
        <f t="shared" si="19"/>
        <v>#NAME?</v>
      </c>
      <c r="AH18" s="232" t="e">
        <f t="shared" si="20"/>
        <v>#NAME?</v>
      </c>
      <c r="AI18" s="232" t="e">
        <f t="shared" si="21"/>
        <v>#NAME?</v>
      </c>
      <c r="AJ18" s="232" t="e">
        <f t="shared" si="22"/>
        <v>#NAME?</v>
      </c>
      <c r="AK18" s="232" t="e">
        <f t="shared" si="23"/>
        <v>#NAME?</v>
      </c>
      <c r="AL18" s="232" t="e">
        <f t="shared" si="24"/>
        <v>#NAME?</v>
      </c>
      <c r="AM18" s="232" t="e">
        <f t="shared" si="25"/>
        <v>#NAME?</v>
      </c>
      <c r="AN18" s="232" t="e">
        <f t="shared" si="26"/>
        <v>#NAME?</v>
      </c>
      <c r="AO18" s="232" t="e">
        <f t="shared" si="27"/>
        <v>#NAME?</v>
      </c>
      <c r="AP18" s="232" t="e">
        <f t="shared" si="66"/>
        <v>#NAME?</v>
      </c>
      <c r="AQ18" s="232" t="e">
        <f t="shared" si="28"/>
        <v>#NAME?</v>
      </c>
      <c r="AR18" s="232" t="e">
        <f t="shared" si="29"/>
        <v>#NAME?</v>
      </c>
      <c r="AS18" s="232" t="e">
        <f t="shared" si="30"/>
        <v>#NAME?</v>
      </c>
      <c r="AT18" s="232" t="e">
        <f t="shared" si="67"/>
        <v>#NAME?</v>
      </c>
      <c r="AU18" s="232" t="e">
        <f t="shared" si="31"/>
        <v>#NAME?</v>
      </c>
      <c r="AV18" s="232">
        <f t="shared" si="32"/>
        <v>0.09</v>
      </c>
      <c r="AW18" s="292" t="e">
        <f t="shared" si="75"/>
        <v>#NAME?</v>
      </c>
      <c r="AX18" s="358" t="e">
        <f t="shared" si="33"/>
        <v>#NAME?</v>
      </c>
      <c r="AY18" s="358" t="e">
        <f t="shared" si="68"/>
        <v>#NAME?</v>
      </c>
      <c r="AZ18" s="358" t="e">
        <f t="shared" si="34"/>
        <v>#NAME?</v>
      </c>
      <c r="BA18" s="358" t="e">
        <f t="shared" si="35"/>
        <v>#NAME?</v>
      </c>
      <c r="BB18" s="358" t="e">
        <f t="shared" si="36"/>
        <v>#NAME?</v>
      </c>
      <c r="BC18" s="358" t="e">
        <f t="shared" si="37"/>
        <v>#NAME?</v>
      </c>
      <c r="BD18" s="358" t="e">
        <f t="shared" si="38"/>
        <v>#NAME?</v>
      </c>
      <c r="BE18" s="358" t="e">
        <f t="shared" si="39"/>
        <v>#NAME?</v>
      </c>
      <c r="BF18" s="358" t="e">
        <f t="shared" si="40"/>
        <v>#NAME?</v>
      </c>
      <c r="BG18" s="235" t="e">
        <f t="shared" si="69"/>
        <v>#NAME?</v>
      </c>
      <c r="BH18" s="235" t="e">
        <f t="shared" si="60"/>
        <v>#NAME?</v>
      </c>
      <c r="BI18" s="235" t="e">
        <f t="shared" si="70"/>
        <v>#NAME?</v>
      </c>
      <c r="BJ18" s="175" t="e">
        <f t="shared" si="71"/>
        <v>#NAME?</v>
      </c>
      <c r="BK18" s="233">
        <f>CHOOSE(MODE, I18*1000, 'PFM Efficiency'!BI18)</f>
        <v>18</v>
      </c>
      <c r="BL18" s="175">
        <v>87.237051991392704</v>
      </c>
      <c r="BM18" s="235">
        <f t="shared" si="61"/>
        <v>0.872370519913927</v>
      </c>
      <c r="BN18" s="293" t="e">
        <f t="shared" si="41"/>
        <v>#NAME?</v>
      </c>
      <c r="BO18" s="294"/>
      <c r="BP18" s="235" t="e">
        <f t="shared" si="72"/>
        <v>#NAME?</v>
      </c>
      <c r="BQ18" s="294"/>
      <c r="BR18" s="175" t="e">
        <f t="shared" si="73"/>
        <v>#NAME?</v>
      </c>
      <c r="BS18" s="175" t="e">
        <f t="shared" si="74"/>
        <v>#NAME?</v>
      </c>
      <c r="BT18" s="175" t="e">
        <f t="shared" si="42"/>
        <v>#NAME?</v>
      </c>
      <c r="BU18" s="235"/>
      <c r="BV18" s="235"/>
      <c r="BW18" s="175" t="e">
        <f>IF(MODE=1, BJ18, 'PFM Efficiency'!BH18)</f>
        <v>#NAME?</v>
      </c>
      <c r="BX18" s="175" t="e">
        <f>IF(MODE=1, BR18, 'PFM Efficiency'!BN18)</f>
        <v>#NAME?</v>
      </c>
      <c r="BY18" s="175" t="e">
        <f>IF(MODE=1, BS18, 'PFM Efficiency'!BO18)</f>
        <v>#NAME?</v>
      </c>
      <c r="BZ18" s="175" t="e">
        <f>IF(MODE=1, BT18, 'PFM Efficiency'!BP18)</f>
        <v>#NAME?</v>
      </c>
    </row>
    <row r="19" spans="1:78" ht="15.75" x14ac:dyDescent="0.3">
      <c r="A19" s="299" t="s">
        <v>347</v>
      </c>
      <c r="B19" s="307" t="e">
        <f>(Vin-Vout-(Rdcr+RdsonTop)*Iout)/L*OnTime*1000</f>
        <v>#NAME?</v>
      </c>
      <c r="C19" s="174" t="s">
        <v>42</v>
      </c>
      <c r="D19" s="196" t="e">
        <f>B19/1000</f>
        <v>#NAME?</v>
      </c>
      <c r="E19" s="174" t="s">
        <v>348</v>
      </c>
      <c r="F19" s="289"/>
      <c r="G19" s="289"/>
      <c r="H19" s="173">
        <v>13</v>
      </c>
      <c r="I19" s="522">
        <f t="shared" si="0"/>
        <v>1.95E-2</v>
      </c>
      <c r="J19" s="233" t="e">
        <f t="shared" si="1"/>
        <v>#NAME?</v>
      </c>
      <c r="K19" s="233" t="e">
        <f t="shared" si="2"/>
        <v>#NAME?</v>
      </c>
      <c r="L19" s="233" t="e">
        <f t="shared" si="3"/>
        <v>#NAME?</v>
      </c>
      <c r="M19" s="290" t="e">
        <f t="shared" si="4"/>
        <v>#NAME?</v>
      </c>
      <c r="N19" s="232" t="e">
        <f t="shared" si="62"/>
        <v>#NAME?</v>
      </c>
      <c r="O19" s="208" t="e">
        <f t="shared" si="5"/>
        <v>#NAME?</v>
      </c>
      <c r="P19" s="291" t="e">
        <f t="shared" si="6"/>
        <v>#NAME?</v>
      </c>
      <c r="Q19" s="291" t="e">
        <f t="shared" si="7"/>
        <v>#NAME?</v>
      </c>
      <c r="R19" s="291" t="e">
        <f t="shared" si="8"/>
        <v>#NAME?</v>
      </c>
      <c r="S19" s="232" t="e">
        <f t="shared" si="9"/>
        <v>#NAME?</v>
      </c>
      <c r="T19" s="232" t="e">
        <f t="shared" si="10"/>
        <v>#NAME?</v>
      </c>
      <c r="U19" s="173" t="e">
        <f t="shared" si="11"/>
        <v>#NAME?</v>
      </c>
      <c r="V19" s="232" t="e">
        <f t="shared" si="63"/>
        <v>#NAME?</v>
      </c>
      <c r="W19" s="233" t="e">
        <f t="shared" si="12"/>
        <v>#NAME?</v>
      </c>
      <c r="X19" s="232" t="e">
        <f t="shared" si="13"/>
        <v>#NAME?</v>
      </c>
      <c r="Y19" s="232" t="e">
        <f t="shared" si="64"/>
        <v>#NAME?</v>
      </c>
      <c r="Z19" s="232" t="e">
        <f t="shared" si="14"/>
        <v>#NAME?</v>
      </c>
      <c r="AA19" s="234" t="e">
        <f t="shared" si="15"/>
        <v>#NAME?</v>
      </c>
      <c r="AB19" s="234" t="e">
        <f t="shared" si="65"/>
        <v>#NAME?</v>
      </c>
      <c r="AC19" s="232" t="e">
        <f t="shared" si="16"/>
        <v>#NAME?</v>
      </c>
      <c r="AD19" s="232" t="e">
        <f t="shared" si="17"/>
        <v>#NAME?</v>
      </c>
      <c r="AE19" s="232" t="e">
        <f t="shared" si="18"/>
        <v>#NAME?</v>
      </c>
      <c r="AF19">
        <v>20</v>
      </c>
      <c r="AG19" s="505" t="e">
        <f t="shared" si="19"/>
        <v>#NAME?</v>
      </c>
      <c r="AH19" s="232" t="e">
        <f t="shared" si="20"/>
        <v>#NAME?</v>
      </c>
      <c r="AI19" s="232" t="e">
        <f t="shared" si="21"/>
        <v>#NAME?</v>
      </c>
      <c r="AJ19" s="232" t="e">
        <f t="shared" si="22"/>
        <v>#NAME?</v>
      </c>
      <c r="AK19" s="232" t="e">
        <f t="shared" si="23"/>
        <v>#NAME?</v>
      </c>
      <c r="AL19" s="232" t="e">
        <f t="shared" si="24"/>
        <v>#NAME?</v>
      </c>
      <c r="AM19" s="232" t="e">
        <f t="shared" si="25"/>
        <v>#NAME?</v>
      </c>
      <c r="AN19" s="232" t="e">
        <f t="shared" si="26"/>
        <v>#NAME?</v>
      </c>
      <c r="AO19" s="232" t="e">
        <f t="shared" si="27"/>
        <v>#NAME?</v>
      </c>
      <c r="AP19" s="232" t="e">
        <f t="shared" si="66"/>
        <v>#NAME?</v>
      </c>
      <c r="AQ19" s="232" t="e">
        <f t="shared" si="28"/>
        <v>#NAME?</v>
      </c>
      <c r="AR19" s="232" t="e">
        <f t="shared" si="29"/>
        <v>#NAME?</v>
      </c>
      <c r="AS19" s="232" t="e">
        <f t="shared" si="30"/>
        <v>#NAME?</v>
      </c>
      <c r="AT19" s="232" t="e">
        <f t="shared" si="67"/>
        <v>#NAME?</v>
      </c>
      <c r="AU19" s="232" t="e">
        <f t="shared" si="31"/>
        <v>#NAME?</v>
      </c>
      <c r="AV19" s="232">
        <f t="shared" si="32"/>
        <v>9.7500000000000003E-2</v>
      </c>
      <c r="AW19" s="292" t="e">
        <f t="shared" si="75"/>
        <v>#NAME?</v>
      </c>
      <c r="AX19" s="358" t="e">
        <f t="shared" si="33"/>
        <v>#NAME?</v>
      </c>
      <c r="AY19" s="358" t="e">
        <f t="shared" si="68"/>
        <v>#NAME?</v>
      </c>
      <c r="AZ19" s="358" t="e">
        <f t="shared" si="34"/>
        <v>#NAME?</v>
      </c>
      <c r="BA19" s="358" t="e">
        <f t="shared" si="35"/>
        <v>#NAME?</v>
      </c>
      <c r="BB19" s="358" t="e">
        <f t="shared" si="36"/>
        <v>#NAME?</v>
      </c>
      <c r="BC19" s="358" t="e">
        <f t="shared" si="37"/>
        <v>#NAME?</v>
      </c>
      <c r="BD19" s="358" t="e">
        <f t="shared" si="38"/>
        <v>#NAME?</v>
      </c>
      <c r="BE19" s="358" t="e">
        <f t="shared" si="39"/>
        <v>#NAME?</v>
      </c>
      <c r="BF19" s="358" t="e">
        <f t="shared" si="40"/>
        <v>#NAME?</v>
      </c>
      <c r="BG19" s="235" t="e">
        <f t="shared" si="69"/>
        <v>#NAME?</v>
      </c>
      <c r="BH19" s="235" t="e">
        <f t="shared" si="60"/>
        <v>#NAME?</v>
      </c>
      <c r="BI19" s="235" t="e">
        <f t="shared" si="70"/>
        <v>#NAME?</v>
      </c>
      <c r="BJ19" s="175" t="e">
        <f t="shared" si="71"/>
        <v>#NAME?</v>
      </c>
      <c r="BK19" s="233">
        <f>CHOOSE(MODE, I19*1000, 'PFM Efficiency'!BI19)</f>
        <v>19.5</v>
      </c>
      <c r="BL19" s="175">
        <v>87.261693661062651</v>
      </c>
      <c r="BM19" s="235">
        <f t="shared" si="61"/>
        <v>0.87261693661062656</v>
      </c>
      <c r="BN19" s="293" t="e">
        <f t="shared" si="41"/>
        <v>#NAME?</v>
      </c>
      <c r="BO19" s="294"/>
      <c r="BP19" s="235" t="e">
        <f t="shared" si="72"/>
        <v>#NAME?</v>
      </c>
      <c r="BQ19" s="294"/>
      <c r="BR19" s="175" t="e">
        <f t="shared" si="73"/>
        <v>#NAME?</v>
      </c>
      <c r="BS19" s="175" t="e">
        <f t="shared" si="74"/>
        <v>#NAME?</v>
      </c>
      <c r="BT19" s="175" t="e">
        <f t="shared" si="42"/>
        <v>#NAME?</v>
      </c>
      <c r="BU19" s="235"/>
      <c r="BV19" s="235"/>
      <c r="BW19" s="175" t="e">
        <f>IF(MODE=1, BJ19, 'PFM Efficiency'!BH19)</f>
        <v>#NAME?</v>
      </c>
      <c r="BX19" s="175" t="e">
        <f>IF(MODE=1, BR19, 'PFM Efficiency'!BN19)</f>
        <v>#NAME?</v>
      </c>
      <c r="BY19" s="175" t="e">
        <f>IF(MODE=1, BS19, 'PFM Efficiency'!BO19)</f>
        <v>#NAME?</v>
      </c>
      <c r="BZ19" s="175" t="e">
        <f>IF(MODE=1, BT19, 'PFM Efficiency'!BP19)</f>
        <v>#NAME?</v>
      </c>
    </row>
    <row r="20" spans="1:78" x14ac:dyDescent="0.2">
      <c r="A20" s="299" t="s">
        <v>349</v>
      </c>
      <c r="B20" s="308">
        <f>'Design Regulator'!E12</f>
        <v>250</v>
      </c>
      <c r="C20" s="174" t="s">
        <v>3</v>
      </c>
      <c r="D20" s="309">
        <f>B20*1000</f>
        <v>250000</v>
      </c>
      <c r="E20" s="174" t="s">
        <v>350</v>
      </c>
      <c r="F20" s="347">
        <f>0.0000765*Rt/Vin</f>
        <v>0.22238372093023256</v>
      </c>
      <c r="G20" s="289"/>
      <c r="H20" s="173">
        <v>14</v>
      </c>
      <c r="I20" s="522">
        <f t="shared" si="0"/>
        <v>2.1000000000000001E-2</v>
      </c>
      <c r="J20" s="233" t="e">
        <f t="shared" si="1"/>
        <v>#NAME?</v>
      </c>
      <c r="K20" s="233" t="e">
        <f t="shared" si="2"/>
        <v>#NAME?</v>
      </c>
      <c r="L20" s="233" t="e">
        <f t="shared" si="3"/>
        <v>#NAME?</v>
      </c>
      <c r="M20" s="290" t="e">
        <f t="shared" si="4"/>
        <v>#NAME?</v>
      </c>
      <c r="N20" s="232" t="e">
        <f t="shared" si="62"/>
        <v>#NAME?</v>
      </c>
      <c r="O20" s="208" t="e">
        <f t="shared" si="5"/>
        <v>#NAME?</v>
      </c>
      <c r="P20" s="291" t="e">
        <f t="shared" si="6"/>
        <v>#NAME?</v>
      </c>
      <c r="Q20" s="291" t="e">
        <f t="shared" si="7"/>
        <v>#NAME?</v>
      </c>
      <c r="R20" s="291" t="e">
        <f t="shared" si="8"/>
        <v>#NAME?</v>
      </c>
      <c r="S20" s="232" t="e">
        <f t="shared" si="9"/>
        <v>#NAME?</v>
      </c>
      <c r="T20" s="232" t="e">
        <f t="shared" si="10"/>
        <v>#NAME?</v>
      </c>
      <c r="U20" s="173" t="e">
        <f t="shared" si="11"/>
        <v>#NAME?</v>
      </c>
      <c r="V20" s="232" t="e">
        <f t="shared" si="63"/>
        <v>#NAME?</v>
      </c>
      <c r="W20" s="233" t="e">
        <f t="shared" si="12"/>
        <v>#NAME?</v>
      </c>
      <c r="X20" s="232" t="e">
        <f t="shared" si="13"/>
        <v>#NAME?</v>
      </c>
      <c r="Y20" s="232" t="e">
        <f t="shared" si="64"/>
        <v>#NAME?</v>
      </c>
      <c r="Z20" s="232" t="e">
        <f t="shared" si="14"/>
        <v>#NAME?</v>
      </c>
      <c r="AA20" s="234" t="e">
        <f t="shared" si="15"/>
        <v>#NAME?</v>
      </c>
      <c r="AB20" s="234" t="e">
        <f t="shared" si="65"/>
        <v>#NAME?</v>
      </c>
      <c r="AC20" s="232" t="e">
        <f t="shared" si="16"/>
        <v>#NAME?</v>
      </c>
      <c r="AD20" s="232" t="e">
        <f t="shared" si="17"/>
        <v>#NAME?</v>
      </c>
      <c r="AE20" s="232" t="e">
        <f t="shared" si="18"/>
        <v>#NAME?</v>
      </c>
      <c r="AF20">
        <v>20</v>
      </c>
      <c r="AG20" s="505" t="e">
        <f t="shared" si="19"/>
        <v>#NAME?</v>
      </c>
      <c r="AH20" s="232" t="e">
        <f t="shared" si="20"/>
        <v>#NAME?</v>
      </c>
      <c r="AI20" s="232" t="e">
        <f t="shared" si="21"/>
        <v>#NAME?</v>
      </c>
      <c r="AJ20" s="232" t="e">
        <f t="shared" si="22"/>
        <v>#NAME?</v>
      </c>
      <c r="AK20" s="232" t="e">
        <f t="shared" si="23"/>
        <v>#NAME?</v>
      </c>
      <c r="AL20" s="232" t="e">
        <f t="shared" si="24"/>
        <v>#NAME?</v>
      </c>
      <c r="AM20" s="232" t="e">
        <f t="shared" si="25"/>
        <v>#NAME?</v>
      </c>
      <c r="AN20" s="232" t="e">
        <f t="shared" si="26"/>
        <v>#NAME?</v>
      </c>
      <c r="AO20" s="232" t="e">
        <f t="shared" si="27"/>
        <v>#NAME?</v>
      </c>
      <c r="AP20" s="232" t="e">
        <f t="shared" si="66"/>
        <v>#NAME?</v>
      </c>
      <c r="AQ20" s="232" t="e">
        <f t="shared" si="28"/>
        <v>#NAME?</v>
      </c>
      <c r="AR20" s="232" t="e">
        <f t="shared" si="29"/>
        <v>#NAME?</v>
      </c>
      <c r="AS20" s="232" t="e">
        <f t="shared" si="30"/>
        <v>#NAME?</v>
      </c>
      <c r="AT20" s="232" t="e">
        <f t="shared" si="67"/>
        <v>#NAME?</v>
      </c>
      <c r="AU20" s="232" t="e">
        <f t="shared" si="31"/>
        <v>#NAME?</v>
      </c>
      <c r="AV20" s="232">
        <f t="shared" si="32"/>
        <v>0.10500000000000001</v>
      </c>
      <c r="AW20" s="292" t="e">
        <f t="shared" si="75"/>
        <v>#NAME?</v>
      </c>
      <c r="AX20" s="358" t="e">
        <f t="shared" si="33"/>
        <v>#NAME?</v>
      </c>
      <c r="AY20" s="358" t="e">
        <f t="shared" si="68"/>
        <v>#NAME?</v>
      </c>
      <c r="AZ20" s="358" t="e">
        <f t="shared" si="34"/>
        <v>#NAME?</v>
      </c>
      <c r="BA20" s="358" t="e">
        <f t="shared" si="35"/>
        <v>#NAME?</v>
      </c>
      <c r="BB20" s="358" t="e">
        <f t="shared" si="36"/>
        <v>#NAME?</v>
      </c>
      <c r="BC20" s="358" t="e">
        <f t="shared" si="37"/>
        <v>#NAME?</v>
      </c>
      <c r="BD20" s="358" t="e">
        <f t="shared" si="38"/>
        <v>#NAME?</v>
      </c>
      <c r="BE20" s="358" t="e">
        <f t="shared" si="39"/>
        <v>#NAME?</v>
      </c>
      <c r="BF20" s="358" t="e">
        <f t="shared" si="40"/>
        <v>#NAME?</v>
      </c>
      <c r="BG20" s="235" t="e">
        <f t="shared" si="69"/>
        <v>#NAME?</v>
      </c>
      <c r="BH20" s="235" t="e">
        <f t="shared" si="60"/>
        <v>#NAME?</v>
      </c>
      <c r="BI20" s="235" t="e">
        <f t="shared" si="70"/>
        <v>#NAME?</v>
      </c>
      <c r="BJ20" s="175" t="e">
        <f t="shared" si="71"/>
        <v>#NAME?</v>
      </c>
      <c r="BK20" s="233">
        <f>CHOOSE(MODE, I20*1000, 'PFM Efficiency'!BI20)</f>
        <v>21</v>
      </c>
      <c r="BL20" s="175">
        <v>87.282627535503536</v>
      </c>
      <c r="BM20" s="235">
        <f t="shared" si="61"/>
        <v>0.87282627535503532</v>
      </c>
      <c r="BN20" s="293" t="e">
        <f t="shared" si="41"/>
        <v>#NAME?</v>
      </c>
      <c r="BO20" s="294"/>
      <c r="BP20" s="235" t="e">
        <f t="shared" si="72"/>
        <v>#NAME?</v>
      </c>
      <c r="BQ20" s="294"/>
      <c r="BR20" s="175" t="e">
        <f t="shared" si="73"/>
        <v>#NAME?</v>
      </c>
      <c r="BS20" s="175" t="e">
        <f t="shared" si="74"/>
        <v>#NAME?</v>
      </c>
      <c r="BT20" s="175" t="e">
        <f t="shared" si="42"/>
        <v>#NAME?</v>
      </c>
      <c r="BU20" s="235"/>
      <c r="BV20" s="235"/>
      <c r="BW20" s="175" t="e">
        <f>IF(MODE=1, BJ20, 'PFM Efficiency'!BH20)</f>
        <v>#NAME?</v>
      </c>
      <c r="BX20" s="175" t="e">
        <f>IF(MODE=1, BR20, 'PFM Efficiency'!BN20)</f>
        <v>#NAME?</v>
      </c>
      <c r="BY20" s="175" t="e">
        <f>IF(MODE=1, BS20, 'PFM Efficiency'!BO20)</f>
        <v>#NAME?</v>
      </c>
      <c r="BZ20" s="175" t="e">
        <f>IF(MODE=1, BT20, 'PFM Efficiency'!BP20)</f>
        <v>#NAME?</v>
      </c>
    </row>
    <row r="21" spans="1:78" x14ac:dyDescent="0.2">
      <c r="A21" s="299" t="s">
        <v>351</v>
      </c>
      <c r="B21" s="310" t="e">
        <f>1000*Iripple/2</f>
        <v>#NAME?</v>
      </c>
      <c r="C21" s="174" t="s">
        <v>42</v>
      </c>
      <c r="D21" s="311" t="e">
        <f>Iripple/2</f>
        <v>#NAME?</v>
      </c>
      <c r="E21" s="174" t="s">
        <v>352</v>
      </c>
      <c r="F21" s="289"/>
      <c r="G21" s="289"/>
      <c r="H21" s="173">
        <v>15</v>
      </c>
      <c r="I21" s="522">
        <f t="shared" si="0"/>
        <v>2.2499999999999999E-2</v>
      </c>
      <c r="J21" s="233" t="e">
        <f t="shared" si="1"/>
        <v>#NAME?</v>
      </c>
      <c r="K21" s="233" t="e">
        <f t="shared" si="2"/>
        <v>#NAME?</v>
      </c>
      <c r="L21" s="233" t="e">
        <f t="shared" si="3"/>
        <v>#NAME?</v>
      </c>
      <c r="M21" s="290" t="e">
        <f t="shared" si="4"/>
        <v>#NAME?</v>
      </c>
      <c r="N21" s="232" t="e">
        <f t="shared" si="62"/>
        <v>#NAME?</v>
      </c>
      <c r="O21" s="208" t="e">
        <f t="shared" si="5"/>
        <v>#NAME?</v>
      </c>
      <c r="P21" s="291" t="e">
        <f t="shared" si="6"/>
        <v>#NAME?</v>
      </c>
      <c r="Q21" s="291" t="e">
        <f t="shared" si="7"/>
        <v>#NAME?</v>
      </c>
      <c r="R21" s="291" t="e">
        <f t="shared" si="8"/>
        <v>#NAME?</v>
      </c>
      <c r="S21" s="232" t="e">
        <f t="shared" si="9"/>
        <v>#NAME?</v>
      </c>
      <c r="T21" s="232" t="e">
        <f t="shared" si="10"/>
        <v>#NAME?</v>
      </c>
      <c r="U21" s="173" t="e">
        <f t="shared" si="11"/>
        <v>#NAME?</v>
      </c>
      <c r="V21" s="232" t="e">
        <f t="shared" si="63"/>
        <v>#NAME?</v>
      </c>
      <c r="W21" s="233" t="e">
        <f t="shared" si="12"/>
        <v>#NAME?</v>
      </c>
      <c r="X21" s="232" t="e">
        <f t="shared" si="13"/>
        <v>#NAME?</v>
      </c>
      <c r="Y21" s="232" t="e">
        <f t="shared" si="64"/>
        <v>#NAME?</v>
      </c>
      <c r="Z21" s="232" t="e">
        <f t="shared" si="14"/>
        <v>#NAME?</v>
      </c>
      <c r="AA21" s="234" t="e">
        <f t="shared" si="15"/>
        <v>#NAME?</v>
      </c>
      <c r="AB21" s="234" t="e">
        <f t="shared" si="65"/>
        <v>#NAME?</v>
      </c>
      <c r="AC21" s="232" t="e">
        <f t="shared" si="16"/>
        <v>#NAME?</v>
      </c>
      <c r="AD21" s="232" t="e">
        <f t="shared" si="17"/>
        <v>#NAME?</v>
      </c>
      <c r="AE21" s="232" t="e">
        <f t="shared" si="18"/>
        <v>#NAME?</v>
      </c>
      <c r="AF21">
        <v>20</v>
      </c>
      <c r="AG21" s="505" t="e">
        <f t="shared" si="19"/>
        <v>#NAME?</v>
      </c>
      <c r="AH21" s="232" t="e">
        <f t="shared" si="20"/>
        <v>#NAME?</v>
      </c>
      <c r="AI21" s="232" t="e">
        <f t="shared" si="21"/>
        <v>#NAME?</v>
      </c>
      <c r="AJ21" s="232" t="e">
        <f t="shared" si="22"/>
        <v>#NAME?</v>
      </c>
      <c r="AK21" s="232" t="e">
        <f t="shared" si="23"/>
        <v>#NAME?</v>
      </c>
      <c r="AL21" s="232" t="e">
        <f t="shared" si="24"/>
        <v>#NAME?</v>
      </c>
      <c r="AM21" s="232" t="e">
        <f t="shared" si="25"/>
        <v>#NAME?</v>
      </c>
      <c r="AN21" s="232" t="e">
        <f t="shared" si="26"/>
        <v>#NAME?</v>
      </c>
      <c r="AO21" s="232" t="e">
        <f t="shared" si="27"/>
        <v>#NAME?</v>
      </c>
      <c r="AP21" s="232" t="e">
        <f t="shared" si="66"/>
        <v>#NAME?</v>
      </c>
      <c r="AQ21" s="232" t="e">
        <f t="shared" si="28"/>
        <v>#NAME?</v>
      </c>
      <c r="AR21" s="232" t="e">
        <f t="shared" si="29"/>
        <v>#NAME?</v>
      </c>
      <c r="AS21" s="232" t="e">
        <f t="shared" si="30"/>
        <v>#NAME?</v>
      </c>
      <c r="AT21" s="232" t="e">
        <f t="shared" si="67"/>
        <v>#NAME?</v>
      </c>
      <c r="AU21" s="232" t="e">
        <f t="shared" si="31"/>
        <v>#NAME?</v>
      </c>
      <c r="AV21" s="232">
        <f t="shared" si="32"/>
        <v>0.11249999999999999</v>
      </c>
      <c r="AW21" s="292" t="e">
        <f t="shared" si="75"/>
        <v>#NAME?</v>
      </c>
      <c r="AX21" s="358" t="e">
        <f t="shared" si="33"/>
        <v>#NAME?</v>
      </c>
      <c r="AY21" s="358" t="e">
        <f t="shared" si="68"/>
        <v>#NAME?</v>
      </c>
      <c r="AZ21" s="358" t="e">
        <f t="shared" si="34"/>
        <v>#NAME?</v>
      </c>
      <c r="BA21" s="358" t="e">
        <f t="shared" si="35"/>
        <v>#NAME?</v>
      </c>
      <c r="BB21" s="358" t="e">
        <f t="shared" si="36"/>
        <v>#NAME?</v>
      </c>
      <c r="BC21" s="358" t="e">
        <f t="shared" si="37"/>
        <v>#NAME?</v>
      </c>
      <c r="BD21" s="358" t="e">
        <f t="shared" si="38"/>
        <v>#NAME?</v>
      </c>
      <c r="BE21" s="358" t="e">
        <f t="shared" si="39"/>
        <v>#NAME?</v>
      </c>
      <c r="BF21" s="358" t="e">
        <f t="shared" si="40"/>
        <v>#NAME?</v>
      </c>
      <c r="BG21" s="235" t="e">
        <f t="shared" si="69"/>
        <v>#NAME?</v>
      </c>
      <c r="BH21" s="235" t="e">
        <f t="shared" si="60"/>
        <v>#NAME?</v>
      </c>
      <c r="BI21" s="235" t="e">
        <f t="shared" si="70"/>
        <v>#NAME?</v>
      </c>
      <c r="BJ21" s="175" t="e">
        <f t="shared" si="71"/>
        <v>#NAME?</v>
      </c>
      <c r="BK21" s="233">
        <f>CHOOSE(MODE, I21*1000, 'PFM Efficiency'!BI21)</f>
        <v>22.5</v>
      </c>
      <c r="BL21" s="175">
        <v>87.300592726200748</v>
      </c>
      <c r="BM21" s="235">
        <f t="shared" si="61"/>
        <v>0.87300592726200743</v>
      </c>
      <c r="BN21" s="293" t="e">
        <f t="shared" si="41"/>
        <v>#NAME?</v>
      </c>
      <c r="BO21" s="294"/>
      <c r="BP21" s="235" t="e">
        <f t="shared" si="72"/>
        <v>#NAME?</v>
      </c>
      <c r="BQ21" s="294"/>
      <c r="BR21" s="175" t="e">
        <f t="shared" si="73"/>
        <v>#NAME?</v>
      </c>
      <c r="BS21" s="175" t="e">
        <f t="shared" si="74"/>
        <v>#NAME?</v>
      </c>
      <c r="BT21" s="175" t="e">
        <f t="shared" si="42"/>
        <v>#NAME?</v>
      </c>
      <c r="BU21" s="235"/>
      <c r="BV21" s="235"/>
      <c r="BW21" s="175" t="e">
        <f>IF(MODE=1, BJ21, 'PFM Efficiency'!BH21)</f>
        <v>#NAME?</v>
      </c>
      <c r="BX21" s="175" t="e">
        <f>IF(MODE=1, BR21, 'PFM Efficiency'!BN21)</f>
        <v>#NAME?</v>
      </c>
      <c r="BY21" s="175" t="e">
        <f>IF(MODE=1, BS21, 'PFM Efficiency'!BO21)</f>
        <v>#NAME?</v>
      </c>
      <c r="BZ21" s="175" t="e">
        <f>IF(MODE=1, BT21, 'PFM Efficiency'!BP21)</f>
        <v>#NAME?</v>
      </c>
    </row>
    <row r="22" spans="1:78" x14ac:dyDescent="0.2">
      <c r="A22" s="312" t="s">
        <v>56</v>
      </c>
      <c r="B22" s="313">
        <v>20</v>
      </c>
      <c r="C22" s="174" t="s">
        <v>50</v>
      </c>
      <c r="D22" s="314">
        <f>B22/1000000000</f>
        <v>2E-8</v>
      </c>
      <c r="E22" s="174" t="s">
        <v>353</v>
      </c>
      <c r="F22" s="289"/>
      <c r="G22" s="289"/>
      <c r="H22" s="173">
        <v>16</v>
      </c>
      <c r="I22" s="522">
        <f t="shared" si="0"/>
        <v>2.4E-2</v>
      </c>
      <c r="J22" s="233" t="e">
        <f t="shared" si="1"/>
        <v>#NAME?</v>
      </c>
      <c r="K22" s="233" t="e">
        <f t="shared" si="2"/>
        <v>#NAME?</v>
      </c>
      <c r="L22" s="233" t="e">
        <f t="shared" si="3"/>
        <v>#NAME?</v>
      </c>
      <c r="M22" s="290" t="e">
        <f t="shared" si="4"/>
        <v>#NAME?</v>
      </c>
      <c r="N22" s="232" t="e">
        <f t="shared" si="62"/>
        <v>#NAME?</v>
      </c>
      <c r="O22" s="208" t="e">
        <f t="shared" si="5"/>
        <v>#NAME?</v>
      </c>
      <c r="P22" s="291" t="e">
        <f t="shared" si="6"/>
        <v>#NAME?</v>
      </c>
      <c r="Q22" s="291" t="e">
        <f t="shared" si="7"/>
        <v>#NAME?</v>
      </c>
      <c r="R22" s="291" t="e">
        <f t="shared" si="8"/>
        <v>#NAME?</v>
      </c>
      <c r="S22" s="232" t="e">
        <f t="shared" si="9"/>
        <v>#NAME?</v>
      </c>
      <c r="T22" s="232" t="e">
        <f t="shared" si="10"/>
        <v>#NAME?</v>
      </c>
      <c r="U22" s="173" t="e">
        <f t="shared" si="11"/>
        <v>#NAME?</v>
      </c>
      <c r="V22" s="232" t="e">
        <f t="shared" si="63"/>
        <v>#NAME?</v>
      </c>
      <c r="W22" s="233" t="e">
        <f t="shared" si="12"/>
        <v>#NAME?</v>
      </c>
      <c r="X22" s="232" t="e">
        <f t="shared" si="13"/>
        <v>#NAME?</v>
      </c>
      <c r="Y22" s="232" t="e">
        <f t="shared" si="64"/>
        <v>#NAME?</v>
      </c>
      <c r="Z22" s="232" t="e">
        <f t="shared" si="14"/>
        <v>#NAME?</v>
      </c>
      <c r="AA22" s="234" t="e">
        <f t="shared" si="15"/>
        <v>#NAME?</v>
      </c>
      <c r="AB22" s="234" t="e">
        <f t="shared" si="65"/>
        <v>#NAME?</v>
      </c>
      <c r="AC22" s="232" t="e">
        <f t="shared" si="16"/>
        <v>#NAME?</v>
      </c>
      <c r="AD22" s="232" t="e">
        <f t="shared" si="17"/>
        <v>#NAME?</v>
      </c>
      <c r="AE22" s="232" t="e">
        <f t="shared" si="18"/>
        <v>#NAME?</v>
      </c>
      <c r="AF22">
        <v>20</v>
      </c>
      <c r="AG22" s="505" t="e">
        <f t="shared" si="19"/>
        <v>#NAME?</v>
      </c>
      <c r="AH22" s="232" t="e">
        <f t="shared" si="20"/>
        <v>#NAME?</v>
      </c>
      <c r="AI22" s="232" t="e">
        <f t="shared" si="21"/>
        <v>#NAME?</v>
      </c>
      <c r="AJ22" s="232" t="e">
        <f t="shared" si="22"/>
        <v>#NAME?</v>
      </c>
      <c r="AK22" s="232" t="e">
        <f t="shared" si="23"/>
        <v>#NAME?</v>
      </c>
      <c r="AL22" s="232" t="e">
        <f t="shared" si="24"/>
        <v>#NAME?</v>
      </c>
      <c r="AM22" s="232" t="e">
        <f t="shared" si="25"/>
        <v>#NAME?</v>
      </c>
      <c r="AN22" s="232" t="e">
        <f t="shared" si="26"/>
        <v>#NAME?</v>
      </c>
      <c r="AO22" s="232" t="e">
        <f t="shared" si="27"/>
        <v>#NAME?</v>
      </c>
      <c r="AP22" s="232" t="e">
        <f t="shared" si="66"/>
        <v>#NAME?</v>
      </c>
      <c r="AQ22" s="232" t="e">
        <f t="shared" si="28"/>
        <v>#NAME?</v>
      </c>
      <c r="AR22" s="232" t="e">
        <f t="shared" si="29"/>
        <v>#NAME?</v>
      </c>
      <c r="AS22" s="232" t="e">
        <f t="shared" si="30"/>
        <v>#NAME?</v>
      </c>
      <c r="AT22" s="232" t="e">
        <f t="shared" si="67"/>
        <v>#NAME?</v>
      </c>
      <c r="AU22" s="232" t="e">
        <f t="shared" si="31"/>
        <v>#NAME?</v>
      </c>
      <c r="AV22" s="232">
        <f t="shared" si="32"/>
        <v>0.12</v>
      </c>
      <c r="AW22" s="292" t="e">
        <f t="shared" si="75"/>
        <v>#NAME?</v>
      </c>
      <c r="AX22" s="358" t="e">
        <f t="shared" si="33"/>
        <v>#NAME?</v>
      </c>
      <c r="AY22" s="358" t="e">
        <f t="shared" si="68"/>
        <v>#NAME?</v>
      </c>
      <c r="AZ22" s="358" t="e">
        <f t="shared" si="34"/>
        <v>#NAME?</v>
      </c>
      <c r="BA22" s="358" t="e">
        <f t="shared" si="35"/>
        <v>#NAME?</v>
      </c>
      <c r="BB22" s="358" t="e">
        <f t="shared" si="36"/>
        <v>#NAME?</v>
      </c>
      <c r="BC22" s="358" t="e">
        <f t="shared" si="37"/>
        <v>#NAME?</v>
      </c>
      <c r="BD22" s="358" t="e">
        <f t="shared" si="38"/>
        <v>#NAME?</v>
      </c>
      <c r="BE22" s="358" t="e">
        <f t="shared" si="39"/>
        <v>#NAME?</v>
      </c>
      <c r="BF22" s="358" t="e">
        <f t="shared" si="40"/>
        <v>#NAME?</v>
      </c>
      <c r="BG22" s="235" t="e">
        <f t="shared" si="69"/>
        <v>#NAME?</v>
      </c>
      <c r="BH22" s="235" t="e">
        <f t="shared" si="60"/>
        <v>#NAME?</v>
      </c>
      <c r="BI22" s="235" t="e">
        <f t="shared" si="70"/>
        <v>#NAME?</v>
      </c>
      <c r="BJ22" s="175" t="e">
        <f t="shared" si="71"/>
        <v>#NAME?</v>
      </c>
      <c r="BK22" s="233">
        <f>CHOOSE(MODE, I22*1000, 'PFM Efficiency'!BI22)</f>
        <v>24</v>
      </c>
      <c r="BL22" s="175">
        <v>87.316144106391718</v>
      </c>
      <c r="BM22" s="235">
        <f t="shared" si="61"/>
        <v>0.87316144106391713</v>
      </c>
      <c r="BN22" s="293" t="e">
        <f t="shared" si="41"/>
        <v>#NAME?</v>
      </c>
      <c r="BO22" s="294"/>
      <c r="BP22" s="235" t="e">
        <f t="shared" si="72"/>
        <v>#NAME?</v>
      </c>
      <c r="BQ22" s="294"/>
      <c r="BR22" s="175" t="e">
        <f t="shared" si="73"/>
        <v>#NAME?</v>
      </c>
      <c r="BS22" s="175" t="e">
        <f t="shared" si="74"/>
        <v>#NAME?</v>
      </c>
      <c r="BT22" s="175" t="e">
        <f t="shared" si="42"/>
        <v>#NAME?</v>
      </c>
      <c r="BU22" s="235"/>
      <c r="BV22" s="235"/>
      <c r="BW22" s="175" t="e">
        <f>IF(MODE=1, BJ22, 'PFM Efficiency'!BH22)</f>
        <v>#NAME?</v>
      </c>
      <c r="BX22" s="175" t="e">
        <f>IF(MODE=1, BR22, 'PFM Efficiency'!BN22)</f>
        <v>#NAME?</v>
      </c>
      <c r="BY22" s="175" t="e">
        <f>IF(MODE=1, BS22, 'PFM Efficiency'!BO22)</f>
        <v>#NAME?</v>
      </c>
      <c r="BZ22" s="175" t="e">
        <f>IF(MODE=1, BT22, 'PFM Efficiency'!BP22)</f>
        <v>#NAME?</v>
      </c>
    </row>
    <row r="23" spans="1:78" x14ac:dyDescent="0.2">
      <c r="A23" s="312" t="s">
        <v>57</v>
      </c>
      <c r="B23" s="313">
        <v>20</v>
      </c>
      <c r="C23" s="174" t="s">
        <v>50</v>
      </c>
      <c r="D23" s="314">
        <f>B23/1000000000</f>
        <v>2E-8</v>
      </c>
      <c r="E23" s="174" t="s">
        <v>354</v>
      </c>
      <c r="F23" s="289"/>
      <c r="G23" s="289"/>
      <c r="H23" s="173">
        <v>17</v>
      </c>
      <c r="I23" s="522">
        <f t="shared" si="0"/>
        <v>2.5500000000000002E-2</v>
      </c>
      <c r="J23" s="233" t="e">
        <f t="shared" si="1"/>
        <v>#NAME?</v>
      </c>
      <c r="K23" s="233" t="e">
        <f t="shared" si="2"/>
        <v>#NAME?</v>
      </c>
      <c r="L23" s="233" t="e">
        <f t="shared" si="3"/>
        <v>#NAME?</v>
      </c>
      <c r="M23" s="290" t="e">
        <f t="shared" si="4"/>
        <v>#NAME?</v>
      </c>
      <c r="N23" s="232" t="e">
        <f t="shared" si="62"/>
        <v>#NAME?</v>
      </c>
      <c r="O23" s="208" t="e">
        <f t="shared" si="5"/>
        <v>#NAME?</v>
      </c>
      <c r="P23" s="291" t="e">
        <f t="shared" si="6"/>
        <v>#NAME?</v>
      </c>
      <c r="Q23" s="291" t="e">
        <f t="shared" si="7"/>
        <v>#NAME?</v>
      </c>
      <c r="R23" s="291" t="e">
        <f t="shared" si="8"/>
        <v>#NAME?</v>
      </c>
      <c r="S23" s="232" t="e">
        <f t="shared" si="9"/>
        <v>#NAME?</v>
      </c>
      <c r="T23" s="232" t="e">
        <f t="shared" si="10"/>
        <v>#NAME?</v>
      </c>
      <c r="U23" s="173" t="e">
        <f t="shared" si="11"/>
        <v>#NAME?</v>
      </c>
      <c r="V23" s="232" t="e">
        <f t="shared" si="63"/>
        <v>#NAME?</v>
      </c>
      <c r="W23" s="233" t="e">
        <f t="shared" si="12"/>
        <v>#NAME?</v>
      </c>
      <c r="X23" s="232" t="e">
        <f t="shared" si="13"/>
        <v>#NAME?</v>
      </c>
      <c r="Y23" s="232" t="e">
        <f t="shared" si="64"/>
        <v>#NAME?</v>
      </c>
      <c r="Z23" s="232" t="e">
        <f t="shared" si="14"/>
        <v>#NAME?</v>
      </c>
      <c r="AA23" s="234" t="e">
        <f t="shared" si="15"/>
        <v>#NAME?</v>
      </c>
      <c r="AB23" s="234" t="e">
        <f t="shared" si="65"/>
        <v>#NAME?</v>
      </c>
      <c r="AC23" s="232" t="e">
        <f t="shared" si="16"/>
        <v>#NAME?</v>
      </c>
      <c r="AD23" s="232" t="e">
        <f t="shared" si="17"/>
        <v>#NAME?</v>
      </c>
      <c r="AE23" s="232" t="e">
        <f t="shared" si="18"/>
        <v>#NAME?</v>
      </c>
      <c r="AF23">
        <v>20</v>
      </c>
      <c r="AG23" s="505" t="e">
        <f t="shared" si="19"/>
        <v>#NAME?</v>
      </c>
      <c r="AH23" s="232" t="e">
        <f t="shared" si="20"/>
        <v>#NAME?</v>
      </c>
      <c r="AI23" s="232" t="e">
        <f t="shared" si="21"/>
        <v>#NAME?</v>
      </c>
      <c r="AJ23" s="232" t="e">
        <f t="shared" si="22"/>
        <v>#NAME?</v>
      </c>
      <c r="AK23" s="232" t="e">
        <f t="shared" si="23"/>
        <v>#NAME?</v>
      </c>
      <c r="AL23" s="232" t="e">
        <f t="shared" si="24"/>
        <v>#NAME?</v>
      </c>
      <c r="AM23" s="232" t="e">
        <f t="shared" si="25"/>
        <v>#NAME?</v>
      </c>
      <c r="AN23" s="232" t="e">
        <f t="shared" si="26"/>
        <v>#NAME?</v>
      </c>
      <c r="AO23" s="232" t="e">
        <f t="shared" si="27"/>
        <v>#NAME?</v>
      </c>
      <c r="AP23" s="232" t="e">
        <f t="shared" si="66"/>
        <v>#NAME?</v>
      </c>
      <c r="AQ23" s="232" t="e">
        <f t="shared" si="28"/>
        <v>#NAME?</v>
      </c>
      <c r="AR23" s="232" t="e">
        <f t="shared" si="29"/>
        <v>#NAME?</v>
      </c>
      <c r="AS23" s="232" t="e">
        <f t="shared" si="30"/>
        <v>#NAME?</v>
      </c>
      <c r="AT23" s="232" t="e">
        <f t="shared" si="67"/>
        <v>#NAME?</v>
      </c>
      <c r="AU23" s="232" t="e">
        <f t="shared" si="31"/>
        <v>#NAME?</v>
      </c>
      <c r="AV23" s="232">
        <f t="shared" si="32"/>
        <v>0.1275</v>
      </c>
      <c r="AW23" s="292" t="e">
        <f t="shared" si="75"/>
        <v>#NAME?</v>
      </c>
      <c r="AX23" s="358" t="e">
        <f t="shared" si="33"/>
        <v>#NAME?</v>
      </c>
      <c r="AY23" s="358" t="e">
        <f t="shared" si="68"/>
        <v>#NAME?</v>
      </c>
      <c r="AZ23" s="358" t="e">
        <f t="shared" si="34"/>
        <v>#NAME?</v>
      </c>
      <c r="BA23" s="358" t="e">
        <f t="shared" si="35"/>
        <v>#NAME?</v>
      </c>
      <c r="BB23" s="358" t="e">
        <f t="shared" si="36"/>
        <v>#NAME?</v>
      </c>
      <c r="BC23" s="358" t="e">
        <f t="shared" si="37"/>
        <v>#NAME?</v>
      </c>
      <c r="BD23" s="358" t="e">
        <f t="shared" si="38"/>
        <v>#NAME?</v>
      </c>
      <c r="BE23" s="358" t="e">
        <f t="shared" si="39"/>
        <v>#NAME?</v>
      </c>
      <c r="BF23" s="358" t="e">
        <f t="shared" si="40"/>
        <v>#NAME?</v>
      </c>
      <c r="BG23" s="235" t="e">
        <f t="shared" si="69"/>
        <v>#NAME?</v>
      </c>
      <c r="BH23" s="235" t="e">
        <f t="shared" si="60"/>
        <v>#NAME?</v>
      </c>
      <c r="BI23" s="235" t="e">
        <f t="shared" si="70"/>
        <v>#NAME?</v>
      </c>
      <c r="BJ23" s="175" t="e">
        <f t="shared" si="71"/>
        <v>#NAME?</v>
      </c>
      <c r="BK23" s="233">
        <f>CHOOSE(MODE, I23*1000, 'PFM Efficiency'!BI23)</f>
        <v>25.500000000000004</v>
      </c>
      <c r="BL23" s="175">
        <v>87.329706350284411</v>
      </c>
      <c r="BM23" s="235">
        <f t="shared" si="61"/>
        <v>0.87329706350284408</v>
      </c>
      <c r="BN23" s="293" t="e">
        <f t="shared" si="41"/>
        <v>#NAME?</v>
      </c>
      <c r="BO23" s="294"/>
      <c r="BP23" s="235" t="e">
        <f t="shared" si="72"/>
        <v>#NAME?</v>
      </c>
      <c r="BQ23" s="294"/>
      <c r="BR23" s="175" t="e">
        <f t="shared" si="73"/>
        <v>#NAME?</v>
      </c>
      <c r="BS23" s="175" t="e">
        <f t="shared" si="74"/>
        <v>#NAME?</v>
      </c>
      <c r="BT23" s="175" t="e">
        <f t="shared" si="42"/>
        <v>#NAME?</v>
      </c>
      <c r="BU23" s="235"/>
      <c r="BV23" s="235"/>
      <c r="BW23" s="175" t="e">
        <f>IF(MODE=1, BJ23, 'PFM Efficiency'!BH23)</f>
        <v>#NAME?</v>
      </c>
      <c r="BX23" s="175" t="e">
        <f>IF(MODE=1, BR23, 'PFM Efficiency'!BN23)</f>
        <v>#NAME?</v>
      </c>
      <c r="BY23" s="175" t="e">
        <f>IF(MODE=1, BS23, 'PFM Efficiency'!BO23)</f>
        <v>#NAME?</v>
      </c>
      <c r="BZ23" s="175" t="e">
        <f>IF(MODE=1, BT23, 'PFM Efficiency'!BP23)</f>
        <v>#NAME?</v>
      </c>
    </row>
    <row r="24" spans="1:78" x14ac:dyDescent="0.2">
      <c r="A24" s="262"/>
      <c r="B24" s="262"/>
      <c r="C24" s="262"/>
      <c r="D24" s="262"/>
      <c r="E24" s="262"/>
      <c r="F24" s="289"/>
      <c r="G24" s="289"/>
      <c r="H24" s="173">
        <v>18</v>
      </c>
      <c r="I24" s="522">
        <f t="shared" si="0"/>
        <v>2.7E-2</v>
      </c>
      <c r="J24" s="233" t="e">
        <f t="shared" si="1"/>
        <v>#NAME?</v>
      </c>
      <c r="K24" s="233" t="e">
        <f t="shared" si="2"/>
        <v>#NAME?</v>
      </c>
      <c r="L24" s="233" t="e">
        <f t="shared" si="3"/>
        <v>#NAME?</v>
      </c>
      <c r="M24" s="290" t="e">
        <f t="shared" si="4"/>
        <v>#NAME?</v>
      </c>
      <c r="N24" s="232" t="e">
        <f t="shared" si="62"/>
        <v>#NAME?</v>
      </c>
      <c r="O24" s="208" t="e">
        <f t="shared" si="5"/>
        <v>#NAME?</v>
      </c>
      <c r="P24" s="291" t="e">
        <f t="shared" si="6"/>
        <v>#NAME?</v>
      </c>
      <c r="Q24" s="291" t="e">
        <f t="shared" si="7"/>
        <v>#NAME?</v>
      </c>
      <c r="R24" s="291" t="e">
        <f t="shared" si="8"/>
        <v>#NAME?</v>
      </c>
      <c r="S24" s="232" t="e">
        <f t="shared" si="9"/>
        <v>#NAME?</v>
      </c>
      <c r="T24" s="232" t="e">
        <f t="shared" si="10"/>
        <v>#NAME?</v>
      </c>
      <c r="U24" s="173" t="e">
        <f t="shared" si="11"/>
        <v>#NAME?</v>
      </c>
      <c r="V24" s="232" t="e">
        <f t="shared" si="63"/>
        <v>#NAME?</v>
      </c>
      <c r="W24" s="233" t="e">
        <f t="shared" si="12"/>
        <v>#NAME?</v>
      </c>
      <c r="X24" s="232" t="e">
        <f t="shared" si="13"/>
        <v>#NAME?</v>
      </c>
      <c r="Y24" s="232" t="e">
        <f t="shared" si="64"/>
        <v>#NAME?</v>
      </c>
      <c r="Z24" s="232" t="e">
        <f t="shared" si="14"/>
        <v>#NAME?</v>
      </c>
      <c r="AA24" s="234" t="e">
        <f t="shared" si="15"/>
        <v>#NAME?</v>
      </c>
      <c r="AB24" s="234" t="e">
        <f t="shared" si="65"/>
        <v>#NAME?</v>
      </c>
      <c r="AC24" s="232" t="e">
        <f t="shared" si="16"/>
        <v>#NAME?</v>
      </c>
      <c r="AD24" s="232" t="e">
        <f t="shared" si="17"/>
        <v>#NAME?</v>
      </c>
      <c r="AE24" s="232" t="e">
        <f t="shared" si="18"/>
        <v>#NAME?</v>
      </c>
      <c r="AF24">
        <v>20</v>
      </c>
      <c r="AG24" s="505" t="e">
        <f t="shared" si="19"/>
        <v>#NAME?</v>
      </c>
      <c r="AH24" s="232" t="e">
        <f t="shared" si="20"/>
        <v>#NAME?</v>
      </c>
      <c r="AI24" s="232" t="e">
        <f t="shared" si="21"/>
        <v>#NAME?</v>
      </c>
      <c r="AJ24" s="232" t="e">
        <f t="shared" si="22"/>
        <v>#NAME?</v>
      </c>
      <c r="AK24" s="232" t="e">
        <f t="shared" si="23"/>
        <v>#NAME?</v>
      </c>
      <c r="AL24" s="232" t="e">
        <f t="shared" si="24"/>
        <v>#NAME?</v>
      </c>
      <c r="AM24" s="232" t="e">
        <f t="shared" si="25"/>
        <v>#NAME?</v>
      </c>
      <c r="AN24" s="232" t="e">
        <f t="shared" si="26"/>
        <v>#NAME?</v>
      </c>
      <c r="AO24" s="232" t="e">
        <f t="shared" si="27"/>
        <v>#NAME?</v>
      </c>
      <c r="AP24" s="232" t="e">
        <f t="shared" si="66"/>
        <v>#NAME?</v>
      </c>
      <c r="AQ24" s="232" t="e">
        <f t="shared" si="28"/>
        <v>#NAME?</v>
      </c>
      <c r="AR24" s="232" t="e">
        <f t="shared" si="29"/>
        <v>#NAME?</v>
      </c>
      <c r="AS24" s="232" t="e">
        <f t="shared" si="30"/>
        <v>#NAME?</v>
      </c>
      <c r="AT24" s="232" t="e">
        <f t="shared" si="67"/>
        <v>#NAME?</v>
      </c>
      <c r="AU24" s="232" t="e">
        <f t="shared" si="31"/>
        <v>#NAME?</v>
      </c>
      <c r="AV24" s="232">
        <f t="shared" si="32"/>
        <v>0.13500000000000001</v>
      </c>
      <c r="AW24" s="292" t="e">
        <f t="shared" si="75"/>
        <v>#NAME?</v>
      </c>
      <c r="AX24" s="358" t="e">
        <f t="shared" si="33"/>
        <v>#NAME?</v>
      </c>
      <c r="AY24" s="358" t="e">
        <f t="shared" si="68"/>
        <v>#NAME?</v>
      </c>
      <c r="AZ24" s="358" t="e">
        <f t="shared" si="34"/>
        <v>#NAME?</v>
      </c>
      <c r="BA24" s="358" t="e">
        <f t="shared" si="35"/>
        <v>#NAME?</v>
      </c>
      <c r="BB24" s="358" t="e">
        <f t="shared" si="36"/>
        <v>#NAME?</v>
      </c>
      <c r="BC24" s="358" t="e">
        <f t="shared" si="37"/>
        <v>#NAME?</v>
      </c>
      <c r="BD24" s="358" t="e">
        <f t="shared" si="38"/>
        <v>#NAME?</v>
      </c>
      <c r="BE24" s="358" t="e">
        <f t="shared" si="39"/>
        <v>#NAME?</v>
      </c>
      <c r="BF24" s="358" t="e">
        <f t="shared" si="40"/>
        <v>#NAME?</v>
      </c>
      <c r="BG24" s="235" t="e">
        <f t="shared" si="69"/>
        <v>#NAME?</v>
      </c>
      <c r="BH24" s="235" t="e">
        <f t="shared" si="60"/>
        <v>#NAME?</v>
      </c>
      <c r="BI24" s="235" t="e">
        <f t="shared" si="70"/>
        <v>#NAME?</v>
      </c>
      <c r="BJ24" s="175" t="e">
        <f t="shared" si="71"/>
        <v>#NAME?</v>
      </c>
      <c r="BK24" s="233">
        <f>CHOOSE(MODE, I24*1000, 'PFM Efficiency'!BI24)</f>
        <v>27</v>
      </c>
      <c r="BL24" s="175">
        <v>87.341610005832351</v>
      </c>
      <c r="BM24" s="235">
        <f t="shared" si="61"/>
        <v>0.87341610005832349</v>
      </c>
      <c r="BN24" s="293" t="e">
        <f t="shared" si="41"/>
        <v>#NAME?</v>
      </c>
      <c r="BO24" s="294"/>
      <c r="BP24" s="235" t="e">
        <f t="shared" si="72"/>
        <v>#NAME?</v>
      </c>
      <c r="BQ24" s="294"/>
      <c r="BR24" s="175" t="e">
        <f t="shared" si="73"/>
        <v>#NAME?</v>
      </c>
      <c r="BS24" s="175" t="e">
        <f t="shared" si="74"/>
        <v>#NAME?</v>
      </c>
      <c r="BT24" s="175" t="e">
        <f t="shared" si="42"/>
        <v>#NAME?</v>
      </c>
      <c r="BU24" s="235"/>
      <c r="BV24" s="235"/>
      <c r="BW24" s="175" t="e">
        <f>IF(MODE=1, BJ24, 'PFM Efficiency'!BH24)</f>
        <v>#NAME?</v>
      </c>
      <c r="BX24" s="175" t="e">
        <f>IF(MODE=1, BR24, 'PFM Efficiency'!BN24)</f>
        <v>#NAME?</v>
      </c>
      <c r="BY24" s="175" t="e">
        <f>IF(MODE=1, BS24, 'PFM Efficiency'!BO24)</f>
        <v>#NAME?</v>
      </c>
      <c r="BZ24" s="175" t="e">
        <f>IF(MODE=1, BT24, 'PFM Efficiency'!BP24)</f>
        <v>#NAME?</v>
      </c>
    </row>
    <row r="25" spans="1:78" x14ac:dyDescent="0.2">
      <c r="A25" s="285" t="s">
        <v>40</v>
      </c>
      <c r="B25" s="287" t="s">
        <v>62</v>
      </c>
      <c r="C25" s="286" t="s">
        <v>51</v>
      </c>
      <c r="D25" s="302" t="s">
        <v>118</v>
      </c>
      <c r="E25" s="288" t="s">
        <v>60</v>
      </c>
      <c r="F25" s="289"/>
      <c r="G25" s="289"/>
      <c r="H25" s="173">
        <v>19</v>
      </c>
      <c r="I25" s="522">
        <f t="shared" si="0"/>
        <v>2.8499999999999998E-2</v>
      </c>
      <c r="J25" s="233" t="e">
        <f t="shared" si="1"/>
        <v>#NAME?</v>
      </c>
      <c r="K25" s="233" t="e">
        <f t="shared" si="2"/>
        <v>#NAME?</v>
      </c>
      <c r="L25" s="233" t="e">
        <f t="shared" si="3"/>
        <v>#NAME?</v>
      </c>
      <c r="M25" s="290" t="e">
        <f t="shared" si="4"/>
        <v>#NAME?</v>
      </c>
      <c r="N25" s="232" t="e">
        <f t="shared" si="62"/>
        <v>#NAME?</v>
      </c>
      <c r="O25" s="208" t="e">
        <f t="shared" si="5"/>
        <v>#NAME?</v>
      </c>
      <c r="P25" s="291" t="e">
        <f t="shared" si="6"/>
        <v>#NAME?</v>
      </c>
      <c r="Q25" s="291" t="e">
        <f t="shared" si="7"/>
        <v>#NAME?</v>
      </c>
      <c r="R25" s="291" t="e">
        <f t="shared" si="8"/>
        <v>#NAME?</v>
      </c>
      <c r="S25" s="232" t="e">
        <f t="shared" si="9"/>
        <v>#NAME?</v>
      </c>
      <c r="T25" s="232" t="e">
        <f t="shared" si="10"/>
        <v>#NAME?</v>
      </c>
      <c r="U25" s="173" t="e">
        <f t="shared" si="11"/>
        <v>#NAME?</v>
      </c>
      <c r="V25" s="232" t="e">
        <f t="shared" si="63"/>
        <v>#NAME?</v>
      </c>
      <c r="W25" s="233" t="e">
        <f t="shared" si="12"/>
        <v>#NAME?</v>
      </c>
      <c r="X25" s="232" t="e">
        <f t="shared" si="13"/>
        <v>#NAME?</v>
      </c>
      <c r="Y25" s="232" t="e">
        <f t="shared" si="64"/>
        <v>#NAME?</v>
      </c>
      <c r="Z25" s="232" t="e">
        <f t="shared" si="14"/>
        <v>#NAME?</v>
      </c>
      <c r="AA25" s="234" t="e">
        <f t="shared" si="15"/>
        <v>#NAME?</v>
      </c>
      <c r="AB25" s="234" t="e">
        <f t="shared" si="65"/>
        <v>#NAME?</v>
      </c>
      <c r="AC25" s="232" t="e">
        <f t="shared" si="16"/>
        <v>#NAME?</v>
      </c>
      <c r="AD25" s="232" t="e">
        <f t="shared" si="17"/>
        <v>#NAME?</v>
      </c>
      <c r="AE25" s="232" t="e">
        <f t="shared" si="18"/>
        <v>#NAME?</v>
      </c>
      <c r="AF25">
        <v>20</v>
      </c>
      <c r="AG25" s="505" t="e">
        <f t="shared" si="19"/>
        <v>#NAME?</v>
      </c>
      <c r="AH25" s="232" t="e">
        <f t="shared" si="20"/>
        <v>#NAME?</v>
      </c>
      <c r="AI25" s="232" t="e">
        <f t="shared" si="21"/>
        <v>#NAME?</v>
      </c>
      <c r="AJ25" s="232" t="e">
        <f t="shared" si="22"/>
        <v>#NAME?</v>
      </c>
      <c r="AK25" s="232" t="e">
        <f t="shared" si="23"/>
        <v>#NAME?</v>
      </c>
      <c r="AL25" s="232" t="e">
        <f t="shared" si="24"/>
        <v>#NAME?</v>
      </c>
      <c r="AM25" s="232" t="e">
        <f t="shared" si="25"/>
        <v>#NAME?</v>
      </c>
      <c r="AN25" s="232" t="e">
        <f t="shared" si="26"/>
        <v>#NAME?</v>
      </c>
      <c r="AO25" s="232" t="e">
        <f t="shared" si="27"/>
        <v>#NAME?</v>
      </c>
      <c r="AP25" s="232" t="e">
        <f t="shared" si="66"/>
        <v>#NAME?</v>
      </c>
      <c r="AQ25" s="232" t="e">
        <f t="shared" si="28"/>
        <v>#NAME?</v>
      </c>
      <c r="AR25" s="232" t="e">
        <f t="shared" si="29"/>
        <v>#NAME?</v>
      </c>
      <c r="AS25" s="232" t="e">
        <f t="shared" si="30"/>
        <v>#NAME?</v>
      </c>
      <c r="AT25" s="232" t="e">
        <f t="shared" si="67"/>
        <v>#NAME?</v>
      </c>
      <c r="AU25" s="232" t="e">
        <f t="shared" si="31"/>
        <v>#NAME?</v>
      </c>
      <c r="AV25" s="232">
        <f t="shared" si="32"/>
        <v>0.14249999999999999</v>
      </c>
      <c r="AW25" s="292" t="e">
        <f t="shared" si="75"/>
        <v>#NAME?</v>
      </c>
      <c r="AX25" s="358" t="e">
        <f t="shared" si="33"/>
        <v>#NAME?</v>
      </c>
      <c r="AY25" s="358" t="e">
        <f t="shared" si="68"/>
        <v>#NAME?</v>
      </c>
      <c r="AZ25" s="358" t="e">
        <f t="shared" si="34"/>
        <v>#NAME?</v>
      </c>
      <c r="BA25" s="358" t="e">
        <f t="shared" si="35"/>
        <v>#NAME?</v>
      </c>
      <c r="BB25" s="358" t="e">
        <f t="shared" si="36"/>
        <v>#NAME?</v>
      </c>
      <c r="BC25" s="358" t="e">
        <f t="shared" si="37"/>
        <v>#NAME?</v>
      </c>
      <c r="BD25" s="358" t="e">
        <f t="shared" si="38"/>
        <v>#NAME?</v>
      </c>
      <c r="BE25" s="358" t="e">
        <f t="shared" si="39"/>
        <v>#NAME?</v>
      </c>
      <c r="BF25" s="358" t="e">
        <f t="shared" si="40"/>
        <v>#NAME?</v>
      </c>
      <c r="BG25" s="235" t="e">
        <f t="shared" si="69"/>
        <v>#NAME?</v>
      </c>
      <c r="BH25" s="235" t="e">
        <f t="shared" si="60"/>
        <v>#NAME?</v>
      </c>
      <c r="BI25" s="235" t="e">
        <f t="shared" si="70"/>
        <v>#NAME?</v>
      </c>
      <c r="BJ25" s="175" t="e">
        <f t="shared" si="71"/>
        <v>#NAME?</v>
      </c>
      <c r="BK25" s="233">
        <f>CHOOSE(MODE, I25*1000, 'PFM Efficiency'!BI25)</f>
        <v>28.499999999999996</v>
      </c>
      <c r="BL25" s="175">
        <v>87.352116204047192</v>
      </c>
      <c r="BM25" s="235">
        <f t="shared" si="61"/>
        <v>0.87352116204047192</v>
      </c>
      <c r="BN25" s="293" t="e">
        <f t="shared" si="41"/>
        <v>#NAME?</v>
      </c>
      <c r="BO25" s="294"/>
      <c r="BP25" s="235" t="e">
        <f t="shared" si="72"/>
        <v>#NAME?</v>
      </c>
      <c r="BQ25" s="294"/>
      <c r="BR25" s="175" t="e">
        <f t="shared" si="73"/>
        <v>#NAME?</v>
      </c>
      <c r="BS25" s="175" t="e">
        <f t="shared" si="74"/>
        <v>#NAME?</v>
      </c>
      <c r="BT25" s="175" t="e">
        <f t="shared" si="42"/>
        <v>#NAME?</v>
      </c>
      <c r="BU25" s="235"/>
      <c r="BV25" s="235"/>
      <c r="BW25" s="175" t="e">
        <f>IF(MODE=1, BJ25, 'PFM Efficiency'!BH25)</f>
        <v>#NAME?</v>
      </c>
      <c r="BX25" s="175" t="e">
        <f>IF(MODE=1, BR25, 'PFM Efficiency'!BN25)</f>
        <v>#NAME?</v>
      </c>
      <c r="BY25" s="175" t="e">
        <f>IF(MODE=1, BS25, 'PFM Efficiency'!BO25)</f>
        <v>#NAME?</v>
      </c>
      <c r="BZ25" s="175" t="e">
        <f>IF(MODE=1, BT25, 'PFM Efficiency'!BP25)</f>
        <v>#NAME?</v>
      </c>
    </row>
    <row r="26" spans="1:78" ht="13.5" thickBot="1" x14ac:dyDescent="0.25">
      <c r="A26" s="315" t="s">
        <v>38</v>
      </c>
      <c r="B26" s="174">
        <f>'Design Regulator'!E18</f>
        <v>220</v>
      </c>
      <c r="C26" s="304" t="s">
        <v>129</v>
      </c>
      <c r="D26" s="202">
        <f>B26/1000000</f>
        <v>2.2000000000000001E-4</v>
      </c>
      <c r="E26" s="174" t="s">
        <v>355</v>
      </c>
      <c r="F26" s="316"/>
      <c r="G26" s="289"/>
      <c r="H26" s="173">
        <v>20</v>
      </c>
      <c r="I26" s="522">
        <f t="shared" si="0"/>
        <v>0.03</v>
      </c>
      <c r="J26" s="233" t="e">
        <f t="shared" si="1"/>
        <v>#NAME?</v>
      </c>
      <c r="K26" s="233" t="e">
        <f t="shared" si="2"/>
        <v>#NAME?</v>
      </c>
      <c r="L26" s="233" t="e">
        <f t="shared" si="3"/>
        <v>#NAME?</v>
      </c>
      <c r="M26" s="290" t="e">
        <f t="shared" si="4"/>
        <v>#NAME?</v>
      </c>
      <c r="N26" s="232" t="e">
        <f t="shared" si="62"/>
        <v>#NAME?</v>
      </c>
      <c r="O26" s="208" t="e">
        <f t="shared" si="5"/>
        <v>#NAME?</v>
      </c>
      <c r="P26" s="291" t="e">
        <f t="shared" si="6"/>
        <v>#NAME?</v>
      </c>
      <c r="Q26" s="291" t="e">
        <f t="shared" si="7"/>
        <v>#NAME?</v>
      </c>
      <c r="R26" s="291" t="e">
        <f t="shared" si="8"/>
        <v>#NAME?</v>
      </c>
      <c r="S26" s="232" t="e">
        <f t="shared" si="9"/>
        <v>#NAME?</v>
      </c>
      <c r="T26" s="232" t="e">
        <f t="shared" si="10"/>
        <v>#NAME?</v>
      </c>
      <c r="U26" s="173" t="e">
        <f t="shared" si="11"/>
        <v>#NAME?</v>
      </c>
      <c r="V26" s="232" t="e">
        <f t="shared" si="63"/>
        <v>#NAME?</v>
      </c>
      <c r="W26" s="233" t="e">
        <f t="shared" si="12"/>
        <v>#NAME?</v>
      </c>
      <c r="X26" s="232" t="e">
        <f t="shared" si="13"/>
        <v>#NAME?</v>
      </c>
      <c r="Y26" s="232" t="e">
        <f t="shared" si="64"/>
        <v>#NAME?</v>
      </c>
      <c r="Z26" s="232" t="e">
        <f t="shared" si="14"/>
        <v>#NAME?</v>
      </c>
      <c r="AA26" s="234" t="e">
        <f t="shared" si="15"/>
        <v>#NAME?</v>
      </c>
      <c r="AB26" s="234" t="e">
        <f t="shared" si="65"/>
        <v>#NAME?</v>
      </c>
      <c r="AC26" s="232" t="e">
        <f t="shared" si="16"/>
        <v>#NAME?</v>
      </c>
      <c r="AD26" s="232" t="e">
        <f t="shared" si="17"/>
        <v>#NAME?</v>
      </c>
      <c r="AE26" s="232" t="e">
        <f t="shared" si="18"/>
        <v>#NAME?</v>
      </c>
      <c r="AF26">
        <v>20</v>
      </c>
      <c r="AG26" s="505" t="e">
        <f t="shared" si="19"/>
        <v>#NAME?</v>
      </c>
      <c r="AH26" s="232" t="e">
        <f t="shared" si="20"/>
        <v>#NAME?</v>
      </c>
      <c r="AI26" s="232" t="e">
        <f t="shared" si="21"/>
        <v>#NAME?</v>
      </c>
      <c r="AJ26" s="232" t="e">
        <f t="shared" si="22"/>
        <v>#NAME?</v>
      </c>
      <c r="AK26" s="232" t="e">
        <f t="shared" si="23"/>
        <v>#NAME?</v>
      </c>
      <c r="AL26" s="232" t="e">
        <f t="shared" si="24"/>
        <v>#NAME?</v>
      </c>
      <c r="AM26" s="232" t="e">
        <f t="shared" si="25"/>
        <v>#NAME?</v>
      </c>
      <c r="AN26" s="232" t="e">
        <f t="shared" si="26"/>
        <v>#NAME?</v>
      </c>
      <c r="AO26" s="232" t="e">
        <f t="shared" si="27"/>
        <v>#NAME?</v>
      </c>
      <c r="AP26" s="232" t="e">
        <f t="shared" si="66"/>
        <v>#NAME?</v>
      </c>
      <c r="AQ26" s="232" t="e">
        <f t="shared" si="28"/>
        <v>#NAME?</v>
      </c>
      <c r="AR26" s="232" t="e">
        <f t="shared" si="29"/>
        <v>#NAME?</v>
      </c>
      <c r="AS26" s="232" t="e">
        <f t="shared" si="30"/>
        <v>#NAME?</v>
      </c>
      <c r="AT26" s="232" t="e">
        <f t="shared" si="67"/>
        <v>#NAME?</v>
      </c>
      <c r="AU26" s="232" t="e">
        <f t="shared" si="31"/>
        <v>#NAME?</v>
      </c>
      <c r="AV26" s="232">
        <f t="shared" si="32"/>
        <v>0.15</v>
      </c>
      <c r="AW26" s="292" t="e">
        <f t="shared" si="75"/>
        <v>#NAME?</v>
      </c>
      <c r="AX26" s="358" t="e">
        <f t="shared" si="33"/>
        <v>#NAME?</v>
      </c>
      <c r="AY26" s="358" t="e">
        <f t="shared" si="68"/>
        <v>#NAME?</v>
      </c>
      <c r="AZ26" s="358" t="e">
        <f t="shared" si="34"/>
        <v>#NAME?</v>
      </c>
      <c r="BA26" s="358" t="e">
        <f t="shared" si="35"/>
        <v>#NAME?</v>
      </c>
      <c r="BB26" s="358" t="e">
        <f t="shared" si="36"/>
        <v>#NAME?</v>
      </c>
      <c r="BC26" s="358" t="e">
        <f t="shared" si="37"/>
        <v>#NAME?</v>
      </c>
      <c r="BD26" s="358" t="e">
        <f t="shared" si="38"/>
        <v>#NAME?</v>
      </c>
      <c r="BE26" s="358" t="e">
        <f t="shared" si="39"/>
        <v>#NAME?</v>
      </c>
      <c r="BF26" s="358" t="e">
        <f t="shared" si="40"/>
        <v>#NAME?</v>
      </c>
      <c r="BG26" s="235" t="e">
        <f t="shared" si="69"/>
        <v>#NAME?</v>
      </c>
      <c r="BH26" s="235" t="e">
        <f t="shared" si="60"/>
        <v>#NAME?</v>
      </c>
      <c r="BI26" s="235" t="e">
        <f t="shared" si="70"/>
        <v>#NAME?</v>
      </c>
      <c r="BJ26" s="175" t="e">
        <f t="shared" si="71"/>
        <v>#NAME?</v>
      </c>
      <c r="BK26" s="233">
        <f>CHOOSE(MODE, I26*1000, 'PFM Efficiency'!BI26)</f>
        <v>30</v>
      </c>
      <c r="BL26" s="175">
        <v>87.361433972791943</v>
      </c>
      <c r="BM26" s="235">
        <f t="shared" si="61"/>
        <v>0.87361433972791946</v>
      </c>
      <c r="BN26" s="293" t="e">
        <f t="shared" si="41"/>
        <v>#NAME?</v>
      </c>
      <c r="BO26" s="294"/>
      <c r="BP26" s="235" t="e">
        <f t="shared" si="72"/>
        <v>#NAME?</v>
      </c>
      <c r="BQ26" s="294"/>
      <c r="BR26" s="175" t="e">
        <f t="shared" si="73"/>
        <v>#NAME?</v>
      </c>
      <c r="BS26" s="175" t="e">
        <f t="shared" si="74"/>
        <v>#NAME?</v>
      </c>
      <c r="BT26" s="175" t="e">
        <f t="shared" si="42"/>
        <v>#NAME?</v>
      </c>
      <c r="BU26" s="235"/>
      <c r="BV26" s="235"/>
      <c r="BW26" s="175" t="e">
        <f>IF(MODE=1, BJ26, 'PFM Efficiency'!BH26)</f>
        <v>#NAME?</v>
      </c>
      <c r="BX26" s="175" t="e">
        <f>IF(MODE=1, BR26, 'PFM Efficiency'!BN26)</f>
        <v>#NAME?</v>
      </c>
      <c r="BY26" s="175" t="e">
        <f>IF(MODE=1, BS26, 'PFM Efficiency'!BO26)</f>
        <v>#NAME?</v>
      </c>
      <c r="BZ26" s="175" t="e">
        <f>IF(MODE=1, BT26, 'PFM Efficiency'!BP26)</f>
        <v>#NAME?</v>
      </c>
    </row>
    <row r="27" spans="1:78" ht="13.5" thickBot="1" x14ac:dyDescent="0.25">
      <c r="A27" s="317" t="s">
        <v>11</v>
      </c>
      <c r="B27" s="318">
        <f>'Design Regulator'!E19</f>
        <v>300</v>
      </c>
      <c r="C27" s="319" t="s">
        <v>356</v>
      </c>
      <c r="D27" s="202">
        <f>B27/1000</f>
        <v>0.3</v>
      </c>
      <c r="E27" s="174" t="s">
        <v>357</v>
      </c>
      <c r="F27" s="289"/>
      <c r="G27" s="289"/>
      <c r="H27" s="173">
        <v>21</v>
      </c>
      <c r="I27" s="522">
        <f t="shared" si="0"/>
        <v>3.15E-2</v>
      </c>
      <c r="J27" s="233" t="e">
        <f t="shared" si="1"/>
        <v>#NAME?</v>
      </c>
      <c r="K27" s="233" t="e">
        <f t="shared" si="2"/>
        <v>#NAME?</v>
      </c>
      <c r="L27" s="233" t="e">
        <f t="shared" si="3"/>
        <v>#NAME?</v>
      </c>
      <c r="M27" s="290" t="e">
        <f t="shared" si="4"/>
        <v>#NAME?</v>
      </c>
      <c r="N27" s="232" t="e">
        <f t="shared" si="62"/>
        <v>#NAME?</v>
      </c>
      <c r="O27" s="208" t="e">
        <f t="shared" si="5"/>
        <v>#NAME?</v>
      </c>
      <c r="P27" s="291" t="e">
        <f t="shared" si="6"/>
        <v>#NAME?</v>
      </c>
      <c r="Q27" s="291" t="e">
        <f t="shared" si="7"/>
        <v>#NAME?</v>
      </c>
      <c r="R27" s="291" t="e">
        <f t="shared" si="8"/>
        <v>#NAME?</v>
      </c>
      <c r="S27" s="232" t="e">
        <f t="shared" si="9"/>
        <v>#NAME?</v>
      </c>
      <c r="T27" s="232" t="e">
        <f t="shared" si="10"/>
        <v>#NAME?</v>
      </c>
      <c r="U27" s="173" t="e">
        <f t="shared" si="11"/>
        <v>#NAME?</v>
      </c>
      <c r="V27" s="232" t="e">
        <f t="shared" si="63"/>
        <v>#NAME?</v>
      </c>
      <c r="W27" s="233" t="e">
        <f t="shared" si="12"/>
        <v>#NAME?</v>
      </c>
      <c r="X27" s="232" t="e">
        <f t="shared" si="13"/>
        <v>#NAME?</v>
      </c>
      <c r="Y27" s="232" t="e">
        <f t="shared" si="64"/>
        <v>#NAME?</v>
      </c>
      <c r="Z27" s="232" t="e">
        <f t="shared" si="14"/>
        <v>#NAME?</v>
      </c>
      <c r="AA27" s="234" t="e">
        <f t="shared" si="15"/>
        <v>#NAME?</v>
      </c>
      <c r="AB27" s="234" t="e">
        <f t="shared" si="65"/>
        <v>#NAME?</v>
      </c>
      <c r="AC27" s="232" t="e">
        <f t="shared" si="16"/>
        <v>#NAME?</v>
      </c>
      <c r="AD27" s="232" t="e">
        <f t="shared" si="17"/>
        <v>#NAME?</v>
      </c>
      <c r="AE27" s="232" t="e">
        <f t="shared" si="18"/>
        <v>#NAME?</v>
      </c>
      <c r="AF27">
        <v>20</v>
      </c>
      <c r="AG27" s="505" t="e">
        <f t="shared" si="19"/>
        <v>#NAME?</v>
      </c>
      <c r="AH27" s="232" t="e">
        <f t="shared" si="20"/>
        <v>#NAME?</v>
      </c>
      <c r="AI27" s="232" t="e">
        <f t="shared" si="21"/>
        <v>#NAME?</v>
      </c>
      <c r="AJ27" s="232" t="e">
        <f t="shared" si="22"/>
        <v>#NAME?</v>
      </c>
      <c r="AK27" s="232" t="e">
        <f t="shared" si="23"/>
        <v>#NAME?</v>
      </c>
      <c r="AL27" s="232" t="e">
        <f t="shared" si="24"/>
        <v>#NAME?</v>
      </c>
      <c r="AM27" s="232" t="e">
        <f t="shared" si="25"/>
        <v>#NAME?</v>
      </c>
      <c r="AN27" s="232" t="e">
        <f t="shared" si="26"/>
        <v>#NAME?</v>
      </c>
      <c r="AO27" s="232" t="e">
        <f t="shared" si="27"/>
        <v>#NAME?</v>
      </c>
      <c r="AP27" s="232" t="e">
        <f t="shared" si="66"/>
        <v>#NAME?</v>
      </c>
      <c r="AQ27" s="232" t="e">
        <f t="shared" si="28"/>
        <v>#NAME?</v>
      </c>
      <c r="AR27" s="232" t="e">
        <f t="shared" si="29"/>
        <v>#NAME?</v>
      </c>
      <c r="AS27" s="232" t="e">
        <f t="shared" si="30"/>
        <v>#NAME?</v>
      </c>
      <c r="AT27" s="232" t="e">
        <f t="shared" si="67"/>
        <v>#NAME?</v>
      </c>
      <c r="AU27" s="232" t="e">
        <f t="shared" si="31"/>
        <v>#NAME?</v>
      </c>
      <c r="AV27" s="232">
        <f t="shared" si="32"/>
        <v>0.1575</v>
      </c>
      <c r="AW27" s="292" t="e">
        <f t="shared" si="75"/>
        <v>#NAME?</v>
      </c>
      <c r="AX27" s="358" t="e">
        <f t="shared" si="33"/>
        <v>#NAME?</v>
      </c>
      <c r="AY27" s="358" t="e">
        <f t="shared" si="68"/>
        <v>#NAME?</v>
      </c>
      <c r="AZ27" s="358" t="e">
        <f t="shared" si="34"/>
        <v>#NAME?</v>
      </c>
      <c r="BA27" s="358" t="e">
        <f t="shared" si="35"/>
        <v>#NAME?</v>
      </c>
      <c r="BB27" s="358" t="e">
        <f t="shared" si="36"/>
        <v>#NAME?</v>
      </c>
      <c r="BC27" s="358" t="e">
        <f t="shared" si="37"/>
        <v>#NAME?</v>
      </c>
      <c r="BD27" s="358" t="e">
        <f t="shared" si="38"/>
        <v>#NAME?</v>
      </c>
      <c r="BE27" s="358" t="e">
        <f t="shared" si="39"/>
        <v>#NAME?</v>
      </c>
      <c r="BF27" s="358" t="e">
        <f t="shared" si="40"/>
        <v>#NAME?</v>
      </c>
      <c r="BG27" s="235" t="e">
        <f t="shared" si="69"/>
        <v>#NAME?</v>
      </c>
      <c r="BH27" s="235" t="e">
        <f t="shared" si="60"/>
        <v>#NAME?</v>
      </c>
      <c r="BI27" s="235" t="e">
        <f t="shared" si="70"/>
        <v>#NAME?</v>
      </c>
      <c r="BJ27" s="175" t="e">
        <f t="shared" si="71"/>
        <v>#NAME?</v>
      </c>
      <c r="BK27" s="233">
        <f>CHOOSE(MODE, I27*1000, 'PFM Efficiency'!BI27)</f>
        <v>31.5</v>
      </c>
      <c r="BL27" s="175">
        <v>87.369732614756487</v>
      </c>
      <c r="BM27" s="235">
        <f t="shared" si="61"/>
        <v>0.8736973261475649</v>
      </c>
      <c r="BN27" s="293" t="e">
        <f t="shared" si="41"/>
        <v>#NAME?</v>
      </c>
      <c r="BO27" s="294"/>
      <c r="BP27" s="235" t="e">
        <f t="shared" si="72"/>
        <v>#NAME?</v>
      </c>
      <c r="BQ27" s="294"/>
      <c r="BR27" s="175" t="e">
        <f t="shared" si="73"/>
        <v>#NAME?</v>
      </c>
      <c r="BS27" s="175" t="e">
        <f t="shared" si="74"/>
        <v>#NAME?</v>
      </c>
      <c r="BT27" s="175" t="e">
        <f t="shared" si="42"/>
        <v>#NAME?</v>
      </c>
      <c r="BU27" s="235"/>
      <c r="BV27" s="235"/>
      <c r="BW27" s="175" t="e">
        <f>IF(MODE=1, BJ27, 'PFM Efficiency'!BH27)</f>
        <v>#NAME?</v>
      </c>
      <c r="BX27" s="175" t="e">
        <f>IF(MODE=1, BR27, 'PFM Efficiency'!BN27)</f>
        <v>#NAME?</v>
      </c>
      <c r="BY27" s="175" t="e">
        <f>IF(MODE=1, BS27, 'PFM Efficiency'!BO27)</f>
        <v>#NAME?</v>
      </c>
      <c r="BZ27" s="175" t="e">
        <f>IF(MODE=1, BT27, 'PFM Efficiency'!BP27)</f>
        <v>#NAME?</v>
      </c>
    </row>
    <row r="28" spans="1:78" ht="13.5" thickBot="1" x14ac:dyDescent="0.25">
      <c r="A28" s="317" t="s">
        <v>358</v>
      </c>
      <c r="B28" s="320">
        <v>4.9999999999999999E-13</v>
      </c>
      <c r="C28" s="319"/>
      <c r="D28" s="314">
        <f>B28</f>
        <v>4.9999999999999999E-13</v>
      </c>
      <c r="E28" s="321" t="s">
        <v>359</v>
      </c>
      <c r="F28" s="289"/>
      <c r="G28" s="289"/>
      <c r="H28" s="173">
        <v>22</v>
      </c>
      <c r="I28" s="522">
        <f t="shared" si="0"/>
        <v>3.3000000000000002E-2</v>
      </c>
      <c r="J28" s="233" t="e">
        <f t="shared" si="1"/>
        <v>#NAME?</v>
      </c>
      <c r="K28" s="233" t="e">
        <f t="shared" si="2"/>
        <v>#NAME?</v>
      </c>
      <c r="L28" s="233" t="e">
        <f t="shared" si="3"/>
        <v>#NAME?</v>
      </c>
      <c r="M28" s="290" t="e">
        <f t="shared" si="4"/>
        <v>#NAME?</v>
      </c>
      <c r="N28" s="232" t="e">
        <f t="shared" si="62"/>
        <v>#NAME?</v>
      </c>
      <c r="O28" s="208" t="e">
        <f t="shared" si="5"/>
        <v>#NAME?</v>
      </c>
      <c r="P28" s="291" t="e">
        <f t="shared" si="6"/>
        <v>#NAME?</v>
      </c>
      <c r="Q28" s="291" t="e">
        <f t="shared" si="7"/>
        <v>#NAME?</v>
      </c>
      <c r="R28" s="291" t="e">
        <f t="shared" si="8"/>
        <v>#NAME?</v>
      </c>
      <c r="S28" s="232" t="e">
        <f t="shared" si="9"/>
        <v>#NAME?</v>
      </c>
      <c r="T28" s="232" t="e">
        <f t="shared" si="10"/>
        <v>#NAME?</v>
      </c>
      <c r="U28" s="173" t="e">
        <f t="shared" si="11"/>
        <v>#NAME?</v>
      </c>
      <c r="V28" s="232" t="e">
        <f t="shared" si="63"/>
        <v>#NAME?</v>
      </c>
      <c r="W28" s="233" t="e">
        <f t="shared" si="12"/>
        <v>#NAME?</v>
      </c>
      <c r="X28" s="232" t="e">
        <f t="shared" si="13"/>
        <v>#NAME?</v>
      </c>
      <c r="Y28" s="232" t="e">
        <f t="shared" si="64"/>
        <v>#NAME?</v>
      </c>
      <c r="Z28" s="232" t="e">
        <f t="shared" si="14"/>
        <v>#NAME?</v>
      </c>
      <c r="AA28" s="234" t="e">
        <f t="shared" si="15"/>
        <v>#NAME?</v>
      </c>
      <c r="AB28" s="234" t="e">
        <f t="shared" si="65"/>
        <v>#NAME?</v>
      </c>
      <c r="AC28" s="232" t="e">
        <f t="shared" si="16"/>
        <v>#NAME?</v>
      </c>
      <c r="AD28" s="232" t="e">
        <f t="shared" si="17"/>
        <v>#NAME?</v>
      </c>
      <c r="AE28" s="232" t="e">
        <f t="shared" si="18"/>
        <v>#NAME?</v>
      </c>
      <c r="AF28">
        <v>20</v>
      </c>
      <c r="AG28" s="505" t="e">
        <f t="shared" si="19"/>
        <v>#NAME?</v>
      </c>
      <c r="AH28" s="232" t="e">
        <f t="shared" si="20"/>
        <v>#NAME?</v>
      </c>
      <c r="AI28" s="232" t="e">
        <f t="shared" si="21"/>
        <v>#NAME?</v>
      </c>
      <c r="AJ28" s="232" t="e">
        <f t="shared" si="22"/>
        <v>#NAME?</v>
      </c>
      <c r="AK28" s="232" t="e">
        <f t="shared" si="23"/>
        <v>#NAME?</v>
      </c>
      <c r="AL28" s="232" t="e">
        <f t="shared" si="24"/>
        <v>#NAME?</v>
      </c>
      <c r="AM28" s="232" t="e">
        <f t="shared" si="25"/>
        <v>#NAME?</v>
      </c>
      <c r="AN28" s="232" t="e">
        <f t="shared" si="26"/>
        <v>#NAME?</v>
      </c>
      <c r="AO28" s="232" t="e">
        <f t="shared" si="27"/>
        <v>#NAME?</v>
      </c>
      <c r="AP28" s="232" t="e">
        <f t="shared" si="66"/>
        <v>#NAME?</v>
      </c>
      <c r="AQ28" s="232" t="e">
        <f t="shared" si="28"/>
        <v>#NAME?</v>
      </c>
      <c r="AR28" s="232" t="e">
        <f t="shared" si="29"/>
        <v>#NAME?</v>
      </c>
      <c r="AS28" s="232" t="e">
        <f t="shared" si="30"/>
        <v>#NAME?</v>
      </c>
      <c r="AT28" s="232" t="e">
        <f t="shared" si="67"/>
        <v>#NAME?</v>
      </c>
      <c r="AU28" s="232" t="e">
        <f t="shared" si="31"/>
        <v>#NAME?</v>
      </c>
      <c r="AV28" s="232">
        <f t="shared" si="32"/>
        <v>0.16500000000000001</v>
      </c>
      <c r="AW28" s="292" t="e">
        <f t="shared" si="75"/>
        <v>#NAME?</v>
      </c>
      <c r="AX28" s="358" t="e">
        <f t="shared" si="33"/>
        <v>#NAME?</v>
      </c>
      <c r="AY28" s="358" t="e">
        <f t="shared" si="68"/>
        <v>#NAME?</v>
      </c>
      <c r="AZ28" s="358" t="e">
        <f t="shared" si="34"/>
        <v>#NAME?</v>
      </c>
      <c r="BA28" s="358" t="e">
        <f t="shared" si="35"/>
        <v>#NAME?</v>
      </c>
      <c r="BB28" s="358" t="e">
        <f t="shared" si="36"/>
        <v>#NAME?</v>
      </c>
      <c r="BC28" s="358" t="e">
        <f t="shared" si="37"/>
        <v>#NAME?</v>
      </c>
      <c r="BD28" s="358" t="e">
        <f t="shared" si="38"/>
        <v>#NAME?</v>
      </c>
      <c r="BE28" s="358" t="e">
        <f t="shared" si="39"/>
        <v>#NAME?</v>
      </c>
      <c r="BF28" s="358" t="e">
        <f t="shared" si="40"/>
        <v>#NAME?</v>
      </c>
      <c r="BG28" s="235" t="e">
        <f t="shared" si="69"/>
        <v>#NAME?</v>
      </c>
      <c r="BH28" s="235" t="e">
        <f t="shared" si="60"/>
        <v>#NAME?</v>
      </c>
      <c r="BI28" s="235" t="e">
        <f t="shared" si="70"/>
        <v>#NAME?</v>
      </c>
      <c r="BJ28" s="175" t="e">
        <f t="shared" si="71"/>
        <v>#NAME?</v>
      </c>
      <c r="BK28" s="233">
        <f>CHOOSE(MODE, I28*1000, 'PFM Efficiency'!BI28)</f>
        <v>33</v>
      </c>
      <c r="BL28" s="175">
        <v>87.377150716774679</v>
      </c>
      <c r="BM28" s="235">
        <f t="shared" si="61"/>
        <v>0.87377150716774676</v>
      </c>
      <c r="BN28" s="293" t="e">
        <f t="shared" si="41"/>
        <v>#NAME?</v>
      </c>
      <c r="BO28" s="294"/>
      <c r="BP28" s="235" t="e">
        <f t="shared" si="72"/>
        <v>#NAME?</v>
      </c>
      <c r="BQ28" s="294"/>
      <c r="BR28" s="175" t="e">
        <f t="shared" si="73"/>
        <v>#NAME?</v>
      </c>
      <c r="BS28" s="175" t="e">
        <f t="shared" si="74"/>
        <v>#NAME?</v>
      </c>
      <c r="BT28" s="175" t="e">
        <f t="shared" si="42"/>
        <v>#NAME?</v>
      </c>
      <c r="BU28" s="235"/>
      <c r="BV28" s="235"/>
      <c r="BW28" s="175" t="e">
        <f>IF(MODE=1, BJ28, 'PFM Efficiency'!BH28)</f>
        <v>#NAME?</v>
      </c>
      <c r="BX28" s="175" t="e">
        <f>IF(MODE=1, BR28, 'PFM Efficiency'!BN28)</f>
        <v>#NAME?</v>
      </c>
      <c r="BY28" s="175" t="e">
        <f>IF(MODE=1, BS28, 'PFM Efficiency'!BO28)</f>
        <v>#NAME?</v>
      </c>
      <c r="BZ28" s="175" t="e">
        <f>IF(MODE=1, BT28, 'PFM Efficiency'!BP28)</f>
        <v>#NAME?</v>
      </c>
    </row>
    <row r="29" spans="1:78" ht="13.5" thickBot="1" x14ac:dyDescent="0.25">
      <c r="A29" s="322" t="s">
        <v>39</v>
      </c>
      <c r="B29" s="318">
        <f>'Design Regulator'!E30</f>
        <v>4.7</v>
      </c>
      <c r="C29" s="323" t="s">
        <v>130</v>
      </c>
      <c r="D29" s="324">
        <f>B29/1000000</f>
        <v>4.6999999999999999E-6</v>
      </c>
      <c r="E29" s="325" t="s">
        <v>80</v>
      </c>
      <c r="F29" s="289"/>
      <c r="G29" s="289"/>
      <c r="H29" s="173">
        <v>23</v>
      </c>
      <c r="I29" s="522">
        <f t="shared" si="0"/>
        <v>3.4500000000000003E-2</v>
      </c>
      <c r="J29" s="233" t="e">
        <f t="shared" si="1"/>
        <v>#NAME?</v>
      </c>
      <c r="K29" s="233" t="e">
        <f t="shared" si="2"/>
        <v>#NAME?</v>
      </c>
      <c r="L29" s="233" t="e">
        <f t="shared" si="3"/>
        <v>#NAME?</v>
      </c>
      <c r="M29" s="290" t="e">
        <f t="shared" si="4"/>
        <v>#NAME?</v>
      </c>
      <c r="N29" s="232" t="e">
        <f t="shared" si="62"/>
        <v>#NAME?</v>
      </c>
      <c r="O29" s="208" t="e">
        <f t="shared" si="5"/>
        <v>#NAME?</v>
      </c>
      <c r="P29" s="291" t="e">
        <f t="shared" si="6"/>
        <v>#NAME?</v>
      </c>
      <c r="Q29" s="291" t="e">
        <f t="shared" si="7"/>
        <v>#NAME?</v>
      </c>
      <c r="R29" s="291" t="e">
        <f t="shared" si="8"/>
        <v>#NAME?</v>
      </c>
      <c r="S29" s="232" t="e">
        <f t="shared" si="9"/>
        <v>#NAME?</v>
      </c>
      <c r="T29" s="232" t="e">
        <f t="shared" si="10"/>
        <v>#NAME?</v>
      </c>
      <c r="U29" s="173" t="e">
        <f t="shared" si="11"/>
        <v>#NAME?</v>
      </c>
      <c r="V29" s="232" t="e">
        <f t="shared" si="63"/>
        <v>#NAME?</v>
      </c>
      <c r="W29" s="233" t="e">
        <f t="shared" si="12"/>
        <v>#NAME?</v>
      </c>
      <c r="X29" s="232" t="e">
        <f t="shared" si="13"/>
        <v>#NAME?</v>
      </c>
      <c r="Y29" s="232" t="e">
        <f t="shared" si="64"/>
        <v>#NAME?</v>
      </c>
      <c r="Z29" s="232" t="e">
        <f t="shared" si="14"/>
        <v>#NAME?</v>
      </c>
      <c r="AA29" s="234" t="e">
        <f t="shared" si="15"/>
        <v>#NAME?</v>
      </c>
      <c r="AB29" s="234" t="e">
        <f t="shared" si="65"/>
        <v>#NAME?</v>
      </c>
      <c r="AC29" s="232" t="e">
        <f t="shared" si="16"/>
        <v>#NAME?</v>
      </c>
      <c r="AD29" s="232" t="e">
        <f t="shared" si="17"/>
        <v>#NAME?</v>
      </c>
      <c r="AE29" s="232" t="e">
        <f t="shared" si="18"/>
        <v>#NAME?</v>
      </c>
      <c r="AF29">
        <v>20</v>
      </c>
      <c r="AG29" s="505" t="e">
        <f t="shared" si="19"/>
        <v>#NAME?</v>
      </c>
      <c r="AH29" s="232" t="e">
        <f t="shared" si="20"/>
        <v>#NAME?</v>
      </c>
      <c r="AI29" s="232" t="e">
        <f t="shared" si="21"/>
        <v>#NAME?</v>
      </c>
      <c r="AJ29" s="232" t="e">
        <f t="shared" si="22"/>
        <v>#NAME?</v>
      </c>
      <c r="AK29" s="232" t="e">
        <f t="shared" si="23"/>
        <v>#NAME?</v>
      </c>
      <c r="AL29" s="232" t="e">
        <f t="shared" si="24"/>
        <v>#NAME?</v>
      </c>
      <c r="AM29" s="232" t="e">
        <f t="shared" si="25"/>
        <v>#NAME?</v>
      </c>
      <c r="AN29" s="232" t="e">
        <f t="shared" si="26"/>
        <v>#NAME?</v>
      </c>
      <c r="AO29" s="232" t="e">
        <f t="shared" si="27"/>
        <v>#NAME?</v>
      </c>
      <c r="AP29" s="232" t="e">
        <f t="shared" si="66"/>
        <v>#NAME?</v>
      </c>
      <c r="AQ29" s="232" t="e">
        <f t="shared" si="28"/>
        <v>#NAME?</v>
      </c>
      <c r="AR29" s="232" t="e">
        <f t="shared" si="29"/>
        <v>#NAME?</v>
      </c>
      <c r="AS29" s="232" t="e">
        <f t="shared" si="30"/>
        <v>#NAME?</v>
      </c>
      <c r="AT29" s="232" t="e">
        <f t="shared" si="67"/>
        <v>#NAME?</v>
      </c>
      <c r="AU29" s="232" t="e">
        <f t="shared" si="31"/>
        <v>#NAME?</v>
      </c>
      <c r="AV29" s="232">
        <f t="shared" si="32"/>
        <v>0.17250000000000001</v>
      </c>
      <c r="AW29" s="292" t="e">
        <f t="shared" si="75"/>
        <v>#NAME?</v>
      </c>
      <c r="AX29" s="358" t="e">
        <f t="shared" si="33"/>
        <v>#NAME?</v>
      </c>
      <c r="AY29" s="358" t="e">
        <f t="shared" si="68"/>
        <v>#NAME?</v>
      </c>
      <c r="AZ29" s="358" t="e">
        <f t="shared" si="34"/>
        <v>#NAME?</v>
      </c>
      <c r="BA29" s="358" t="e">
        <f t="shared" si="35"/>
        <v>#NAME?</v>
      </c>
      <c r="BB29" s="358" t="e">
        <f t="shared" si="36"/>
        <v>#NAME?</v>
      </c>
      <c r="BC29" s="358" t="e">
        <f t="shared" si="37"/>
        <v>#NAME?</v>
      </c>
      <c r="BD29" s="358" t="e">
        <f t="shared" si="38"/>
        <v>#NAME?</v>
      </c>
      <c r="BE29" s="358" t="e">
        <f t="shared" si="39"/>
        <v>#NAME?</v>
      </c>
      <c r="BF29" s="358" t="e">
        <f t="shared" si="40"/>
        <v>#NAME?</v>
      </c>
      <c r="BG29" s="235" t="e">
        <f t="shared" si="69"/>
        <v>#NAME?</v>
      </c>
      <c r="BH29" s="235" t="e">
        <f t="shared" si="60"/>
        <v>#NAME?</v>
      </c>
      <c r="BI29" s="235" t="e">
        <f t="shared" si="70"/>
        <v>#NAME?</v>
      </c>
      <c r="BJ29" s="175" t="e">
        <f t="shared" si="71"/>
        <v>#NAME?</v>
      </c>
      <c r="BK29" s="233">
        <f>CHOOSE(MODE, I29*1000, 'PFM Efficiency'!BI29)</f>
        <v>34.5</v>
      </c>
      <c r="BL29" s="175">
        <v>87.383802813648998</v>
      </c>
      <c r="BM29" s="235">
        <f t="shared" si="61"/>
        <v>0.87383802813649003</v>
      </c>
      <c r="BN29" s="293" t="e">
        <f t="shared" si="41"/>
        <v>#NAME?</v>
      </c>
      <c r="BO29" s="294"/>
      <c r="BP29" s="235" t="e">
        <f t="shared" si="72"/>
        <v>#NAME?</v>
      </c>
      <c r="BQ29" s="294"/>
      <c r="BR29" s="175" t="e">
        <f t="shared" si="73"/>
        <v>#NAME?</v>
      </c>
      <c r="BS29" s="175" t="e">
        <f t="shared" si="74"/>
        <v>#NAME?</v>
      </c>
      <c r="BT29" s="175" t="e">
        <f t="shared" si="42"/>
        <v>#NAME?</v>
      </c>
      <c r="BU29" s="235"/>
      <c r="BV29" s="235"/>
      <c r="BW29" s="175" t="e">
        <f>IF(MODE=1, BJ29, 'PFM Efficiency'!BH29)</f>
        <v>#NAME?</v>
      </c>
      <c r="BX29" s="175" t="e">
        <f>IF(MODE=1, BR29, 'PFM Efficiency'!BN29)</f>
        <v>#NAME?</v>
      </c>
      <c r="BY29" s="175" t="e">
        <f>IF(MODE=1, BS29, 'PFM Efficiency'!BO29)</f>
        <v>#NAME?</v>
      </c>
      <c r="BZ29" s="175" t="e">
        <f>IF(MODE=1, BT29, 'PFM Efficiency'!BP29)</f>
        <v>#NAME?</v>
      </c>
    </row>
    <row r="30" spans="1:78" ht="13.5" thickBot="1" x14ac:dyDescent="0.25">
      <c r="A30" s="317" t="s">
        <v>360</v>
      </c>
      <c r="B30" s="318">
        <f>'Design Regulator'!E31</f>
        <v>3</v>
      </c>
      <c r="C30" s="319" t="s">
        <v>356</v>
      </c>
      <c r="D30" s="202">
        <f>B30/1000</f>
        <v>3.0000000000000001E-3</v>
      </c>
      <c r="E30" s="174" t="s">
        <v>361</v>
      </c>
      <c r="F30" s="289"/>
      <c r="G30" s="289"/>
      <c r="H30" s="173">
        <v>24</v>
      </c>
      <c r="I30" s="522">
        <f t="shared" si="0"/>
        <v>3.5999999999999997E-2</v>
      </c>
      <c r="J30" s="233" t="e">
        <f t="shared" si="1"/>
        <v>#NAME?</v>
      </c>
      <c r="K30" s="233" t="e">
        <f t="shared" si="2"/>
        <v>#NAME?</v>
      </c>
      <c r="L30" s="233" t="e">
        <f t="shared" si="3"/>
        <v>#NAME?</v>
      </c>
      <c r="M30" s="290" t="e">
        <f t="shared" si="4"/>
        <v>#NAME?</v>
      </c>
      <c r="N30" s="232" t="e">
        <f t="shared" si="62"/>
        <v>#NAME?</v>
      </c>
      <c r="O30" s="208" t="e">
        <f t="shared" si="5"/>
        <v>#NAME?</v>
      </c>
      <c r="P30" s="291" t="e">
        <f t="shared" si="6"/>
        <v>#NAME?</v>
      </c>
      <c r="Q30" s="291" t="e">
        <f t="shared" si="7"/>
        <v>#NAME?</v>
      </c>
      <c r="R30" s="291" t="e">
        <f t="shared" si="8"/>
        <v>#NAME?</v>
      </c>
      <c r="S30" s="232" t="e">
        <f t="shared" si="9"/>
        <v>#NAME?</v>
      </c>
      <c r="T30" s="232" t="e">
        <f t="shared" si="10"/>
        <v>#NAME?</v>
      </c>
      <c r="U30" s="173" t="e">
        <f t="shared" si="11"/>
        <v>#NAME?</v>
      </c>
      <c r="V30" s="232" t="e">
        <f t="shared" si="63"/>
        <v>#NAME?</v>
      </c>
      <c r="W30" s="233" t="e">
        <f t="shared" si="12"/>
        <v>#NAME?</v>
      </c>
      <c r="X30" s="232" t="e">
        <f t="shared" si="13"/>
        <v>#NAME?</v>
      </c>
      <c r="Y30" s="232" t="e">
        <f t="shared" si="64"/>
        <v>#NAME?</v>
      </c>
      <c r="Z30" s="232" t="e">
        <f t="shared" si="14"/>
        <v>#NAME?</v>
      </c>
      <c r="AA30" s="234" t="e">
        <f t="shared" si="15"/>
        <v>#NAME?</v>
      </c>
      <c r="AB30" s="234" t="e">
        <f t="shared" si="65"/>
        <v>#NAME?</v>
      </c>
      <c r="AC30" s="232" t="e">
        <f t="shared" si="16"/>
        <v>#NAME?</v>
      </c>
      <c r="AD30" s="232" t="e">
        <f t="shared" si="17"/>
        <v>#NAME?</v>
      </c>
      <c r="AE30" s="232" t="e">
        <f t="shared" si="18"/>
        <v>#NAME?</v>
      </c>
      <c r="AF30">
        <v>20</v>
      </c>
      <c r="AG30" s="505" t="e">
        <f t="shared" si="19"/>
        <v>#NAME?</v>
      </c>
      <c r="AH30" s="232" t="e">
        <f t="shared" si="20"/>
        <v>#NAME?</v>
      </c>
      <c r="AI30" s="232" t="e">
        <f t="shared" si="21"/>
        <v>#NAME?</v>
      </c>
      <c r="AJ30" s="232" t="e">
        <f t="shared" si="22"/>
        <v>#NAME?</v>
      </c>
      <c r="AK30" s="232" t="e">
        <f t="shared" si="23"/>
        <v>#NAME?</v>
      </c>
      <c r="AL30" s="232" t="e">
        <f t="shared" si="24"/>
        <v>#NAME?</v>
      </c>
      <c r="AM30" s="232" t="e">
        <f t="shared" si="25"/>
        <v>#NAME?</v>
      </c>
      <c r="AN30" s="232" t="e">
        <f t="shared" si="26"/>
        <v>#NAME?</v>
      </c>
      <c r="AO30" s="232" t="e">
        <f t="shared" si="27"/>
        <v>#NAME?</v>
      </c>
      <c r="AP30" s="232" t="e">
        <f t="shared" si="66"/>
        <v>#NAME?</v>
      </c>
      <c r="AQ30" s="232" t="e">
        <f t="shared" si="28"/>
        <v>#NAME?</v>
      </c>
      <c r="AR30" s="232" t="e">
        <f t="shared" si="29"/>
        <v>#NAME?</v>
      </c>
      <c r="AS30" s="232" t="e">
        <f t="shared" si="30"/>
        <v>#NAME?</v>
      </c>
      <c r="AT30" s="232" t="e">
        <f t="shared" si="67"/>
        <v>#NAME?</v>
      </c>
      <c r="AU30" s="232" t="e">
        <f t="shared" si="31"/>
        <v>#NAME?</v>
      </c>
      <c r="AV30" s="232">
        <f t="shared" si="32"/>
        <v>0.18</v>
      </c>
      <c r="AW30" s="292" t="e">
        <f t="shared" si="75"/>
        <v>#NAME?</v>
      </c>
      <c r="AX30" s="358" t="e">
        <f t="shared" si="33"/>
        <v>#NAME?</v>
      </c>
      <c r="AY30" s="358" t="e">
        <f t="shared" si="68"/>
        <v>#NAME?</v>
      </c>
      <c r="AZ30" s="358" t="e">
        <f t="shared" si="34"/>
        <v>#NAME?</v>
      </c>
      <c r="BA30" s="358" t="e">
        <f t="shared" si="35"/>
        <v>#NAME?</v>
      </c>
      <c r="BB30" s="358" t="e">
        <f t="shared" si="36"/>
        <v>#NAME?</v>
      </c>
      <c r="BC30" s="358" t="e">
        <f t="shared" si="37"/>
        <v>#NAME?</v>
      </c>
      <c r="BD30" s="358" t="e">
        <f t="shared" si="38"/>
        <v>#NAME?</v>
      </c>
      <c r="BE30" s="358" t="e">
        <f t="shared" si="39"/>
        <v>#NAME?</v>
      </c>
      <c r="BF30" s="358" t="e">
        <f t="shared" si="40"/>
        <v>#NAME?</v>
      </c>
      <c r="BG30" s="235" t="e">
        <f t="shared" si="69"/>
        <v>#NAME?</v>
      </c>
      <c r="BH30" s="235" t="e">
        <f t="shared" si="60"/>
        <v>#NAME?</v>
      </c>
      <c r="BI30" s="235" t="e">
        <f t="shared" si="70"/>
        <v>#NAME?</v>
      </c>
      <c r="BJ30" s="175" t="e">
        <f t="shared" si="71"/>
        <v>#NAME?</v>
      </c>
      <c r="BK30" s="233">
        <f>CHOOSE(MODE, I30*1000, 'PFM Efficiency'!BI30)</f>
        <v>36</v>
      </c>
      <c r="BL30" s="175">
        <v>87.389784389255496</v>
      </c>
      <c r="BM30" s="235">
        <f t="shared" si="61"/>
        <v>0.87389784389255498</v>
      </c>
      <c r="BN30" s="293" t="e">
        <f t="shared" si="41"/>
        <v>#NAME?</v>
      </c>
      <c r="BO30" s="294"/>
      <c r="BP30" s="235" t="e">
        <f t="shared" si="72"/>
        <v>#NAME?</v>
      </c>
      <c r="BQ30" s="294"/>
      <c r="BR30" s="175" t="e">
        <f t="shared" si="73"/>
        <v>#NAME?</v>
      </c>
      <c r="BS30" s="175" t="e">
        <f t="shared" si="74"/>
        <v>#NAME?</v>
      </c>
      <c r="BT30" s="175" t="e">
        <f t="shared" si="42"/>
        <v>#NAME?</v>
      </c>
      <c r="BU30" s="235"/>
      <c r="BV30" s="235"/>
      <c r="BW30" s="175" t="e">
        <f>IF(MODE=1, BJ30, 'PFM Efficiency'!BH30)</f>
        <v>#NAME?</v>
      </c>
      <c r="BX30" s="175" t="e">
        <f>IF(MODE=1, BR30, 'PFM Efficiency'!BN30)</f>
        <v>#NAME?</v>
      </c>
      <c r="BY30" s="175" t="e">
        <f>IF(MODE=1, BS30, 'PFM Efficiency'!BO30)</f>
        <v>#NAME?</v>
      </c>
      <c r="BZ30" s="175" t="e">
        <f>IF(MODE=1, BT30, 'PFM Efficiency'!BP30)</f>
        <v>#NAME?</v>
      </c>
    </row>
    <row r="31" spans="1:78" ht="13.5" thickBot="1" x14ac:dyDescent="0.25">
      <c r="A31" s="315" t="s">
        <v>21</v>
      </c>
      <c r="B31" s="385">
        <f>'Design Regulator'!E25</f>
        <v>100</v>
      </c>
      <c r="C31" s="304" t="s">
        <v>130</v>
      </c>
      <c r="D31" s="305">
        <f>B31/1000000</f>
        <v>1E-4</v>
      </c>
      <c r="E31" s="174" t="s">
        <v>362</v>
      </c>
      <c r="F31" s="289"/>
      <c r="G31" s="289"/>
      <c r="H31" s="173">
        <v>25</v>
      </c>
      <c r="I31" s="522">
        <f t="shared" si="0"/>
        <v>3.7499999999999999E-2</v>
      </c>
      <c r="J31" s="233" t="e">
        <f t="shared" si="1"/>
        <v>#NAME?</v>
      </c>
      <c r="K31" s="233" t="e">
        <f t="shared" si="2"/>
        <v>#NAME?</v>
      </c>
      <c r="L31" s="233" t="e">
        <f t="shared" si="3"/>
        <v>#NAME?</v>
      </c>
      <c r="M31" s="290" t="e">
        <f t="shared" si="4"/>
        <v>#NAME?</v>
      </c>
      <c r="N31" s="232" t="e">
        <f t="shared" si="62"/>
        <v>#NAME?</v>
      </c>
      <c r="O31" s="208" t="e">
        <f t="shared" si="5"/>
        <v>#NAME?</v>
      </c>
      <c r="P31" s="291" t="e">
        <f t="shared" si="6"/>
        <v>#NAME?</v>
      </c>
      <c r="Q31" s="291" t="e">
        <f t="shared" si="7"/>
        <v>#NAME?</v>
      </c>
      <c r="R31" s="291" t="e">
        <f t="shared" si="8"/>
        <v>#NAME?</v>
      </c>
      <c r="S31" s="232" t="e">
        <f t="shared" si="9"/>
        <v>#NAME?</v>
      </c>
      <c r="T31" s="232" t="e">
        <f t="shared" si="10"/>
        <v>#NAME?</v>
      </c>
      <c r="U31" s="173" t="e">
        <f t="shared" si="11"/>
        <v>#NAME?</v>
      </c>
      <c r="V31" s="232" t="e">
        <f t="shared" si="63"/>
        <v>#NAME?</v>
      </c>
      <c r="W31" s="233" t="e">
        <f t="shared" si="12"/>
        <v>#NAME?</v>
      </c>
      <c r="X31" s="232" t="e">
        <f t="shared" si="13"/>
        <v>#NAME?</v>
      </c>
      <c r="Y31" s="232" t="e">
        <f t="shared" si="64"/>
        <v>#NAME?</v>
      </c>
      <c r="Z31" s="232" t="e">
        <f t="shared" si="14"/>
        <v>#NAME?</v>
      </c>
      <c r="AA31" s="234" t="e">
        <f t="shared" si="15"/>
        <v>#NAME?</v>
      </c>
      <c r="AB31" s="234" t="e">
        <f t="shared" si="65"/>
        <v>#NAME?</v>
      </c>
      <c r="AC31" s="232" t="e">
        <f t="shared" si="16"/>
        <v>#NAME?</v>
      </c>
      <c r="AD31" s="232" t="e">
        <f t="shared" si="17"/>
        <v>#NAME?</v>
      </c>
      <c r="AE31" s="232" t="e">
        <f t="shared" si="18"/>
        <v>#NAME?</v>
      </c>
      <c r="AF31">
        <v>20</v>
      </c>
      <c r="AG31" s="505" t="e">
        <f t="shared" si="19"/>
        <v>#NAME?</v>
      </c>
      <c r="AH31" s="232" t="e">
        <f t="shared" si="20"/>
        <v>#NAME?</v>
      </c>
      <c r="AI31" s="232" t="e">
        <f t="shared" si="21"/>
        <v>#NAME?</v>
      </c>
      <c r="AJ31" s="232" t="e">
        <f t="shared" si="22"/>
        <v>#NAME?</v>
      </c>
      <c r="AK31" s="232" t="e">
        <f t="shared" si="23"/>
        <v>#NAME?</v>
      </c>
      <c r="AL31" s="232" t="e">
        <f t="shared" si="24"/>
        <v>#NAME?</v>
      </c>
      <c r="AM31" s="232" t="e">
        <f t="shared" si="25"/>
        <v>#NAME?</v>
      </c>
      <c r="AN31" s="232" t="e">
        <f t="shared" si="26"/>
        <v>#NAME?</v>
      </c>
      <c r="AO31" s="232" t="e">
        <f t="shared" si="27"/>
        <v>#NAME?</v>
      </c>
      <c r="AP31" s="232" t="e">
        <f t="shared" si="66"/>
        <v>#NAME?</v>
      </c>
      <c r="AQ31" s="232" t="e">
        <f t="shared" si="28"/>
        <v>#NAME?</v>
      </c>
      <c r="AR31" s="232" t="e">
        <f t="shared" si="29"/>
        <v>#NAME?</v>
      </c>
      <c r="AS31" s="232" t="e">
        <f t="shared" si="30"/>
        <v>#NAME?</v>
      </c>
      <c r="AT31" s="232" t="e">
        <f t="shared" si="67"/>
        <v>#NAME?</v>
      </c>
      <c r="AU31" s="232" t="e">
        <f t="shared" si="31"/>
        <v>#NAME?</v>
      </c>
      <c r="AV31" s="232">
        <f t="shared" si="32"/>
        <v>0.1875</v>
      </c>
      <c r="AW31" s="292" t="e">
        <f t="shared" si="75"/>
        <v>#NAME?</v>
      </c>
      <c r="AX31" s="358" t="e">
        <f t="shared" si="33"/>
        <v>#NAME?</v>
      </c>
      <c r="AY31" s="358" t="e">
        <f t="shared" si="68"/>
        <v>#NAME?</v>
      </c>
      <c r="AZ31" s="358" t="e">
        <f t="shared" si="34"/>
        <v>#NAME?</v>
      </c>
      <c r="BA31" s="358" t="e">
        <f t="shared" si="35"/>
        <v>#NAME?</v>
      </c>
      <c r="BB31" s="358" t="e">
        <f t="shared" si="36"/>
        <v>#NAME?</v>
      </c>
      <c r="BC31" s="358" t="e">
        <f t="shared" si="37"/>
        <v>#NAME?</v>
      </c>
      <c r="BD31" s="358" t="e">
        <f t="shared" si="38"/>
        <v>#NAME?</v>
      </c>
      <c r="BE31" s="358" t="e">
        <f t="shared" si="39"/>
        <v>#NAME?</v>
      </c>
      <c r="BF31" s="358" t="e">
        <f t="shared" si="40"/>
        <v>#NAME?</v>
      </c>
      <c r="BG31" s="235" t="e">
        <f t="shared" si="69"/>
        <v>#NAME?</v>
      </c>
      <c r="BH31" s="235" t="e">
        <f t="shared" si="60"/>
        <v>#NAME?</v>
      </c>
      <c r="BI31" s="235" t="e">
        <f t="shared" si="70"/>
        <v>#NAME?</v>
      </c>
      <c r="BJ31" s="175" t="e">
        <f t="shared" si="71"/>
        <v>#NAME?</v>
      </c>
      <c r="BK31" s="233">
        <f>CHOOSE(MODE, I31*1000, 'PFM Efficiency'!BI31)</f>
        <v>37.5</v>
      </c>
      <c r="BL31" s="175">
        <v>87.395175679622284</v>
      </c>
      <c r="BM31" s="235">
        <f t="shared" si="61"/>
        <v>0.87395175679622283</v>
      </c>
      <c r="BN31" s="293" t="e">
        <f t="shared" si="41"/>
        <v>#NAME?</v>
      </c>
      <c r="BO31" s="294"/>
      <c r="BP31" s="235" t="e">
        <f t="shared" si="72"/>
        <v>#NAME?</v>
      </c>
      <c r="BQ31" s="294"/>
      <c r="BR31" s="175" t="e">
        <f t="shared" si="73"/>
        <v>#NAME?</v>
      </c>
      <c r="BS31" s="175" t="e">
        <f t="shared" si="74"/>
        <v>#NAME?</v>
      </c>
      <c r="BT31" s="175" t="e">
        <f t="shared" si="42"/>
        <v>#NAME?</v>
      </c>
      <c r="BU31" s="235"/>
      <c r="BV31" s="235"/>
      <c r="BW31" s="175" t="e">
        <f>IF(MODE=1, BJ31, 'PFM Efficiency'!BH31)</f>
        <v>#NAME?</v>
      </c>
      <c r="BX31" s="175" t="e">
        <f>IF(MODE=1, BR31, 'PFM Efficiency'!BN31)</f>
        <v>#NAME?</v>
      </c>
      <c r="BY31" s="175" t="e">
        <f>IF(MODE=1, BS31, 'PFM Efficiency'!BO31)</f>
        <v>#NAME?</v>
      </c>
      <c r="BZ31" s="175" t="e">
        <f>IF(MODE=1, BT31, 'PFM Efficiency'!BP31)</f>
        <v>#NAME?</v>
      </c>
    </row>
    <row r="32" spans="1:78" x14ac:dyDescent="0.2">
      <c r="A32" s="317" t="s">
        <v>363</v>
      </c>
      <c r="B32" s="385">
        <f>'Design Regulator'!E27</f>
        <v>1.5</v>
      </c>
      <c r="C32" s="319" t="s">
        <v>356</v>
      </c>
      <c r="D32" s="202">
        <f>B32/1000</f>
        <v>1.5E-3</v>
      </c>
      <c r="E32" s="174" t="s">
        <v>364</v>
      </c>
      <c r="F32" s="289"/>
      <c r="G32" s="289"/>
      <c r="H32" s="173">
        <v>26</v>
      </c>
      <c r="I32" s="522">
        <f t="shared" si="0"/>
        <v>3.9E-2</v>
      </c>
      <c r="J32" s="233" t="e">
        <f t="shared" si="1"/>
        <v>#NAME?</v>
      </c>
      <c r="K32" s="233" t="e">
        <f t="shared" si="2"/>
        <v>#NAME?</v>
      </c>
      <c r="L32" s="233" t="e">
        <f t="shared" si="3"/>
        <v>#NAME?</v>
      </c>
      <c r="M32" s="290" t="e">
        <f t="shared" si="4"/>
        <v>#NAME?</v>
      </c>
      <c r="N32" s="232" t="e">
        <f t="shared" si="62"/>
        <v>#NAME?</v>
      </c>
      <c r="O32" s="208" t="e">
        <f t="shared" si="5"/>
        <v>#NAME?</v>
      </c>
      <c r="P32" s="291" t="e">
        <f t="shared" si="6"/>
        <v>#NAME?</v>
      </c>
      <c r="Q32" s="291" t="e">
        <f t="shared" si="7"/>
        <v>#NAME?</v>
      </c>
      <c r="R32" s="291" t="e">
        <f t="shared" si="8"/>
        <v>#NAME?</v>
      </c>
      <c r="S32" s="232" t="e">
        <f t="shared" si="9"/>
        <v>#NAME?</v>
      </c>
      <c r="T32" s="232" t="e">
        <f t="shared" si="10"/>
        <v>#NAME?</v>
      </c>
      <c r="U32" s="173" t="e">
        <f t="shared" si="11"/>
        <v>#NAME?</v>
      </c>
      <c r="V32" s="232" t="e">
        <f t="shared" si="63"/>
        <v>#NAME?</v>
      </c>
      <c r="W32" s="233" t="e">
        <f t="shared" si="12"/>
        <v>#NAME?</v>
      </c>
      <c r="X32" s="232" t="e">
        <f t="shared" si="13"/>
        <v>#NAME?</v>
      </c>
      <c r="Y32" s="232" t="e">
        <f t="shared" si="64"/>
        <v>#NAME?</v>
      </c>
      <c r="Z32" s="232" t="e">
        <f t="shared" si="14"/>
        <v>#NAME?</v>
      </c>
      <c r="AA32" s="234" t="e">
        <f t="shared" si="15"/>
        <v>#NAME?</v>
      </c>
      <c r="AB32" s="234" t="e">
        <f t="shared" si="65"/>
        <v>#NAME?</v>
      </c>
      <c r="AC32" s="232" t="e">
        <f t="shared" si="16"/>
        <v>#NAME?</v>
      </c>
      <c r="AD32" s="232" t="e">
        <f t="shared" si="17"/>
        <v>#NAME?</v>
      </c>
      <c r="AE32" s="232" t="e">
        <f t="shared" si="18"/>
        <v>#NAME?</v>
      </c>
      <c r="AF32">
        <v>20</v>
      </c>
      <c r="AG32" s="505" t="e">
        <f t="shared" si="19"/>
        <v>#NAME?</v>
      </c>
      <c r="AH32" s="232" t="e">
        <f t="shared" si="20"/>
        <v>#NAME?</v>
      </c>
      <c r="AI32" s="232" t="e">
        <f t="shared" si="21"/>
        <v>#NAME?</v>
      </c>
      <c r="AJ32" s="232" t="e">
        <f t="shared" si="22"/>
        <v>#NAME?</v>
      </c>
      <c r="AK32" s="232" t="e">
        <f t="shared" si="23"/>
        <v>#NAME?</v>
      </c>
      <c r="AL32" s="232" t="e">
        <f t="shared" si="24"/>
        <v>#NAME?</v>
      </c>
      <c r="AM32" s="232" t="e">
        <f t="shared" si="25"/>
        <v>#NAME?</v>
      </c>
      <c r="AN32" s="232" t="e">
        <f t="shared" si="26"/>
        <v>#NAME?</v>
      </c>
      <c r="AO32" s="232" t="e">
        <f t="shared" si="27"/>
        <v>#NAME?</v>
      </c>
      <c r="AP32" s="232" t="e">
        <f t="shared" si="66"/>
        <v>#NAME?</v>
      </c>
      <c r="AQ32" s="232" t="e">
        <f t="shared" si="28"/>
        <v>#NAME?</v>
      </c>
      <c r="AR32" s="232" t="e">
        <f t="shared" si="29"/>
        <v>#NAME?</v>
      </c>
      <c r="AS32" s="232" t="e">
        <f t="shared" si="30"/>
        <v>#NAME?</v>
      </c>
      <c r="AT32" s="232" t="e">
        <f t="shared" si="67"/>
        <v>#NAME?</v>
      </c>
      <c r="AU32" s="232" t="e">
        <f t="shared" si="31"/>
        <v>#NAME?</v>
      </c>
      <c r="AV32" s="232">
        <f t="shared" si="32"/>
        <v>0.19500000000000001</v>
      </c>
      <c r="AW32" s="292" t="e">
        <f t="shared" si="75"/>
        <v>#NAME?</v>
      </c>
      <c r="AX32" s="358" t="e">
        <f t="shared" si="33"/>
        <v>#NAME?</v>
      </c>
      <c r="AY32" s="358" t="e">
        <f t="shared" si="68"/>
        <v>#NAME?</v>
      </c>
      <c r="AZ32" s="358" t="e">
        <f t="shared" si="34"/>
        <v>#NAME?</v>
      </c>
      <c r="BA32" s="358" t="e">
        <f t="shared" si="35"/>
        <v>#NAME?</v>
      </c>
      <c r="BB32" s="358" t="e">
        <f t="shared" si="36"/>
        <v>#NAME?</v>
      </c>
      <c r="BC32" s="358" t="e">
        <f t="shared" si="37"/>
        <v>#NAME?</v>
      </c>
      <c r="BD32" s="358" t="e">
        <f t="shared" si="38"/>
        <v>#NAME?</v>
      </c>
      <c r="BE32" s="358" t="e">
        <f t="shared" si="39"/>
        <v>#NAME?</v>
      </c>
      <c r="BF32" s="358" t="e">
        <f t="shared" si="40"/>
        <v>#NAME?</v>
      </c>
      <c r="BG32" s="235" t="e">
        <f t="shared" si="69"/>
        <v>#NAME?</v>
      </c>
      <c r="BH32" s="235" t="e">
        <f t="shared" si="60"/>
        <v>#NAME?</v>
      </c>
      <c r="BI32" s="235" t="e">
        <f t="shared" si="70"/>
        <v>#NAME?</v>
      </c>
      <c r="BJ32" s="175" t="e">
        <f t="shared" si="71"/>
        <v>#NAME?</v>
      </c>
      <c r="BK32" s="233">
        <f>CHOOSE(MODE, I32*1000, 'PFM Efficiency'!BI32)</f>
        <v>39</v>
      </c>
      <c r="BL32" s="175">
        <v>87.400044599948558</v>
      </c>
      <c r="BM32" s="235">
        <f t="shared" si="61"/>
        <v>0.87400044599948556</v>
      </c>
      <c r="BN32" s="293" t="e">
        <f t="shared" si="41"/>
        <v>#NAME?</v>
      </c>
      <c r="BO32" s="294"/>
      <c r="BP32" s="235" t="e">
        <f t="shared" si="72"/>
        <v>#NAME?</v>
      </c>
      <c r="BQ32" s="294"/>
      <c r="BR32" s="175" t="e">
        <f t="shared" si="73"/>
        <v>#NAME?</v>
      </c>
      <c r="BS32" s="175" t="e">
        <f t="shared" si="74"/>
        <v>#NAME?</v>
      </c>
      <c r="BT32" s="175" t="e">
        <f t="shared" si="42"/>
        <v>#NAME?</v>
      </c>
      <c r="BU32" s="235"/>
      <c r="BV32" s="235"/>
      <c r="BW32" s="175" t="e">
        <f>IF(MODE=1, BJ32, 'PFM Efficiency'!BH32)</f>
        <v>#NAME?</v>
      </c>
      <c r="BX32" s="175" t="e">
        <f>IF(MODE=1, BR32, 'PFM Efficiency'!BN32)</f>
        <v>#NAME?</v>
      </c>
      <c r="BY32" s="175" t="e">
        <f>IF(MODE=1, BS32, 'PFM Efficiency'!BO32)</f>
        <v>#NAME?</v>
      </c>
      <c r="BZ32" s="175" t="e">
        <f>IF(MODE=1, BT32, 'PFM Efficiency'!BP32)</f>
        <v>#NAME?</v>
      </c>
    </row>
    <row r="33" spans="1:78" x14ac:dyDescent="0.2">
      <c r="A33" s="326" t="s">
        <v>65</v>
      </c>
      <c r="B33" s="287"/>
      <c r="C33" s="326" t="s">
        <v>51</v>
      </c>
      <c r="D33" s="326" t="s">
        <v>118</v>
      </c>
      <c r="E33" s="327" t="s">
        <v>60</v>
      </c>
      <c r="F33" s="289"/>
      <c r="G33" s="289"/>
      <c r="H33" s="173">
        <v>27</v>
      </c>
      <c r="I33" s="522">
        <f t="shared" si="0"/>
        <v>4.0500000000000001E-2</v>
      </c>
      <c r="J33" s="233" t="e">
        <f t="shared" si="1"/>
        <v>#NAME?</v>
      </c>
      <c r="K33" s="233" t="e">
        <f t="shared" si="2"/>
        <v>#NAME?</v>
      </c>
      <c r="L33" s="233" t="e">
        <f t="shared" si="3"/>
        <v>#NAME?</v>
      </c>
      <c r="M33" s="290" t="e">
        <f t="shared" si="4"/>
        <v>#NAME?</v>
      </c>
      <c r="N33" s="232" t="e">
        <f t="shared" si="62"/>
        <v>#NAME?</v>
      </c>
      <c r="O33" s="208" t="e">
        <f t="shared" si="5"/>
        <v>#NAME?</v>
      </c>
      <c r="P33" s="291" t="e">
        <f t="shared" si="6"/>
        <v>#NAME?</v>
      </c>
      <c r="Q33" s="291" t="e">
        <f t="shared" si="7"/>
        <v>#NAME?</v>
      </c>
      <c r="R33" s="291" t="e">
        <f t="shared" si="8"/>
        <v>#NAME?</v>
      </c>
      <c r="S33" s="232" t="e">
        <f t="shared" si="9"/>
        <v>#NAME?</v>
      </c>
      <c r="T33" s="232" t="e">
        <f t="shared" si="10"/>
        <v>#NAME?</v>
      </c>
      <c r="U33" s="173" t="e">
        <f t="shared" si="11"/>
        <v>#NAME?</v>
      </c>
      <c r="V33" s="232" t="e">
        <f t="shared" si="63"/>
        <v>#NAME?</v>
      </c>
      <c r="W33" s="233" t="e">
        <f t="shared" si="12"/>
        <v>#NAME?</v>
      </c>
      <c r="X33" s="232" t="e">
        <f t="shared" si="13"/>
        <v>#NAME?</v>
      </c>
      <c r="Y33" s="232" t="e">
        <f t="shared" si="64"/>
        <v>#NAME?</v>
      </c>
      <c r="Z33" s="232" t="e">
        <f t="shared" si="14"/>
        <v>#NAME?</v>
      </c>
      <c r="AA33" s="234" t="e">
        <f t="shared" si="15"/>
        <v>#NAME?</v>
      </c>
      <c r="AB33" s="234" t="e">
        <f t="shared" si="65"/>
        <v>#NAME?</v>
      </c>
      <c r="AC33" s="232" t="e">
        <f t="shared" si="16"/>
        <v>#NAME?</v>
      </c>
      <c r="AD33" s="232" t="e">
        <f t="shared" si="17"/>
        <v>#NAME?</v>
      </c>
      <c r="AE33" s="232" t="e">
        <f t="shared" si="18"/>
        <v>#NAME?</v>
      </c>
      <c r="AF33">
        <v>20</v>
      </c>
      <c r="AG33" s="505" t="e">
        <f t="shared" si="19"/>
        <v>#NAME?</v>
      </c>
      <c r="AH33" s="232" t="e">
        <f t="shared" si="20"/>
        <v>#NAME?</v>
      </c>
      <c r="AI33" s="232" t="e">
        <f t="shared" si="21"/>
        <v>#NAME?</v>
      </c>
      <c r="AJ33" s="232" t="e">
        <f t="shared" si="22"/>
        <v>#NAME?</v>
      </c>
      <c r="AK33" s="232" t="e">
        <f t="shared" si="23"/>
        <v>#NAME?</v>
      </c>
      <c r="AL33" s="232" t="e">
        <f t="shared" si="24"/>
        <v>#NAME?</v>
      </c>
      <c r="AM33" s="232" t="e">
        <f t="shared" si="25"/>
        <v>#NAME?</v>
      </c>
      <c r="AN33" s="232" t="e">
        <f t="shared" si="26"/>
        <v>#NAME?</v>
      </c>
      <c r="AO33" s="232" t="e">
        <f t="shared" si="27"/>
        <v>#NAME?</v>
      </c>
      <c r="AP33" s="232" t="e">
        <f t="shared" si="66"/>
        <v>#NAME?</v>
      </c>
      <c r="AQ33" s="232" t="e">
        <f t="shared" si="28"/>
        <v>#NAME?</v>
      </c>
      <c r="AR33" s="232" t="e">
        <f t="shared" si="29"/>
        <v>#NAME?</v>
      </c>
      <c r="AS33" s="232" t="e">
        <f t="shared" si="30"/>
        <v>#NAME?</v>
      </c>
      <c r="AT33" s="232" t="e">
        <f t="shared" si="67"/>
        <v>#NAME?</v>
      </c>
      <c r="AU33" s="232" t="e">
        <f t="shared" si="31"/>
        <v>#NAME?</v>
      </c>
      <c r="AV33" s="232">
        <f t="shared" si="32"/>
        <v>0.20250000000000001</v>
      </c>
      <c r="AW33" s="292" t="e">
        <f t="shared" si="75"/>
        <v>#NAME?</v>
      </c>
      <c r="AX33" s="358" t="e">
        <f t="shared" si="33"/>
        <v>#NAME?</v>
      </c>
      <c r="AY33" s="358" t="e">
        <f t="shared" si="68"/>
        <v>#NAME?</v>
      </c>
      <c r="AZ33" s="358" t="e">
        <f t="shared" si="34"/>
        <v>#NAME?</v>
      </c>
      <c r="BA33" s="358" t="e">
        <f t="shared" si="35"/>
        <v>#NAME?</v>
      </c>
      <c r="BB33" s="358" t="e">
        <f t="shared" si="36"/>
        <v>#NAME?</v>
      </c>
      <c r="BC33" s="358" t="e">
        <f t="shared" si="37"/>
        <v>#NAME?</v>
      </c>
      <c r="BD33" s="358" t="e">
        <f t="shared" si="38"/>
        <v>#NAME?</v>
      </c>
      <c r="BE33" s="358" t="e">
        <f t="shared" si="39"/>
        <v>#NAME?</v>
      </c>
      <c r="BF33" s="358" t="e">
        <f t="shared" si="40"/>
        <v>#NAME?</v>
      </c>
      <c r="BG33" s="235" t="e">
        <f t="shared" si="69"/>
        <v>#NAME?</v>
      </c>
      <c r="BH33" s="235" t="e">
        <f t="shared" si="60"/>
        <v>#NAME?</v>
      </c>
      <c r="BI33" s="235" t="e">
        <f t="shared" si="70"/>
        <v>#NAME?</v>
      </c>
      <c r="BJ33" s="175" t="e">
        <f t="shared" si="71"/>
        <v>#NAME?</v>
      </c>
      <c r="BK33" s="233">
        <f>CHOOSE(MODE, I33*1000, 'PFM Efficiency'!BI33)</f>
        <v>40.5</v>
      </c>
      <c r="BL33" s="175">
        <v>87.404449022298479</v>
      </c>
      <c r="BM33" s="235">
        <f t="shared" si="61"/>
        <v>0.8740444902229848</v>
      </c>
      <c r="BN33" s="293" t="e">
        <f t="shared" si="41"/>
        <v>#NAME?</v>
      </c>
      <c r="BO33" s="294"/>
      <c r="BP33" s="235" t="e">
        <f t="shared" si="72"/>
        <v>#NAME?</v>
      </c>
      <c r="BQ33" s="294"/>
      <c r="BR33" s="175" t="e">
        <f t="shared" si="73"/>
        <v>#NAME?</v>
      </c>
      <c r="BS33" s="175" t="e">
        <f t="shared" si="74"/>
        <v>#NAME?</v>
      </c>
      <c r="BT33" s="175" t="e">
        <f t="shared" si="42"/>
        <v>#NAME?</v>
      </c>
      <c r="BU33" s="235"/>
      <c r="BV33" s="235"/>
      <c r="BW33" s="175" t="e">
        <f>IF(MODE=1, BJ33, 'PFM Efficiency'!BH33)</f>
        <v>#NAME?</v>
      </c>
      <c r="BX33" s="175" t="e">
        <f>IF(MODE=1, BR33, 'PFM Efficiency'!BN33)</f>
        <v>#NAME?</v>
      </c>
      <c r="BY33" s="175" t="e">
        <f>IF(MODE=1, BS33, 'PFM Efficiency'!BO33)</f>
        <v>#NAME?</v>
      </c>
      <c r="BZ33" s="175" t="e">
        <f>IF(MODE=1, BT33, 'PFM Efficiency'!BP33)</f>
        <v>#NAME?</v>
      </c>
    </row>
    <row r="34" spans="1:78" ht="13.5" thickBot="1" x14ac:dyDescent="0.25">
      <c r="A34" s="317" t="s">
        <v>365</v>
      </c>
      <c r="B34" s="328">
        <v>30</v>
      </c>
      <c r="C34" s="304" t="s">
        <v>50</v>
      </c>
      <c r="D34" s="306">
        <f>B34/1000000000</f>
        <v>2.9999999999999997E-8</v>
      </c>
      <c r="E34" s="174" t="s">
        <v>366</v>
      </c>
      <c r="F34" s="289"/>
      <c r="G34" s="289"/>
      <c r="H34" s="173">
        <v>28</v>
      </c>
      <c r="I34" s="522">
        <f t="shared" si="0"/>
        <v>4.2000000000000003E-2</v>
      </c>
      <c r="J34" s="233" t="e">
        <f t="shared" si="1"/>
        <v>#NAME?</v>
      </c>
      <c r="K34" s="233" t="e">
        <f t="shared" si="2"/>
        <v>#NAME?</v>
      </c>
      <c r="L34" s="233" t="e">
        <f t="shared" si="3"/>
        <v>#NAME?</v>
      </c>
      <c r="M34" s="290" t="e">
        <f t="shared" si="4"/>
        <v>#NAME?</v>
      </c>
      <c r="N34" s="232" t="e">
        <f t="shared" si="62"/>
        <v>#NAME?</v>
      </c>
      <c r="O34" s="208" t="e">
        <f t="shared" si="5"/>
        <v>#NAME?</v>
      </c>
      <c r="P34" s="291" t="e">
        <f t="shared" si="6"/>
        <v>#NAME?</v>
      </c>
      <c r="Q34" s="291" t="e">
        <f t="shared" si="7"/>
        <v>#NAME?</v>
      </c>
      <c r="R34" s="291" t="e">
        <f t="shared" si="8"/>
        <v>#NAME?</v>
      </c>
      <c r="S34" s="232" t="e">
        <f t="shared" si="9"/>
        <v>#NAME?</v>
      </c>
      <c r="T34" s="232" t="e">
        <f t="shared" si="10"/>
        <v>#NAME?</v>
      </c>
      <c r="U34" s="173" t="e">
        <f t="shared" si="11"/>
        <v>#NAME?</v>
      </c>
      <c r="V34" s="232" t="e">
        <f t="shared" si="63"/>
        <v>#NAME?</v>
      </c>
      <c r="W34" s="233" t="e">
        <f t="shared" si="12"/>
        <v>#NAME?</v>
      </c>
      <c r="X34" s="232" t="e">
        <f t="shared" si="13"/>
        <v>#NAME?</v>
      </c>
      <c r="Y34" s="232" t="e">
        <f t="shared" si="64"/>
        <v>#NAME?</v>
      </c>
      <c r="Z34" s="232" t="e">
        <f t="shared" si="14"/>
        <v>#NAME?</v>
      </c>
      <c r="AA34" s="234" t="e">
        <f t="shared" si="15"/>
        <v>#NAME?</v>
      </c>
      <c r="AB34" s="234" t="e">
        <f t="shared" si="65"/>
        <v>#NAME?</v>
      </c>
      <c r="AC34" s="232" t="e">
        <f t="shared" si="16"/>
        <v>#NAME?</v>
      </c>
      <c r="AD34" s="232" t="e">
        <f t="shared" si="17"/>
        <v>#NAME?</v>
      </c>
      <c r="AE34" s="232" t="e">
        <f t="shared" si="18"/>
        <v>#NAME?</v>
      </c>
      <c r="AF34">
        <v>20</v>
      </c>
      <c r="AG34" s="505" t="e">
        <f t="shared" si="19"/>
        <v>#NAME?</v>
      </c>
      <c r="AH34" s="232" t="e">
        <f t="shared" si="20"/>
        <v>#NAME?</v>
      </c>
      <c r="AI34" s="232" t="e">
        <f t="shared" si="21"/>
        <v>#NAME?</v>
      </c>
      <c r="AJ34" s="232" t="e">
        <f t="shared" si="22"/>
        <v>#NAME?</v>
      </c>
      <c r="AK34" s="232" t="e">
        <f t="shared" si="23"/>
        <v>#NAME?</v>
      </c>
      <c r="AL34" s="232" t="e">
        <f t="shared" si="24"/>
        <v>#NAME?</v>
      </c>
      <c r="AM34" s="232" t="e">
        <f t="shared" si="25"/>
        <v>#NAME?</v>
      </c>
      <c r="AN34" s="232" t="e">
        <f t="shared" si="26"/>
        <v>#NAME?</v>
      </c>
      <c r="AO34" s="232" t="e">
        <f t="shared" si="27"/>
        <v>#NAME?</v>
      </c>
      <c r="AP34" s="232" t="e">
        <f t="shared" si="66"/>
        <v>#NAME?</v>
      </c>
      <c r="AQ34" s="232" t="e">
        <f t="shared" si="28"/>
        <v>#NAME?</v>
      </c>
      <c r="AR34" s="232" t="e">
        <f t="shared" si="29"/>
        <v>#NAME?</v>
      </c>
      <c r="AS34" s="232" t="e">
        <f t="shared" si="30"/>
        <v>#NAME?</v>
      </c>
      <c r="AT34" s="232" t="e">
        <f t="shared" si="67"/>
        <v>#NAME?</v>
      </c>
      <c r="AU34" s="232" t="e">
        <f t="shared" si="31"/>
        <v>#NAME?</v>
      </c>
      <c r="AV34" s="232">
        <f t="shared" si="32"/>
        <v>0.21000000000000002</v>
      </c>
      <c r="AW34" s="292" t="e">
        <f t="shared" si="75"/>
        <v>#NAME?</v>
      </c>
      <c r="AX34" s="358" t="e">
        <f t="shared" si="33"/>
        <v>#NAME?</v>
      </c>
      <c r="AY34" s="358" t="e">
        <f t="shared" si="68"/>
        <v>#NAME?</v>
      </c>
      <c r="AZ34" s="358" t="e">
        <f t="shared" si="34"/>
        <v>#NAME?</v>
      </c>
      <c r="BA34" s="358" t="e">
        <f t="shared" si="35"/>
        <v>#NAME?</v>
      </c>
      <c r="BB34" s="358" t="e">
        <f t="shared" si="36"/>
        <v>#NAME?</v>
      </c>
      <c r="BC34" s="358" t="e">
        <f t="shared" si="37"/>
        <v>#NAME?</v>
      </c>
      <c r="BD34" s="358" t="e">
        <f t="shared" si="38"/>
        <v>#NAME?</v>
      </c>
      <c r="BE34" s="358" t="e">
        <f t="shared" si="39"/>
        <v>#NAME?</v>
      </c>
      <c r="BF34" s="358" t="e">
        <f t="shared" si="40"/>
        <v>#NAME?</v>
      </c>
      <c r="BG34" s="235" t="e">
        <f t="shared" si="69"/>
        <v>#NAME?</v>
      </c>
      <c r="BH34" s="235" t="e">
        <f t="shared" si="60"/>
        <v>#NAME?</v>
      </c>
      <c r="BI34" s="235" t="e">
        <f t="shared" si="70"/>
        <v>#NAME?</v>
      </c>
      <c r="BJ34" s="175" t="e">
        <f t="shared" si="71"/>
        <v>#NAME?</v>
      </c>
      <c r="BK34" s="233">
        <f>CHOOSE(MODE, I34*1000, 'PFM Efficiency'!BI34)</f>
        <v>42</v>
      </c>
      <c r="BL34" s="175">
        <v>87.408438566030782</v>
      </c>
      <c r="BM34" s="235">
        <f t="shared" si="61"/>
        <v>0.87408438566030777</v>
      </c>
      <c r="BN34" s="293" t="e">
        <f t="shared" si="41"/>
        <v>#NAME?</v>
      </c>
      <c r="BO34" s="294"/>
      <c r="BP34" s="235" t="e">
        <f t="shared" si="72"/>
        <v>#NAME?</v>
      </c>
      <c r="BQ34" s="294"/>
      <c r="BR34" s="175" t="e">
        <f t="shared" si="73"/>
        <v>#NAME?</v>
      </c>
      <c r="BS34" s="175" t="e">
        <f t="shared" si="74"/>
        <v>#NAME?</v>
      </c>
      <c r="BT34" s="175" t="e">
        <f t="shared" si="42"/>
        <v>#NAME?</v>
      </c>
      <c r="BU34" s="235"/>
      <c r="BV34" s="235"/>
      <c r="BW34" s="175" t="e">
        <f>IF(MODE=1, BJ34, 'PFM Efficiency'!BH34)</f>
        <v>#NAME?</v>
      </c>
      <c r="BX34" s="175" t="e">
        <f>IF(MODE=1, BR34, 'PFM Efficiency'!BN34)</f>
        <v>#NAME?</v>
      </c>
      <c r="BY34" s="175" t="e">
        <f>IF(MODE=1, BS34, 'PFM Efficiency'!BO34)</f>
        <v>#NAME?</v>
      </c>
      <c r="BZ34" s="175" t="e">
        <f>IF(MODE=1, BT34, 'PFM Efficiency'!BP34)</f>
        <v>#NAME?</v>
      </c>
    </row>
    <row r="35" spans="1:78" ht="13.5" thickBot="1" x14ac:dyDescent="0.25">
      <c r="A35" s="329" t="s">
        <v>367</v>
      </c>
      <c r="B35" s="330">
        <v>30</v>
      </c>
      <c r="C35" s="304" t="s">
        <v>50</v>
      </c>
      <c r="D35" s="306">
        <f>B35/1000000000</f>
        <v>2.9999999999999997E-8</v>
      </c>
      <c r="E35" s="174" t="s">
        <v>368</v>
      </c>
      <c r="F35" s="289"/>
      <c r="G35" s="289"/>
      <c r="H35" s="173">
        <v>29</v>
      </c>
      <c r="I35" s="522">
        <f t="shared" si="0"/>
        <v>4.3499999999999997E-2</v>
      </c>
      <c r="J35" s="233" t="e">
        <f t="shared" si="1"/>
        <v>#NAME?</v>
      </c>
      <c r="K35" s="233" t="e">
        <f t="shared" si="2"/>
        <v>#NAME?</v>
      </c>
      <c r="L35" s="233" t="e">
        <f t="shared" si="3"/>
        <v>#NAME?</v>
      </c>
      <c r="M35" s="290" t="e">
        <f t="shared" si="4"/>
        <v>#NAME?</v>
      </c>
      <c r="N35" s="232" t="e">
        <f t="shared" si="62"/>
        <v>#NAME?</v>
      </c>
      <c r="O35" s="208" t="e">
        <f t="shared" si="5"/>
        <v>#NAME?</v>
      </c>
      <c r="P35" s="291" t="e">
        <f t="shared" si="6"/>
        <v>#NAME?</v>
      </c>
      <c r="Q35" s="291" t="e">
        <f t="shared" si="7"/>
        <v>#NAME?</v>
      </c>
      <c r="R35" s="291" t="e">
        <f t="shared" si="8"/>
        <v>#NAME?</v>
      </c>
      <c r="S35" s="232" t="e">
        <f t="shared" si="9"/>
        <v>#NAME?</v>
      </c>
      <c r="T35" s="232" t="e">
        <f t="shared" si="10"/>
        <v>#NAME?</v>
      </c>
      <c r="U35" s="173" t="e">
        <f t="shared" si="11"/>
        <v>#NAME?</v>
      </c>
      <c r="V35" s="232" t="e">
        <f t="shared" si="63"/>
        <v>#NAME?</v>
      </c>
      <c r="W35" s="233" t="e">
        <f t="shared" si="12"/>
        <v>#NAME?</v>
      </c>
      <c r="X35" s="232" t="e">
        <f t="shared" si="13"/>
        <v>#NAME?</v>
      </c>
      <c r="Y35" s="232" t="e">
        <f t="shared" si="64"/>
        <v>#NAME?</v>
      </c>
      <c r="Z35" s="232" t="e">
        <f t="shared" si="14"/>
        <v>#NAME?</v>
      </c>
      <c r="AA35" s="234" t="e">
        <f t="shared" si="15"/>
        <v>#NAME?</v>
      </c>
      <c r="AB35" s="234" t="e">
        <f t="shared" si="65"/>
        <v>#NAME?</v>
      </c>
      <c r="AC35" s="232" t="e">
        <f t="shared" si="16"/>
        <v>#NAME?</v>
      </c>
      <c r="AD35" s="232" t="e">
        <f t="shared" si="17"/>
        <v>#NAME?</v>
      </c>
      <c r="AE35" s="232" t="e">
        <f t="shared" si="18"/>
        <v>#NAME?</v>
      </c>
      <c r="AF35">
        <v>20</v>
      </c>
      <c r="AG35" s="505" t="e">
        <f t="shared" si="19"/>
        <v>#NAME?</v>
      </c>
      <c r="AH35" s="232" t="e">
        <f t="shared" si="20"/>
        <v>#NAME?</v>
      </c>
      <c r="AI35" s="232" t="e">
        <f t="shared" si="21"/>
        <v>#NAME?</v>
      </c>
      <c r="AJ35" s="232" t="e">
        <f t="shared" si="22"/>
        <v>#NAME?</v>
      </c>
      <c r="AK35" s="232" t="e">
        <f t="shared" si="23"/>
        <v>#NAME?</v>
      </c>
      <c r="AL35" s="232" t="e">
        <f t="shared" si="24"/>
        <v>#NAME?</v>
      </c>
      <c r="AM35" s="232" t="e">
        <f t="shared" si="25"/>
        <v>#NAME?</v>
      </c>
      <c r="AN35" s="232" t="e">
        <f t="shared" si="26"/>
        <v>#NAME?</v>
      </c>
      <c r="AO35" s="232" t="e">
        <f t="shared" si="27"/>
        <v>#NAME?</v>
      </c>
      <c r="AP35" s="232" t="e">
        <f t="shared" si="66"/>
        <v>#NAME?</v>
      </c>
      <c r="AQ35" s="232" t="e">
        <f t="shared" si="28"/>
        <v>#NAME?</v>
      </c>
      <c r="AR35" s="232" t="e">
        <f t="shared" si="29"/>
        <v>#NAME?</v>
      </c>
      <c r="AS35" s="232" t="e">
        <f t="shared" si="30"/>
        <v>#NAME?</v>
      </c>
      <c r="AT35" s="232" t="e">
        <f t="shared" si="67"/>
        <v>#NAME?</v>
      </c>
      <c r="AU35" s="232" t="e">
        <f t="shared" si="31"/>
        <v>#NAME?</v>
      </c>
      <c r="AV35" s="232">
        <f t="shared" si="32"/>
        <v>0.21749999999999997</v>
      </c>
      <c r="AW35" s="292" t="e">
        <f t="shared" si="75"/>
        <v>#NAME?</v>
      </c>
      <c r="AX35" s="358" t="e">
        <f t="shared" si="33"/>
        <v>#NAME?</v>
      </c>
      <c r="AY35" s="358" t="e">
        <f t="shared" si="68"/>
        <v>#NAME?</v>
      </c>
      <c r="AZ35" s="358" t="e">
        <f t="shared" si="34"/>
        <v>#NAME?</v>
      </c>
      <c r="BA35" s="358" t="e">
        <f t="shared" si="35"/>
        <v>#NAME?</v>
      </c>
      <c r="BB35" s="358" t="e">
        <f t="shared" si="36"/>
        <v>#NAME?</v>
      </c>
      <c r="BC35" s="358" t="e">
        <f t="shared" si="37"/>
        <v>#NAME?</v>
      </c>
      <c r="BD35" s="358" t="e">
        <f t="shared" si="38"/>
        <v>#NAME?</v>
      </c>
      <c r="BE35" s="358" t="e">
        <f t="shared" si="39"/>
        <v>#NAME?</v>
      </c>
      <c r="BF35" s="358" t="e">
        <f t="shared" si="40"/>
        <v>#NAME?</v>
      </c>
      <c r="BG35" s="235" t="e">
        <f t="shared" si="69"/>
        <v>#NAME?</v>
      </c>
      <c r="BH35" s="235" t="e">
        <f t="shared" si="60"/>
        <v>#NAME?</v>
      </c>
      <c r="BI35" s="235" t="e">
        <f t="shared" si="70"/>
        <v>#NAME?</v>
      </c>
      <c r="BJ35" s="175" t="e">
        <f t="shared" si="71"/>
        <v>#NAME?</v>
      </c>
      <c r="BK35" s="233">
        <f>CHOOSE(MODE, I35*1000, 'PFM Efficiency'!BI35)</f>
        <v>43.5</v>
      </c>
      <c r="BL35" s="175">
        <v>87.412056018390444</v>
      </c>
      <c r="BM35" s="235">
        <f t="shared" si="61"/>
        <v>0.87412056018390449</v>
      </c>
      <c r="BN35" s="293" t="e">
        <f t="shared" si="41"/>
        <v>#NAME?</v>
      </c>
      <c r="BO35" s="294"/>
      <c r="BP35" s="235" t="e">
        <f t="shared" si="72"/>
        <v>#NAME?</v>
      </c>
      <c r="BQ35" s="294"/>
      <c r="BR35" s="175" t="e">
        <f t="shared" si="73"/>
        <v>#NAME?</v>
      </c>
      <c r="BS35" s="175" t="e">
        <f t="shared" si="74"/>
        <v>#NAME?</v>
      </c>
      <c r="BT35" s="175" t="e">
        <f t="shared" si="42"/>
        <v>#NAME?</v>
      </c>
      <c r="BU35" s="235"/>
      <c r="BV35" s="235"/>
      <c r="BW35" s="175" t="e">
        <f>IF(MODE=1, BJ35, 'PFM Efficiency'!BH35)</f>
        <v>#NAME?</v>
      </c>
      <c r="BX35" s="175" t="e">
        <f>IF(MODE=1, BR35, 'PFM Efficiency'!BN35)</f>
        <v>#NAME?</v>
      </c>
      <c r="BY35" s="175" t="e">
        <f>IF(MODE=1, BS35, 'PFM Efficiency'!BO35)</f>
        <v>#NAME?</v>
      </c>
      <c r="BZ35" s="175" t="e">
        <f>IF(MODE=1, BT35, 'PFM Efficiency'!BP35)</f>
        <v>#NAME?</v>
      </c>
    </row>
    <row r="36" spans="1:78" ht="13.5" thickBot="1" x14ac:dyDescent="0.25">
      <c r="A36" s="331" t="s">
        <v>369</v>
      </c>
      <c r="B36" s="330">
        <v>1</v>
      </c>
      <c r="C36" s="323" t="s">
        <v>343</v>
      </c>
      <c r="D36" s="306">
        <f>B36/1000000</f>
        <v>9.9999999999999995E-7</v>
      </c>
      <c r="E36" s="174" t="s">
        <v>370</v>
      </c>
      <c r="F36" s="289"/>
      <c r="G36" s="289"/>
      <c r="H36" s="173">
        <v>30</v>
      </c>
      <c r="I36" s="522">
        <f t="shared" si="0"/>
        <v>4.4999999999999998E-2</v>
      </c>
      <c r="J36" s="233" t="e">
        <f t="shared" si="1"/>
        <v>#NAME?</v>
      </c>
      <c r="K36" s="233" t="e">
        <f t="shared" si="2"/>
        <v>#NAME?</v>
      </c>
      <c r="L36" s="233" t="e">
        <f t="shared" si="3"/>
        <v>#NAME?</v>
      </c>
      <c r="M36" s="290" t="e">
        <f t="shared" si="4"/>
        <v>#NAME?</v>
      </c>
      <c r="N36" s="232" t="e">
        <f t="shared" si="62"/>
        <v>#NAME?</v>
      </c>
      <c r="O36" s="208" t="e">
        <f t="shared" si="5"/>
        <v>#NAME?</v>
      </c>
      <c r="P36" s="291" t="e">
        <f t="shared" si="6"/>
        <v>#NAME?</v>
      </c>
      <c r="Q36" s="291" t="e">
        <f t="shared" si="7"/>
        <v>#NAME?</v>
      </c>
      <c r="R36" s="291" t="e">
        <f t="shared" si="8"/>
        <v>#NAME?</v>
      </c>
      <c r="S36" s="232" t="e">
        <f t="shared" si="9"/>
        <v>#NAME?</v>
      </c>
      <c r="T36" s="232" t="e">
        <f t="shared" si="10"/>
        <v>#NAME?</v>
      </c>
      <c r="U36" s="173" t="e">
        <f t="shared" si="11"/>
        <v>#NAME?</v>
      </c>
      <c r="V36" s="232" t="e">
        <f t="shared" si="63"/>
        <v>#NAME?</v>
      </c>
      <c r="W36" s="233" t="e">
        <f t="shared" si="12"/>
        <v>#NAME?</v>
      </c>
      <c r="X36" s="232" t="e">
        <f t="shared" si="13"/>
        <v>#NAME?</v>
      </c>
      <c r="Y36" s="232" t="e">
        <f t="shared" si="64"/>
        <v>#NAME?</v>
      </c>
      <c r="Z36" s="232" t="e">
        <f t="shared" si="14"/>
        <v>#NAME?</v>
      </c>
      <c r="AA36" s="234" t="e">
        <f t="shared" si="15"/>
        <v>#NAME?</v>
      </c>
      <c r="AB36" s="234" t="e">
        <f t="shared" si="65"/>
        <v>#NAME?</v>
      </c>
      <c r="AC36" s="232" t="e">
        <f t="shared" si="16"/>
        <v>#NAME?</v>
      </c>
      <c r="AD36" s="232" t="e">
        <f t="shared" si="17"/>
        <v>#NAME?</v>
      </c>
      <c r="AE36" s="232" t="e">
        <f t="shared" si="18"/>
        <v>#NAME?</v>
      </c>
      <c r="AF36">
        <v>20</v>
      </c>
      <c r="AG36" s="505" t="e">
        <f t="shared" si="19"/>
        <v>#NAME?</v>
      </c>
      <c r="AH36" s="232" t="e">
        <f t="shared" si="20"/>
        <v>#NAME?</v>
      </c>
      <c r="AI36" s="232" t="e">
        <f t="shared" si="21"/>
        <v>#NAME?</v>
      </c>
      <c r="AJ36" s="232" t="e">
        <f t="shared" si="22"/>
        <v>#NAME?</v>
      </c>
      <c r="AK36" s="232" t="e">
        <f t="shared" si="23"/>
        <v>#NAME?</v>
      </c>
      <c r="AL36" s="232" t="e">
        <f t="shared" si="24"/>
        <v>#NAME?</v>
      </c>
      <c r="AM36" s="232" t="e">
        <f t="shared" si="25"/>
        <v>#NAME?</v>
      </c>
      <c r="AN36" s="232" t="e">
        <f t="shared" si="26"/>
        <v>#NAME?</v>
      </c>
      <c r="AO36" s="232" t="e">
        <f t="shared" si="27"/>
        <v>#NAME?</v>
      </c>
      <c r="AP36" s="232" t="e">
        <f t="shared" si="66"/>
        <v>#NAME?</v>
      </c>
      <c r="AQ36" s="232" t="e">
        <f t="shared" si="28"/>
        <v>#NAME?</v>
      </c>
      <c r="AR36" s="232" t="e">
        <f t="shared" si="29"/>
        <v>#NAME?</v>
      </c>
      <c r="AS36" s="232" t="e">
        <f t="shared" si="30"/>
        <v>#NAME?</v>
      </c>
      <c r="AT36" s="232" t="e">
        <f t="shared" si="67"/>
        <v>#NAME?</v>
      </c>
      <c r="AU36" s="232" t="e">
        <f t="shared" si="31"/>
        <v>#NAME?</v>
      </c>
      <c r="AV36" s="232">
        <f t="shared" si="32"/>
        <v>0.22499999999999998</v>
      </c>
      <c r="AW36" s="292" t="e">
        <f t="shared" si="75"/>
        <v>#NAME?</v>
      </c>
      <c r="AX36" s="358" t="e">
        <f t="shared" si="33"/>
        <v>#NAME?</v>
      </c>
      <c r="AY36" s="358" t="e">
        <f t="shared" si="68"/>
        <v>#NAME?</v>
      </c>
      <c r="AZ36" s="358" t="e">
        <f t="shared" si="34"/>
        <v>#NAME?</v>
      </c>
      <c r="BA36" s="358" t="e">
        <f t="shared" si="35"/>
        <v>#NAME?</v>
      </c>
      <c r="BB36" s="358" t="e">
        <f t="shared" si="36"/>
        <v>#NAME?</v>
      </c>
      <c r="BC36" s="358" t="e">
        <f t="shared" si="37"/>
        <v>#NAME?</v>
      </c>
      <c r="BD36" s="358" t="e">
        <f t="shared" si="38"/>
        <v>#NAME?</v>
      </c>
      <c r="BE36" s="358" t="e">
        <f t="shared" si="39"/>
        <v>#NAME?</v>
      </c>
      <c r="BF36" s="358" t="e">
        <f t="shared" si="40"/>
        <v>#NAME?</v>
      </c>
      <c r="BG36" s="235" t="e">
        <f t="shared" si="69"/>
        <v>#NAME?</v>
      </c>
      <c r="BH36" s="235" t="e">
        <f t="shared" si="60"/>
        <v>#NAME?</v>
      </c>
      <c r="BI36" s="235" t="e">
        <f t="shared" si="70"/>
        <v>#NAME?</v>
      </c>
      <c r="BJ36" s="175" t="e">
        <f t="shared" si="71"/>
        <v>#NAME?</v>
      </c>
      <c r="BK36" s="233">
        <f>CHOOSE(MODE, I36*1000, 'PFM Efficiency'!BI36)</f>
        <v>45</v>
      </c>
      <c r="BL36" s="175">
        <v>87.415338471423681</v>
      </c>
      <c r="BM36" s="235">
        <f t="shared" si="61"/>
        <v>0.87415338471423676</v>
      </c>
      <c r="BN36" s="293" t="e">
        <f t="shared" si="41"/>
        <v>#NAME?</v>
      </c>
      <c r="BO36" s="294"/>
      <c r="BP36" s="235" t="e">
        <f t="shared" si="72"/>
        <v>#NAME?</v>
      </c>
      <c r="BQ36" s="294"/>
      <c r="BR36" s="175" t="e">
        <f t="shared" si="73"/>
        <v>#NAME?</v>
      </c>
      <c r="BS36" s="175" t="e">
        <f t="shared" si="74"/>
        <v>#NAME?</v>
      </c>
      <c r="BT36" s="175" t="e">
        <f t="shared" si="42"/>
        <v>#NAME?</v>
      </c>
      <c r="BU36" s="235"/>
      <c r="BV36" s="235"/>
      <c r="BW36" s="175" t="e">
        <f>IF(MODE=1, BJ36, 'PFM Efficiency'!BH36)</f>
        <v>#NAME?</v>
      </c>
      <c r="BX36" s="175" t="e">
        <f>IF(MODE=1, BR36, 'PFM Efficiency'!BN36)</f>
        <v>#NAME?</v>
      </c>
      <c r="BY36" s="175" t="e">
        <f>IF(MODE=1, BS36, 'PFM Efficiency'!BO36)</f>
        <v>#NAME?</v>
      </c>
      <c r="BZ36" s="175" t="e">
        <f>IF(MODE=1, BT36, 'PFM Efficiency'!BP36)</f>
        <v>#NAME?</v>
      </c>
    </row>
    <row r="37" spans="1:78" ht="13.5" thickBot="1" x14ac:dyDescent="0.25">
      <c r="A37" s="317" t="s">
        <v>371</v>
      </c>
      <c r="B37" s="330">
        <v>300</v>
      </c>
      <c r="C37" s="304" t="s">
        <v>372</v>
      </c>
      <c r="D37" s="306">
        <f>B37/1000000</f>
        <v>2.9999999999999997E-4</v>
      </c>
      <c r="E37" s="174" t="s">
        <v>373</v>
      </c>
      <c r="F37" s="289"/>
      <c r="G37" s="289"/>
      <c r="H37" s="173">
        <v>31</v>
      </c>
      <c r="I37" s="522">
        <f t="shared" si="0"/>
        <v>4.65E-2</v>
      </c>
      <c r="J37" s="233" t="e">
        <f t="shared" si="1"/>
        <v>#NAME?</v>
      </c>
      <c r="K37" s="233" t="e">
        <f t="shared" si="2"/>
        <v>#NAME?</v>
      </c>
      <c r="L37" s="233" t="e">
        <f t="shared" si="3"/>
        <v>#NAME?</v>
      </c>
      <c r="M37" s="290" t="e">
        <f t="shared" si="4"/>
        <v>#NAME?</v>
      </c>
      <c r="N37" s="232" t="e">
        <f t="shared" si="62"/>
        <v>#NAME?</v>
      </c>
      <c r="O37" s="208" t="e">
        <f t="shared" si="5"/>
        <v>#NAME?</v>
      </c>
      <c r="P37" s="291" t="e">
        <f t="shared" si="6"/>
        <v>#NAME?</v>
      </c>
      <c r="Q37" s="291" t="e">
        <f t="shared" si="7"/>
        <v>#NAME?</v>
      </c>
      <c r="R37" s="291" t="e">
        <f t="shared" si="8"/>
        <v>#NAME?</v>
      </c>
      <c r="S37" s="232" t="e">
        <f t="shared" si="9"/>
        <v>#NAME?</v>
      </c>
      <c r="T37" s="232" t="e">
        <f t="shared" si="10"/>
        <v>#NAME?</v>
      </c>
      <c r="U37" s="173" t="e">
        <f t="shared" si="11"/>
        <v>#NAME?</v>
      </c>
      <c r="V37" s="232" t="e">
        <f t="shared" si="63"/>
        <v>#NAME?</v>
      </c>
      <c r="W37" s="233" t="e">
        <f t="shared" si="12"/>
        <v>#NAME?</v>
      </c>
      <c r="X37" s="232" t="e">
        <f t="shared" si="13"/>
        <v>#NAME?</v>
      </c>
      <c r="Y37" s="232" t="e">
        <f t="shared" si="64"/>
        <v>#NAME?</v>
      </c>
      <c r="Z37" s="232" t="e">
        <f t="shared" si="14"/>
        <v>#NAME?</v>
      </c>
      <c r="AA37" s="234" t="e">
        <f t="shared" si="15"/>
        <v>#NAME?</v>
      </c>
      <c r="AB37" s="234" t="e">
        <f t="shared" si="65"/>
        <v>#NAME?</v>
      </c>
      <c r="AC37" s="232" t="e">
        <f t="shared" si="16"/>
        <v>#NAME?</v>
      </c>
      <c r="AD37" s="232" t="e">
        <f t="shared" si="17"/>
        <v>#NAME?</v>
      </c>
      <c r="AE37" s="232" t="e">
        <f t="shared" si="18"/>
        <v>#NAME?</v>
      </c>
      <c r="AF37">
        <v>20</v>
      </c>
      <c r="AG37" s="505" t="e">
        <f t="shared" si="19"/>
        <v>#NAME?</v>
      </c>
      <c r="AH37" s="232" t="e">
        <f t="shared" si="20"/>
        <v>#NAME?</v>
      </c>
      <c r="AI37" s="232" t="e">
        <f t="shared" si="21"/>
        <v>#NAME?</v>
      </c>
      <c r="AJ37" s="232" t="e">
        <f t="shared" si="22"/>
        <v>#NAME?</v>
      </c>
      <c r="AK37" s="232" t="e">
        <f t="shared" si="23"/>
        <v>#NAME?</v>
      </c>
      <c r="AL37" s="232" t="e">
        <f t="shared" si="24"/>
        <v>#NAME?</v>
      </c>
      <c r="AM37" s="232" t="e">
        <f t="shared" si="25"/>
        <v>#NAME?</v>
      </c>
      <c r="AN37" s="232" t="e">
        <f t="shared" si="26"/>
        <v>#NAME?</v>
      </c>
      <c r="AO37" s="232" t="e">
        <f t="shared" si="27"/>
        <v>#NAME?</v>
      </c>
      <c r="AP37" s="232" t="e">
        <f t="shared" si="66"/>
        <v>#NAME?</v>
      </c>
      <c r="AQ37" s="232" t="e">
        <f t="shared" si="28"/>
        <v>#NAME?</v>
      </c>
      <c r="AR37" s="232" t="e">
        <f t="shared" si="29"/>
        <v>#NAME?</v>
      </c>
      <c r="AS37" s="232" t="e">
        <f t="shared" si="30"/>
        <v>#NAME?</v>
      </c>
      <c r="AT37" s="232" t="e">
        <f t="shared" si="67"/>
        <v>#NAME?</v>
      </c>
      <c r="AU37" s="232" t="e">
        <f t="shared" si="31"/>
        <v>#NAME?</v>
      </c>
      <c r="AV37" s="232">
        <f t="shared" si="32"/>
        <v>0.23249999999999998</v>
      </c>
      <c r="AW37" s="292" t="e">
        <f t="shared" si="75"/>
        <v>#NAME?</v>
      </c>
      <c r="AX37" s="358" t="e">
        <f t="shared" si="33"/>
        <v>#NAME?</v>
      </c>
      <c r="AY37" s="358" t="e">
        <f t="shared" si="68"/>
        <v>#NAME?</v>
      </c>
      <c r="AZ37" s="358" t="e">
        <f t="shared" si="34"/>
        <v>#NAME?</v>
      </c>
      <c r="BA37" s="358" t="e">
        <f t="shared" si="35"/>
        <v>#NAME?</v>
      </c>
      <c r="BB37" s="358" t="e">
        <f t="shared" si="36"/>
        <v>#NAME?</v>
      </c>
      <c r="BC37" s="358" t="e">
        <f t="shared" si="37"/>
        <v>#NAME?</v>
      </c>
      <c r="BD37" s="358" t="e">
        <f t="shared" si="38"/>
        <v>#NAME?</v>
      </c>
      <c r="BE37" s="358" t="e">
        <f t="shared" si="39"/>
        <v>#NAME?</v>
      </c>
      <c r="BF37" s="358" t="e">
        <f t="shared" si="40"/>
        <v>#NAME?</v>
      </c>
      <c r="BG37" s="235" t="e">
        <f t="shared" si="69"/>
        <v>#NAME?</v>
      </c>
      <c r="BH37" s="235" t="e">
        <f t="shared" si="60"/>
        <v>#NAME?</v>
      </c>
      <c r="BI37" s="235" t="e">
        <f t="shared" si="70"/>
        <v>#NAME?</v>
      </c>
      <c r="BJ37" s="175" t="e">
        <f t="shared" si="71"/>
        <v>#NAME?</v>
      </c>
      <c r="BK37" s="233">
        <f>CHOOSE(MODE, I37*1000, 'PFM Efficiency'!BI37)</f>
        <v>46.5</v>
      </c>
      <c r="BL37" s="175">
        <v>87.418318239176173</v>
      </c>
      <c r="BM37" s="235">
        <f t="shared" si="61"/>
        <v>0.87418318239176174</v>
      </c>
      <c r="BN37" s="293" t="e">
        <f t="shared" si="41"/>
        <v>#NAME?</v>
      </c>
      <c r="BO37" s="294"/>
      <c r="BP37" s="235" t="e">
        <f t="shared" si="72"/>
        <v>#NAME?</v>
      </c>
      <c r="BQ37" s="294"/>
      <c r="BR37" s="175" t="e">
        <f t="shared" si="73"/>
        <v>#NAME?</v>
      </c>
      <c r="BS37" s="175" t="e">
        <f t="shared" si="74"/>
        <v>#NAME?</v>
      </c>
      <c r="BT37" s="175" t="e">
        <f t="shared" si="42"/>
        <v>#NAME?</v>
      </c>
      <c r="BU37" s="235"/>
      <c r="BV37" s="235"/>
      <c r="BW37" s="175" t="e">
        <f>IF(MODE=1, BJ37, 'PFM Efficiency'!BH37)</f>
        <v>#NAME?</v>
      </c>
      <c r="BX37" s="175" t="e">
        <f>IF(MODE=1, BR37, 'PFM Efficiency'!BN37)</f>
        <v>#NAME?</v>
      </c>
      <c r="BY37" s="175" t="e">
        <f>IF(MODE=1, BS37, 'PFM Efficiency'!BO37)</f>
        <v>#NAME?</v>
      </c>
      <c r="BZ37" s="175" t="e">
        <f>IF(MODE=1, BT37, 'PFM Efficiency'!BP37)</f>
        <v>#NAME?</v>
      </c>
    </row>
    <row r="38" spans="1:78" x14ac:dyDescent="0.2">
      <c r="A38" s="317" t="s">
        <v>374</v>
      </c>
      <c r="B38" s="330">
        <v>10.5</v>
      </c>
      <c r="C38" s="304" t="s">
        <v>372</v>
      </c>
      <c r="D38" s="306">
        <f>B38/1000000</f>
        <v>1.0499999999999999E-5</v>
      </c>
      <c r="E38" s="174" t="s">
        <v>375</v>
      </c>
      <c r="H38" s="173">
        <v>32</v>
      </c>
      <c r="I38" s="522">
        <f t="shared" ref="I38:I69" si="76">IF(PLOT_TYPE=1, H38/100*Iout_maxload_COT, min_I*EXP(H38*rr/100))</f>
        <v>4.8000000000000001E-2</v>
      </c>
      <c r="J38" s="233" t="e">
        <f t="shared" ref="J38:J69" si="77">IF(I38&lt;Icrit, (Vin-(Rdcr+RdsonTop)*Iripple/2-Vout)/L*OnTime, (Vin-(Rdcr+RdsonTop)*I38-Vout)/L*OnTime)</f>
        <v>#NAME?</v>
      </c>
      <c r="K38" s="233" t="e">
        <f t="shared" ref="K38:K69" si="78">IF(I38&lt;Icrit, (Vin-(Rdcr+RdsonTop)*Iripple/2-Vout)/L*OnTime, I38+((Vin-(Rdcr+RdsonTop)*J38-Vout)/L*OnTime)/2)</f>
        <v>#NAME?</v>
      </c>
      <c r="L38" s="233" t="e">
        <f t="shared" ref="L38:L69" si="79">IF(I38&lt;Icrit, 0, I38-((Vin-(Rdcr+RdsonTop)*K38-Vout)/L*OnTime)/2)</f>
        <v>#NAME?</v>
      </c>
      <c r="M38" s="290" t="e">
        <f t="shared" ref="M38:M69" si="80">IF(I38&lt;Icrit, L*J38/(Vout+J38/2*(RdsonBot+Rdcr)), L*J38/(Vout+I38*(RdsonBot+Rdcr)))</f>
        <v>#NAME?</v>
      </c>
      <c r="N38" s="232" t="e">
        <f t="shared" si="62"/>
        <v>#NAME?</v>
      </c>
      <c r="O38" s="208" t="e">
        <f t="shared" ref="O38:O69" si="81">IF(I38&lt;Icrit,I38/((OnTime+M38)*J38/2),1/(OnTime+M38))</f>
        <v>#NAME?</v>
      </c>
      <c r="P38" s="291" t="e">
        <f t="shared" si="6"/>
        <v>#NAME?</v>
      </c>
      <c r="Q38" s="291" t="e">
        <f t="shared" si="7"/>
        <v>#NAME?</v>
      </c>
      <c r="R38" s="291" t="e">
        <f t="shared" si="8"/>
        <v>#NAME?</v>
      </c>
      <c r="S38" s="232" t="e">
        <f t="shared" si="9"/>
        <v>#NAME?</v>
      </c>
      <c r="T38" s="232" t="e">
        <f t="shared" si="10"/>
        <v>#NAME?</v>
      </c>
      <c r="U38" s="173" t="e">
        <f t="shared" si="11"/>
        <v>#NAME?</v>
      </c>
      <c r="V38" s="232" t="e">
        <f t="shared" si="63"/>
        <v>#NAME?</v>
      </c>
      <c r="W38" s="233" t="e">
        <f t="shared" si="12"/>
        <v>#NAME?</v>
      </c>
      <c r="X38" s="232" t="e">
        <f t="shared" si="13"/>
        <v>#NAME?</v>
      </c>
      <c r="Y38" s="232" t="e">
        <f t="shared" si="64"/>
        <v>#NAME?</v>
      </c>
      <c r="Z38" s="232" t="e">
        <f t="shared" si="14"/>
        <v>#NAME?</v>
      </c>
      <c r="AA38" s="234" t="e">
        <f t="shared" si="15"/>
        <v>#NAME?</v>
      </c>
      <c r="AB38" s="234" t="e">
        <f t="shared" si="65"/>
        <v>#NAME?</v>
      </c>
      <c r="AC38" s="232" t="e">
        <f t="shared" si="16"/>
        <v>#NAME?</v>
      </c>
      <c r="AD38" s="232" t="e">
        <f t="shared" si="17"/>
        <v>#NAME?</v>
      </c>
      <c r="AE38" s="232" t="e">
        <f t="shared" si="18"/>
        <v>#NAME?</v>
      </c>
      <c r="AF38">
        <v>20</v>
      </c>
      <c r="AG38" s="505" t="e">
        <f t="shared" ref="AG38:AG69" si="82">IF(I38&lt;Icrit, Csw*Vin/Iripple*1000000000, Csw*Vin/(I38+Iripple/2)*1000000000)</f>
        <v>#NAME?</v>
      </c>
      <c r="AH38" s="232" t="e">
        <f t="shared" ref="AH38:AH69" si="83">IF(I38&lt;Icrit, Vin*(I38+Iripple/2)*AG38/1000000000/2*O38, Vin*(I38-Iripple/2)*AF38/1000000000/2*O38+Vin*(I38+Iripple/2)*AG38/1000000000/2*O38)</f>
        <v>#NAME?</v>
      </c>
      <c r="AI38" s="232" t="e">
        <f t="shared" ref="AI38:AI69" si="84">IF(I38&lt;Icrit, Csw*(Vin)^2*O38/2, Csw*Vin^2*O38/2)</f>
        <v>#NAME?</v>
      </c>
      <c r="AJ38" s="232" t="e">
        <f t="shared" ref="AJ38:AJ69" si="85">AD38+AH38+AI38</f>
        <v>#NAME?</v>
      </c>
      <c r="AK38" s="232" t="e">
        <f t="shared" ref="AK38:AK69" si="86">IF(I38&lt;Icrit,Iripple*SQRT((OffTime)*O38/3), SQRT(OffTime*O38*(I38^2+Iripple^2/12)))</f>
        <v>#NAME?</v>
      </c>
      <c r="AL38" s="232" t="e">
        <f t="shared" si="24"/>
        <v>#NAME?</v>
      </c>
      <c r="AM38" s="232" t="e">
        <f t="shared" ref="AM38:AM69" si="87">QgBot*O38*Vdd</f>
        <v>#NAME?</v>
      </c>
      <c r="AN38" s="232" t="e">
        <f t="shared" ref="AN38:AN69" si="88">IF(I38&lt;Icrit, Vin*Idss*N38, QrrBot*(I38-Iripple/2)/0.1*O38*Vin+Vin*Idss*N38)</f>
        <v>#NAME?</v>
      </c>
      <c r="AO38" s="232" t="e">
        <f t="shared" ref="AO38:AO69" si="89">IF(I38&lt;Icrit, dead1*O38*(I38+Iripple/2)*((I38+Iripple/2)*BDserR+VSD), dead1*O38*(I38+Iripple/2)*((I38+Iripple/2)*BDserR+VSD)+dead2*O38*(I38-Iripple/2)*((I38-Iripple/2)*BDserR+VSD))</f>
        <v>#NAME?</v>
      </c>
      <c r="AP38" s="232" t="e">
        <f t="shared" si="66"/>
        <v>#NAME?</v>
      </c>
      <c r="AQ38" s="232" t="e">
        <f t="shared" ref="AQ38:AQ69" si="90">Vin*R38+Vout*Ifb/0.7</f>
        <v>#NAME?</v>
      </c>
      <c r="AR38" s="232" t="e">
        <f t="shared" ref="AR38:AR69" si="91">(Vin-Vdd)*(O38*QgBot+O38*QgTop)+AQ38</f>
        <v>#NAME?</v>
      </c>
      <c r="AS38" s="232" t="e">
        <f t="shared" ref="AS38:AS69" si="92">AE38+AM38</f>
        <v>#NAME?</v>
      </c>
      <c r="AT38" s="232" t="e">
        <f t="shared" si="67"/>
        <v>#NAME?</v>
      </c>
      <c r="AU38" s="232" t="e">
        <f t="shared" ref="AU38:AU69" si="93">SUM(V38,Y38,AB38,AT38)</f>
        <v>#NAME?</v>
      </c>
      <c r="AV38" s="232">
        <f t="shared" ref="AV38:AV69" si="94">Vout*I38</f>
        <v>0.24</v>
      </c>
      <c r="AW38" s="292" t="e">
        <f t="shared" si="75"/>
        <v>#NAME?</v>
      </c>
      <c r="AX38" s="358" t="e">
        <f t="shared" ref="AX38:AX69" si="95">AD38/($AV38+$AU38)</f>
        <v>#NAME?</v>
      </c>
      <c r="AY38" s="358" t="e">
        <f t="shared" si="68"/>
        <v>#NAME?</v>
      </c>
      <c r="AZ38" s="358" t="e">
        <f t="shared" ref="AZ38:AZ69" si="96">Vin*O38*(QgBot+QgTop)/($AV38+$AU38)</f>
        <v>#NAME?</v>
      </c>
      <c r="BA38" s="358" t="e">
        <f t="shared" si="35"/>
        <v>#NAME?</v>
      </c>
      <c r="BB38" s="358" t="e">
        <f t="shared" si="36"/>
        <v>#NAME?</v>
      </c>
      <c r="BC38" s="358" t="e">
        <f t="shared" si="37"/>
        <v>#NAME?</v>
      </c>
      <c r="BD38" s="358" t="e">
        <f t="shared" ref="BD38:BD69" si="97">T38/($AV38+$AU38)</f>
        <v>#NAME?</v>
      </c>
      <c r="BE38" s="358" t="e">
        <f t="shared" ref="BE38:BE69" si="98">U38/($AV38+$AU38)</f>
        <v>#NAME?</v>
      </c>
      <c r="BF38" s="358" t="e">
        <f t="shared" ref="BF38:BF69" si="99">(Y38+AB38)/($AV38+$AU38)</f>
        <v>#NAME?</v>
      </c>
      <c r="BG38" s="235" t="e">
        <f t="shared" si="69"/>
        <v>#NAME?</v>
      </c>
      <c r="BH38" s="235" t="e">
        <f t="shared" si="60"/>
        <v>#NAME?</v>
      </c>
      <c r="BI38" s="235" t="e">
        <f t="shared" si="70"/>
        <v>#NAME?</v>
      </c>
      <c r="BJ38" s="175" t="e">
        <f t="shared" si="71"/>
        <v>#NAME?</v>
      </c>
      <c r="BK38" s="233">
        <f>CHOOSE(MODE, I38*1000, 'PFM Efficiency'!BI38)</f>
        <v>48</v>
      </c>
      <c r="BL38" s="175">
        <v>87.421023603167043</v>
      </c>
      <c r="BM38" s="235">
        <f t="shared" si="61"/>
        <v>0.87421023603167047</v>
      </c>
      <c r="BN38" s="293" t="e">
        <f t="shared" si="41"/>
        <v>#NAME?</v>
      </c>
      <c r="BO38" s="294"/>
      <c r="BP38" s="235" t="e">
        <f t="shared" si="72"/>
        <v>#NAME?</v>
      </c>
      <c r="BQ38" s="294"/>
      <c r="BR38" s="175" t="e">
        <f t="shared" si="73"/>
        <v>#NAME?</v>
      </c>
      <c r="BS38" s="175" t="e">
        <f t="shared" si="74"/>
        <v>#NAME?</v>
      </c>
      <c r="BT38" s="175" t="e">
        <f t="shared" ref="BT38:BT69" si="100">1000*V38</f>
        <v>#NAME?</v>
      </c>
      <c r="BU38" s="235"/>
      <c r="BV38" s="235"/>
      <c r="BW38" s="175" t="e">
        <f>IF(MODE=1, BJ38, 'PFM Efficiency'!BH38)</f>
        <v>#NAME?</v>
      </c>
      <c r="BX38" s="175" t="e">
        <f>IF(MODE=1, BR38, 'PFM Efficiency'!BN38)</f>
        <v>#NAME?</v>
      </c>
      <c r="BY38" s="175" t="e">
        <f>IF(MODE=1, BS38, 'PFM Efficiency'!BO38)</f>
        <v>#NAME?</v>
      </c>
      <c r="BZ38" s="175" t="e">
        <f>IF(MODE=1, BT38, 'PFM Efficiency'!BP38)</f>
        <v>#NAME?</v>
      </c>
    </row>
    <row r="39" spans="1:78" ht="13.5" thickBot="1" x14ac:dyDescent="0.25">
      <c r="A39" s="326" t="s">
        <v>376</v>
      </c>
      <c r="B39" s="332"/>
      <c r="C39" s="326" t="s">
        <v>51</v>
      </c>
      <c r="D39" s="326" t="s">
        <v>118</v>
      </c>
      <c r="E39" s="333" t="s">
        <v>60</v>
      </c>
      <c r="H39" s="173">
        <v>33</v>
      </c>
      <c r="I39" s="522">
        <f t="shared" si="76"/>
        <v>4.9500000000000002E-2</v>
      </c>
      <c r="J39" s="233" t="e">
        <f t="shared" si="77"/>
        <v>#NAME?</v>
      </c>
      <c r="K39" s="233" t="e">
        <f t="shared" si="78"/>
        <v>#NAME?</v>
      </c>
      <c r="L39" s="233" t="e">
        <f t="shared" si="79"/>
        <v>#NAME?</v>
      </c>
      <c r="M39" s="290" t="e">
        <f t="shared" si="80"/>
        <v>#NAME?</v>
      </c>
      <c r="N39" s="232" t="e">
        <f t="shared" si="62"/>
        <v>#NAME?</v>
      </c>
      <c r="O39" s="208" t="e">
        <f t="shared" si="81"/>
        <v>#NAME?</v>
      </c>
      <c r="P39" s="291" t="e">
        <f t="shared" ref="P39:P70" si="101">IF(1/O39-OnTime-M39&gt;Tsleep, OnTime+M39+Tsleep, 1/O39)</f>
        <v>#NAME?</v>
      </c>
      <c r="Q39" s="291" t="e">
        <f t="shared" ref="Q39:Q70" si="102">IF(1/O39-OnTime-M39&gt;Tsleep, 1/O39-OnTime-M39-Tsleep, 0)</f>
        <v>#NAME?</v>
      </c>
      <c r="R39" s="291" t="e">
        <f t="shared" ref="R39:R70" si="103">P39*O39*Iq_active+Q39*O39*Iq_sleep</f>
        <v>#NAME?</v>
      </c>
      <c r="S39" s="232" t="e">
        <f t="shared" ref="S39:S70" si="104">IF(I39&lt;Icrit,Iripple*SQRT((OnTime+OffTime)*O39/3), SQRT(I39^2+Iripple^2/12))</f>
        <v>#NAME?</v>
      </c>
      <c r="T39" s="232" t="e">
        <f t="shared" ref="T39:T70" si="105">S39^2*Rdcr</f>
        <v>#NAME?</v>
      </c>
      <c r="U39" s="173" t="e">
        <f t="shared" ref="U39:U70" si="106">(O39/Fsw)*Fsw^2.5*(Iripple/2)^2.5*k_core</f>
        <v>#NAME?</v>
      </c>
      <c r="V39" s="232" t="e">
        <f t="shared" si="63"/>
        <v>#NAME?</v>
      </c>
      <c r="W39" s="233" t="e">
        <f t="shared" ref="W39:W70" si="107">Iripple/SQRT(12)*SQRT((OnTime+M39)*O39)</f>
        <v>#NAME?</v>
      </c>
      <c r="X39" s="232" t="e">
        <f t="shared" si="13"/>
        <v>#NAME?</v>
      </c>
      <c r="Y39" s="232" t="e">
        <f t="shared" si="64"/>
        <v>#NAME?</v>
      </c>
      <c r="Z39" s="232" t="e">
        <f t="shared" ref="Z39:Z70" si="108">SQRT($N39)*SQRT($I39^2*(1-N39)+(Iripple^2)/12)</f>
        <v>#NAME?</v>
      </c>
      <c r="AA39" s="234" t="e">
        <f t="shared" si="15"/>
        <v>#NAME?</v>
      </c>
      <c r="AB39" s="234" t="e">
        <f t="shared" si="65"/>
        <v>#NAME?</v>
      </c>
      <c r="AC39" s="232" t="e">
        <f t="shared" ref="AC39:AC70" si="109">IF(I39&lt;Icrit,Iripple*SQRT((OnTime)*O39/3), SQRT(OnTime*O39*(I39^2+Iripple^2/12)))</f>
        <v>#NAME?</v>
      </c>
      <c r="AD39" s="232" t="e">
        <f t="shared" ref="AD39:AD70" si="110">RdsonTop*AC39^2</f>
        <v>#NAME?</v>
      </c>
      <c r="AE39" s="232" t="e">
        <f t="shared" ref="AE39:AE70" si="111">QgTop*O39*Vdd</f>
        <v>#NAME?</v>
      </c>
      <c r="AF39">
        <v>20</v>
      </c>
      <c r="AG39" s="505" t="e">
        <f t="shared" si="82"/>
        <v>#NAME?</v>
      </c>
      <c r="AH39" s="232" t="e">
        <f t="shared" si="83"/>
        <v>#NAME?</v>
      </c>
      <c r="AI39" s="232" t="e">
        <f t="shared" si="84"/>
        <v>#NAME?</v>
      </c>
      <c r="AJ39" s="232" t="e">
        <f t="shared" si="85"/>
        <v>#NAME?</v>
      </c>
      <c r="AK39" s="232" t="e">
        <f t="shared" si="86"/>
        <v>#NAME?</v>
      </c>
      <c r="AL39" s="232" t="e">
        <f t="shared" ref="AL39:AL70" si="112">RdsonBot*AK39^2</f>
        <v>#NAME?</v>
      </c>
      <c r="AM39" s="232" t="e">
        <f t="shared" si="87"/>
        <v>#NAME?</v>
      </c>
      <c r="AN39" s="232" t="e">
        <f t="shared" si="88"/>
        <v>#NAME?</v>
      </c>
      <c r="AO39" s="232" t="e">
        <f t="shared" si="89"/>
        <v>#NAME?</v>
      </c>
      <c r="AP39" s="232" t="e">
        <f t="shared" si="66"/>
        <v>#NAME?</v>
      </c>
      <c r="AQ39" s="232" t="e">
        <f t="shared" si="90"/>
        <v>#NAME?</v>
      </c>
      <c r="AR39" s="232" t="e">
        <f t="shared" si="91"/>
        <v>#NAME?</v>
      </c>
      <c r="AS39" s="232" t="e">
        <f t="shared" si="92"/>
        <v>#NAME?</v>
      </c>
      <c r="AT39" s="232" t="e">
        <f t="shared" si="67"/>
        <v>#NAME?</v>
      </c>
      <c r="AU39" s="232" t="e">
        <f t="shared" si="93"/>
        <v>#NAME?</v>
      </c>
      <c r="AV39" s="232">
        <f t="shared" si="94"/>
        <v>0.2475</v>
      </c>
      <c r="AW39" s="292" t="e">
        <f t="shared" si="75"/>
        <v>#NAME?</v>
      </c>
      <c r="AX39" s="358" t="e">
        <f t="shared" si="95"/>
        <v>#NAME?</v>
      </c>
      <c r="AY39" s="358" t="e">
        <f t="shared" si="68"/>
        <v>#NAME?</v>
      </c>
      <c r="AZ39" s="358" t="e">
        <f t="shared" si="96"/>
        <v>#NAME?</v>
      </c>
      <c r="BA39" s="358" t="e">
        <f t="shared" si="35"/>
        <v>#NAME?</v>
      </c>
      <c r="BB39" s="358" t="e">
        <f t="shared" si="36"/>
        <v>#NAME?</v>
      </c>
      <c r="BC39" s="358" t="e">
        <f t="shared" si="37"/>
        <v>#NAME?</v>
      </c>
      <c r="BD39" s="358" t="e">
        <f t="shared" si="97"/>
        <v>#NAME?</v>
      </c>
      <c r="BE39" s="358" t="e">
        <f t="shared" si="98"/>
        <v>#NAME?</v>
      </c>
      <c r="BF39" s="358" t="e">
        <f t="shared" si="99"/>
        <v>#NAME?</v>
      </c>
      <c r="BG39" s="235" t="e">
        <f t="shared" si="69"/>
        <v>#NAME?</v>
      </c>
      <c r="BH39" s="235" t="e">
        <f t="shared" si="60"/>
        <v>#NAME?</v>
      </c>
      <c r="BI39" s="235" t="e">
        <f t="shared" si="70"/>
        <v>#NAME?</v>
      </c>
      <c r="BJ39" s="175" t="e">
        <f t="shared" si="71"/>
        <v>#NAME?</v>
      </c>
      <c r="BK39" s="233">
        <f>CHOOSE(MODE, I39*1000, 'PFM Efficiency'!BI39)</f>
        <v>49.5</v>
      </c>
      <c r="BL39" s="175">
        <v>87.423479422514077</v>
      </c>
      <c r="BM39" s="235">
        <f t="shared" si="61"/>
        <v>0.87423479422514072</v>
      </c>
      <c r="BN39" s="293" t="e">
        <f t="shared" si="41"/>
        <v>#NAME?</v>
      </c>
      <c r="BO39" s="294"/>
      <c r="BP39" s="235" t="e">
        <f t="shared" si="72"/>
        <v>#NAME?</v>
      </c>
      <c r="BQ39" s="294"/>
      <c r="BR39" s="175" t="e">
        <f t="shared" si="73"/>
        <v>#NAME?</v>
      </c>
      <c r="BS39" s="175" t="e">
        <f t="shared" si="74"/>
        <v>#NAME?</v>
      </c>
      <c r="BT39" s="175" t="e">
        <f t="shared" si="100"/>
        <v>#NAME?</v>
      </c>
      <c r="BU39" s="235"/>
      <c r="BV39" s="235"/>
      <c r="BW39" s="175" t="e">
        <f>IF(MODE=1, BJ39, 'PFM Efficiency'!BH39)</f>
        <v>#NAME?</v>
      </c>
      <c r="BX39" s="175" t="e">
        <f>IF(MODE=1, BR39, 'PFM Efficiency'!BN39)</f>
        <v>#NAME?</v>
      </c>
      <c r="BY39" s="175" t="e">
        <f>IF(MODE=1, BS39, 'PFM Efficiency'!BO39)</f>
        <v>#NAME?</v>
      </c>
      <c r="BZ39" s="175" t="e">
        <f>IF(MODE=1, BT39, 'PFM Efficiency'!BP39)</f>
        <v>#NAME?</v>
      </c>
    </row>
    <row r="40" spans="1:78" ht="13.5" thickBot="1" x14ac:dyDescent="0.25">
      <c r="A40" s="334" t="s">
        <v>47</v>
      </c>
      <c r="B40" s="335">
        <v>2000</v>
      </c>
      <c r="C40" s="298" t="s">
        <v>356</v>
      </c>
      <c r="D40" s="174">
        <f>B40/1000</f>
        <v>2</v>
      </c>
      <c r="E40" s="174" t="s">
        <v>377</v>
      </c>
      <c r="H40" s="173">
        <v>34</v>
      </c>
      <c r="I40" s="522">
        <f t="shared" si="76"/>
        <v>5.1000000000000004E-2</v>
      </c>
      <c r="J40" s="233" t="e">
        <f t="shared" si="77"/>
        <v>#NAME?</v>
      </c>
      <c r="K40" s="233" t="e">
        <f t="shared" si="78"/>
        <v>#NAME?</v>
      </c>
      <c r="L40" s="233" t="e">
        <f t="shared" si="79"/>
        <v>#NAME?</v>
      </c>
      <c r="M40" s="290" t="e">
        <f t="shared" si="80"/>
        <v>#NAME?</v>
      </c>
      <c r="N40" s="232" t="e">
        <f t="shared" si="62"/>
        <v>#NAME?</v>
      </c>
      <c r="O40" s="208" t="e">
        <f t="shared" si="81"/>
        <v>#NAME?</v>
      </c>
      <c r="P40" s="291" t="e">
        <f t="shared" si="101"/>
        <v>#NAME?</v>
      </c>
      <c r="Q40" s="291" t="e">
        <f t="shared" si="102"/>
        <v>#NAME?</v>
      </c>
      <c r="R40" s="291" t="e">
        <f t="shared" si="103"/>
        <v>#NAME?</v>
      </c>
      <c r="S40" s="232" t="e">
        <f t="shared" si="104"/>
        <v>#NAME?</v>
      </c>
      <c r="T40" s="232" t="e">
        <f t="shared" si="105"/>
        <v>#NAME?</v>
      </c>
      <c r="U40" s="173" t="e">
        <f t="shared" si="106"/>
        <v>#NAME?</v>
      </c>
      <c r="V40" s="232" t="e">
        <f t="shared" si="63"/>
        <v>#NAME?</v>
      </c>
      <c r="W40" s="233" t="e">
        <f t="shared" si="107"/>
        <v>#NAME?</v>
      </c>
      <c r="X40" s="232" t="e">
        <f t="shared" si="13"/>
        <v>#NAME?</v>
      </c>
      <c r="Y40" s="232" t="e">
        <f t="shared" si="64"/>
        <v>#NAME?</v>
      </c>
      <c r="Z40" s="232" t="e">
        <f t="shared" si="108"/>
        <v>#NAME?</v>
      </c>
      <c r="AA40" s="234" t="e">
        <f t="shared" si="15"/>
        <v>#NAME?</v>
      </c>
      <c r="AB40" s="234" t="e">
        <f t="shared" si="65"/>
        <v>#NAME?</v>
      </c>
      <c r="AC40" s="232" t="e">
        <f t="shared" si="109"/>
        <v>#NAME?</v>
      </c>
      <c r="AD40" s="232" t="e">
        <f t="shared" si="110"/>
        <v>#NAME?</v>
      </c>
      <c r="AE40" s="232" t="e">
        <f t="shared" si="111"/>
        <v>#NAME?</v>
      </c>
      <c r="AF40">
        <v>20</v>
      </c>
      <c r="AG40" s="505" t="e">
        <f t="shared" si="82"/>
        <v>#NAME?</v>
      </c>
      <c r="AH40" s="232" t="e">
        <f t="shared" si="83"/>
        <v>#NAME?</v>
      </c>
      <c r="AI40" s="232" t="e">
        <f t="shared" si="84"/>
        <v>#NAME?</v>
      </c>
      <c r="AJ40" s="232" t="e">
        <f t="shared" si="85"/>
        <v>#NAME?</v>
      </c>
      <c r="AK40" s="232" t="e">
        <f t="shared" si="86"/>
        <v>#NAME?</v>
      </c>
      <c r="AL40" s="232" t="e">
        <f t="shared" si="112"/>
        <v>#NAME?</v>
      </c>
      <c r="AM40" s="232" t="e">
        <f t="shared" si="87"/>
        <v>#NAME?</v>
      </c>
      <c r="AN40" s="232" t="e">
        <f t="shared" si="88"/>
        <v>#NAME?</v>
      </c>
      <c r="AO40" s="232" t="e">
        <f t="shared" si="89"/>
        <v>#NAME?</v>
      </c>
      <c r="AP40" s="232" t="e">
        <f t="shared" si="66"/>
        <v>#NAME?</v>
      </c>
      <c r="AQ40" s="232" t="e">
        <f t="shared" si="90"/>
        <v>#NAME?</v>
      </c>
      <c r="AR40" s="232" t="e">
        <f t="shared" si="91"/>
        <v>#NAME?</v>
      </c>
      <c r="AS40" s="232" t="e">
        <f t="shared" si="92"/>
        <v>#NAME?</v>
      </c>
      <c r="AT40" s="232" t="e">
        <f t="shared" si="67"/>
        <v>#NAME?</v>
      </c>
      <c r="AU40" s="232" t="e">
        <f t="shared" si="93"/>
        <v>#NAME?</v>
      </c>
      <c r="AV40" s="232">
        <f t="shared" si="94"/>
        <v>0.255</v>
      </c>
      <c r="AW40" s="292" t="e">
        <f t="shared" si="75"/>
        <v>#NAME?</v>
      </c>
      <c r="AX40" s="358" t="e">
        <f t="shared" si="95"/>
        <v>#NAME?</v>
      </c>
      <c r="AY40" s="358" t="e">
        <f t="shared" si="68"/>
        <v>#NAME?</v>
      </c>
      <c r="AZ40" s="358" t="e">
        <f t="shared" si="96"/>
        <v>#NAME?</v>
      </c>
      <c r="BA40" s="358" t="e">
        <f t="shared" si="35"/>
        <v>#NAME?</v>
      </c>
      <c r="BB40" s="358" t="e">
        <f t="shared" si="36"/>
        <v>#NAME?</v>
      </c>
      <c r="BC40" s="358" t="e">
        <f t="shared" si="37"/>
        <v>#NAME?</v>
      </c>
      <c r="BD40" s="358" t="e">
        <f t="shared" si="97"/>
        <v>#NAME?</v>
      </c>
      <c r="BE40" s="358" t="e">
        <f t="shared" si="98"/>
        <v>#NAME?</v>
      </c>
      <c r="BF40" s="358" t="e">
        <f t="shared" si="99"/>
        <v>#NAME?</v>
      </c>
      <c r="BG40" s="235" t="e">
        <f t="shared" si="69"/>
        <v>#NAME?</v>
      </c>
      <c r="BH40" s="235" t="e">
        <f t="shared" si="60"/>
        <v>#NAME?</v>
      </c>
      <c r="BI40" s="235" t="e">
        <f t="shared" si="70"/>
        <v>#NAME?</v>
      </c>
      <c r="BJ40" s="175" t="e">
        <f t="shared" si="71"/>
        <v>#NAME?</v>
      </c>
      <c r="BK40" s="233">
        <f>CHOOSE(MODE, I40*1000, 'PFM Efficiency'!BI40)</f>
        <v>51.000000000000007</v>
      </c>
      <c r="BL40" s="175">
        <v>87.425707636537126</v>
      </c>
      <c r="BM40" s="235">
        <f t="shared" si="61"/>
        <v>0.87425707636537131</v>
      </c>
      <c r="BN40" s="293" t="e">
        <f t="shared" si="41"/>
        <v>#NAME?</v>
      </c>
      <c r="BO40" s="294"/>
      <c r="BP40" s="235" t="e">
        <f t="shared" si="72"/>
        <v>#NAME?</v>
      </c>
      <c r="BQ40" s="294"/>
      <c r="BR40" s="175" t="e">
        <f t="shared" si="73"/>
        <v>#NAME?</v>
      </c>
      <c r="BS40" s="175" t="e">
        <f t="shared" si="74"/>
        <v>#NAME?</v>
      </c>
      <c r="BT40" s="175" t="e">
        <f t="shared" si="100"/>
        <v>#NAME?</v>
      </c>
      <c r="BU40" s="235"/>
      <c r="BV40" s="235"/>
      <c r="BW40" s="175" t="e">
        <f>IF(MODE=1, BJ40, 'PFM Efficiency'!BH40)</f>
        <v>#NAME?</v>
      </c>
      <c r="BX40" s="175" t="e">
        <f>IF(MODE=1, BR40, 'PFM Efficiency'!BN40)</f>
        <v>#NAME?</v>
      </c>
      <c r="BY40" s="175" t="e">
        <f>IF(MODE=1, BS40, 'PFM Efficiency'!BO40)</f>
        <v>#NAME?</v>
      </c>
      <c r="BZ40" s="175" t="e">
        <f>IF(MODE=1, BT40, 'PFM Efficiency'!BP40)</f>
        <v>#NAME?</v>
      </c>
    </row>
    <row r="41" spans="1:78" ht="13.5" thickBot="1" x14ac:dyDescent="0.25">
      <c r="A41" s="317" t="s">
        <v>378</v>
      </c>
      <c r="B41" s="336"/>
      <c r="C41" s="173" t="s">
        <v>379</v>
      </c>
      <c r="D41" s="174"/>
      <c r="E41" s="174" t="s">
        <v>378</v>
      </c>
      <c r="H41" s="173">
        <v>35</v>
      </c>
      <c r="I41" s="522">
        <f t="shared" si="76"/>
        <v>5.2499999999999998E-2</v>
      </c>
      <c r="J41" s="233" t="e">
        <f t="shared" si="77"/>
        <v>#NAME?</v>
      </c>
      <c r="K41" s="233" t="e">
        <f t="shared" si="78"/>
        <v>#NAME?</v>
      </c>
      <c r="L41" s="233" t="e">
        <f t="shared" si="79"/>
        <v>#NAME?</v>
      </c>
      <c r="M41" s="290" t="e">
        <f t="shared" si="80"/>
        <v>#NAME?</v>
      </c>
      <c r="N41" s="232" t="e">
        <f t="shared" si="62"/>
        <v>#NAME?</v>
      </c>
      <c r="O41" s="208" t="e">
        <f t="shared" si="81"/>
        <v>#NAME?</v>
      </c>
      <c r="P41" s="291" t="e">
        <f t="shared" si="101"/>
        <v>#NAME?</v>
      </c>
      <c r="Q41" s="291" t="e">
        <f t="shared" si="102"/>
        <v>#NAME?</v>
      </c>
      <c r="R41" s="291" t="e">
        <f t="shared" si="103"/>
        <v>#NAME?</v>
      </c>
      <c r="S41" s="232" t="e">
        <f t="shared" si="104"/>
        <v>#NAME?</v>
      </c>
      <c r="T41" s="232" t="e">
        <f t="shared" si="105"/>
        <v>#NAME?</v>
      </c>
      <c r="U41" s="173" t="e">
        <f t="shared" si="106"/>
        <v>#NAME?</v>
      </c>
      <c r="V41" s="232" t="e">
        <f t="shared" si="63"/>
        <v>#NAME?</v>
      </c>
      <c r="W41" s="233" t="e">
        <f t="shared" si="107"/>
        <v>#NAME?</v>
      </c>
      <c r="X41" s="232" t="e">
        <f t="shared" si="13"/>
        <v>#NAME?</v>
      </c>
      <c r="Y41" s="232" t="e">
        <f t="shared" si="64"/>
        <v>#NAME?</v>
      </c>
      <c r="Z41" s="232" t="e">
        <f t="shared" si="108"/>
        <v>#NAME?</v>
      </c>
      <c r="AA41" s="234" t="e">
        <f t="shared" si="15"/>
        <v>#NAME?</v>
      </c>
      <c r="AB41" s="234" t="e">
        <f t="shared" si="65"/>
        <v>#NAME?</v>
      </c>
      <c r="AC41" s="232" t="e">
        <f t="shared" si="109"/>
        <v>#NAME?</v>
      </c>
      <c r="AD41" s="232" t="e">
        <f t="shared" si="110"/>
        <v>#NAME?</v>
      </c>
      <c r="AE41" s="232" t="e">
        <f t="shared" si="111"/>
        <v>#NAME?</v>
      </c>
      <c r="AF41">
        <v>20</v>
      </c>
      <c r="AG41" s="505" t="e">
        <f t="shared" si="82"/>
        <v>#NAME?</v>
      </c>
      <c r="AH41" s="232" t="e">
        <f t="shared" si="83"/>
        <v>#NAME?</v>
      </c>
      <c r="AI41" s="232" t="e">
        <f t="shared" si="84"/>
        <v>#NAME?</v>
      </c>
      <c r="AJ41" s="232" t="e">
        <f t="shared" si="85"/>
        <v>#NAME?</v>
      </c>
      <c r="AK41" s="232" t="e">
        <f t="shared" si="86"/>
        <v>#NAME?</v>
      </c>
      <c r="AL41" s="232" t="e">
        <f t="shared" si="112"/>
        <v>#NAME?</v>
      </c>
      <c r="AM41" s="232" t="e">
        <f t="shared" si="87"/>
        <v>#NAME?</v>
      </c>
      <c r="AN41" s="232" t="e">
        <f t="shared" si="88"/>
        <v>#NAME?</v>
      </c>
      <c r="AO41" s="232" t="e">
        <f t="shared" si="89"/>
        <v>#NAME?</v>
      </c>
      <c r="AP41" s="232" t="e">
        <f t="shared" si="66"/>
        <v>#NAME?</v>
      </c>
      <c r="AQ41" s="232" t="e">
        <f t="shared" si="90"/>
        <v>#NAME?</v>
      </c>
      <c r="AR41" s="232" t="e">
        <f t="shared" si="91"/>
        <v>#NAME?</v>
      </c>
      <c r="AS41" s="232" t="e">
        <f t="shared" si="92"/>
        <v>#NAME?</v>
      </c>
      <c r="AT41" s="232" t="e">
        <f t="shared" si="67"/>
        <v>#NAME?</v>
      </c>
      <c r="AU41" s="232" t="e">
        <f t="shared" si="93"/>
        <v>#NAME?</v>
      </c>
      <c r="AV41" s="232">
        <f t="shared" si="94"/>
        <v>0.26250000000000001</v>
      </c>
      <c r="AW41" s="292" t="e">
        <f t="shared" si="75"/>
        <v>#NAME?</v>
      </c>
      <c r="AX41" s="358" t="e">
        <f t="shared" si="95"/>
        <v>#NAME?</v>
      </c>
      <c r="AY41" s="358" t="e">
        <f t="shared" si="68"/>
        <v>#NAME?</v>
      </c>
      <c r="AZ41" s="358" t="e">
        <f t="shared" si="96"/>
        <v>#NAME?</v>
      </c>
      <c r="BA41" s="358" t="e">
        <f t="shared" si="35"/>
        <v>#NAME?</v>
      </c>
      <c r="BB41" s="358" t="e">
        <f t="shared" si="36"/>
        <v>#NAME?</v>
      </c>
      <c r="BC41" s="358" t="e">
        <f t="shared" si="37"/>
        <v>#NAME?</v>
      </c>
      <c r="BD41" s="358" t="e">
        <f t="shared" si="97"/>
        <v>#NAME?</v>
      </c>
      <c r="BE41" s="358" t="e">
        <f t="shared" si="98"/>
        <v>#NAME?</v>
      </c>
      <c r="BF41" s="358" t="e">
        <f t="shared" si="99"/>
        <v>#NAME?</v>
      </c>
      <c r="BG41" s="235" t="e">
        <f t="shared" si="69"/>
        <v>#NAME?</v>
      </c>
      <c r="BH41" s="235" t="e">
        <f t="shared" si="60"/>
        <v>#NAME?</v>
      </c>
      <c r="BI41" s="235" t="e">
        <f t="shared" si="70"/>
        <v>#NAME?</v>
      </c>
      <c r="BJ41" s="175" t="e">
        <f t="shared" si="71"/>
        <v>#NAME?</v>
      </c>
      <c r="BK41" s="233">
        <f>CHOOSE(MODE, I41*1000, 'PFM Efficiency'!BI41)</f>
        <v>52.5</v>
      </c>
      <c r="BL41" s="175">
        <v>87.427727681316185</v>
      </c>
      <c r="BM41" s="235">
        <f t="shared" si="61"/>
        <v>0.87427727681316181</v>
      </c>
      <c r="BN41" s="293" t="e">
        <f t="shared" si="41"/>
        <v>#NAME?</v>
      </c>
      <c r="BO41" s="294"/>
      <c r="BP41" s="235" t="e">
        <f t="shared" si="72"/>
        <v>#NAME?</v>
      </c>
      <c r="BQ41" s="294"/>
      <c r="BR41" s="175" t="e">
        <f t="shared" si="73"/>
        <v>#NAME?</v>
      </c>
      <c r="BS41" s="175" t="e">
        <f t="shared" si="74"/>
        <v>#NAME?</v>
      </c>
      <c r="BT41" s="175" t="e">
        <f t="shared" si="100"/>
        <v>#NAME?</v>
      </c>
      <c r="BU41" s="235"/>
      <c r="BV41" s="235"/>
      <c r="BW41" s="175" t="e">
        <f>IF(MODE=1, BJ41, 'PFM Efficiency'!BH41)</f>
        <v>#NAME?</v>
      </c>
      <c r="BX41" s="175" t="e">
        <f>IF(MODE=1, BR41, 'PFM Efficiency'!BN41)</f>
        <v>#NAME?</v>
      </c>
      <c r="BY41" s="175" t="e">
        <f>IF(MODE=1, BS41, 'PFM Efficiency'!BO41)</f>
        <v>#NAME?</v>
      </c>
      <c r="BZ41" s="175" t="e">
        <f>IF(MODE=1, BT41, 'PFM Efficiency'!BP41)</f>
        <v>#NAME?</v>
      </c>
    </row>
    <row r="42" spans="1:78" ht="13.5" thickBot="1" x14ac:dyDescent="0.25">
      <c r="A42" s="317" t="s">
        <v>46</v>
      </c>
      <c r="B42" s="335">
        <v>1.8</v>
      </c>
      <c r="C42" s="304" t="s">
        <v>43</v>
      </c>
      <c r="D42" s="174">
        <f>B42/1000000000</f>
        <v>1.8E-9</v>
      </c>
      <c r="E42" s="174" t="s">
        <v>380</v>
      </c>
      <c r="H42" s="173">
        <v>36</v>
      </c>
      <c r="I42" s="522">
        <f t="shared" si="76"/>
        <v>5.3999999999999999E-2</v>
      </c>
      <c r="J42" s="233" t="e">
        <f t="shared" si="77"/>
        <v>#NAME?</v>
      </c>
      <c r="K42" s="233" t="e">
        <f t="shared" si="78"/>
        <v>#NAME?</v>
      </c>
      <c r="L42" s="233" t="e">
        <f t="shared" si="79"/>
        <v>#NAME?</v>
      </c>
      <c r="M42" s="290" t="e">
        <f t="shared" si="80"/>
        <v>#NAME?</v>
      </c>
      <c r="N42" s="232" t="e">
        <f t="shared" si="62"/>
        <v>#NAME?</v>
      </c>
      <c r="O42" s="208" t="e">
        <f t="shared" si="81"/>
        <v>#NAME?</v>
      </c>
      <c r="P42" s="291" t="e">
        <f t="shared" si="101"/>
        <v>#NAME?</v>
      </c>
      <c r="Q42" s="291" t="e">
        <f t="shared" si="102"/>
        <v>#NAME?</v>
      </c>
      <c r="R42" s="291" t="e">
        <f t="shared" si="103"/>
        <v>#NAME?</v>
      </c>
      <c r="S42" s="232" t="e">
        <f t="shared" si="104"/>
        <v>#NAME?</v>
      </c>
      <c r="T42" s="232" t="e">
        <f t="shared" si="105"/>
        <v>#NAME?</v>
      </c>
      <c r="U42" s="173" t="e">
        <f t="shared" si="106"/>
        <v>#NAME?</v>
      </c>
      <c r="V42" s="232" t="e">
        <f t="shared" si="63"/>
        <v>#NAME?</v>
      </c>
      <c r="W42" s="233" t="e">
        <f t="shared" si="107"/>
        <v>#NAME?</v>
      </c>
      <c r="X42" s="232" t="e">
        <f t="shared" si="13"/>
        <v>#NAME?</v>
      </c>
      <c r="Y42" s="232" t="e">
        <f t="shared" si="64"/>
        <v>#NAME?</v>
      </c>
      <c r="Z42" s="232" t="e">
        <f t="shared" si="108"/>
        <v>#NAME?</v>
      </c>
      <c r="AA42" s="234" t="e">
        <f t="shared" si="15"/>
        <v>#NAME?</v>
      </c>
      <c r="AB42" s="234" t="e">
        <f t="shared" si="65"/>
        <v>#NAME?</v>
      </c>
      <c r="AC42" s="232" t="e">
        <f t="shared" si="109"/>
        <v>#NAME?</v>
      </c>
      <c r="AD42" s="232" t="e">
        <f t="shared" si="110"/>
        <v>#NAME?</v>
      </c>
      <c r="AE42" s="232" t="e">
        <f t="shared" si="111"/>
        <v>#NAME?</v>
      </c>
      <c r="AF42">
        <v>20</v>
      </c>
      <c r="AG42" s="505" t="e">
        <f t="shared" si="82"/>
        <v>#NAME?</v>
      </c>
      <c r="AH42" s="232" t="e">
        <f t="shared" si="83"/>
        <v>#NAME?</v>
      </c>
      <c r="AI42" s="232" t="e">
        <f t="shared" si="84"/>
        <v>#NAME?</v>
      </c>
      <c r="AJ42" s="232" t="e">
        <f t="shared" si="85"/>
        <v>#NAME?</v>
      </c>
      <c r="AK42" s="232" t="e">
        <f t="shared" si="86"/>
        <v>#NAME?</v>
      </c>
      <c r="AL42" s="232" t="e">
        <f t="shared" si="112"/>
        <v>#NAME?</v>
      </c>
      <c r="AM42" s="232" t="e">
        <f t="shared" si="87"/>
        <v>#NAME?</v>
      </c>
      <c r="AN42" s="232" t="e">
        <f t="shared" si="88"/>
        <v>#NAME?</v>
      </c>
      <c r="AO42" s="232" t="e">
        <f t="shared" si="89"/>
        <v>#NAME?</v>
      </c>
      <c r="AP42" s="232" t="e">
        <f t="shared" si="66"/>
        <v>#NAME?</v>
      </c>
      <c r="AQ42" s="232" t="e">
        <f t="shared" si="90"/>
        <v>#NAME?</v>
      </c>
      <c r="AR42" s="232" t="e">
        <f t="shared" si="91"/>
        <v>#NAME?</v>
      </c>
      <c r="AS42" s="232" t="e">
        <f t="shared" si="92"/>
        <v>#NAME?</v>
      </c>
      <c r="AT42" s="232" t="e">
        <f t="shared" si="67"/>
        <v>#NAME?</v>
      </c>
      <c r="AU42" s="232" t="e">
        <f t="shared" si="93"/>
        <v>#NAME?</v>
      </c>
      <c r="AV42" s="232">
        <f t="shared" si="94"/>
        <v>0.27</v>
      </c>
      <c r="AW42" s="292" t="e">
        <f t="shared" si="75"/>
        <v>#NAME?</v>
      </c>
      <c r="AX42" s="358" t="e">
        <f t="shared" si="95"/>
        <v>#NAME?</v>
      </c>
      <c r="AY42" s="358" t="e">
        <f t="shared" si="68"/>
        <v>#NAME?</v>
      </c>
      <c r="AZ42" s="358" t="e">
        <f t="shared" si="96"/>
        <v>#NAME?</v>
      </c>
      <c r="BA42" s="358" t="e">
        <f t="shared" si="35"/>
        <v>#NAME?</v>
      </c>
      <c r="BB42" s="358" t="e">
        <f t="shared" si="36"/>
        <v>#NAME?</v>
      </c>
      <c r="BC42" s="358" t="e">
        <f t="shared" si="37"/>
        <v>#NAME?</v>
      </c>
      <c r="BD42" s="358" t="e">
        <f t="shared" si="97"/>
        <v>#NAME?</v>
      </c>
      <c r="BE42" s="358" t="e">
        <f t="shared" si="98"/>
        <v>#NAME?</v>
      </c>
      <c r="BF42" s="358" t="e">
        <f t="shared" si="99"/>
        <v>#NAME?</v>
      </c>
      <c r="BG42" s="235" t="e">
        <f t="shared" si="69"/>
        <v>#NAME?</v>
      </c>
      <c r="BH42" s="235" t="e">
        <f t="shared" si="60"/>
        <v>#NAME?</v>
      </c>
      <c r="BI42" s="235" t="e">
        <f t="shared" si="70"/>
        <v>#NAME?</v>
      </c>
      <c r="BJ42" s="175" t="e">
        <f t="shared" si="71"/>
        <v>#NAME?</v>
      </c>
      <c r="BK42" s="233">
        <f>CHOOSE(MODE, I42*1000, 'PFM Efficiency'!BI42)</f>
        <v>54</v>
      </c>
      <c r="BL42" s="175">
        <v>87.42955683691271</v>
      </c>
      <c r="BM42" s="235">
        <f t="shared" si="61"/>
        <v>0.87429556836912714</v>
      </c>
      <c r="BN42" s="293" t="e">
        <f t="shared" si="41"/>
        <v>#NAME?</v>
      </c>
      <c r="BO42" s="294"/>
      <c r="BP42" s="235" t="e">
        <f t="shared" si="72"/>
        <v>#NAME?</v>
      </c>
      <c r="BQ42" s="294"/>
      <c r="BR42" s="175" t="e">
        <f t="shared" si="73"/>
        <v>#NAME?</v>
      </c>
      <c r="BS42" s="175" t="e">
        <f t="shared" si="74"/>
        <v>#NAME?</v>
      </c>
      <c r="BT42" s="175" t="e">
        <f t="shared" si="100"/>
        <v>#NAME?</v>
      </c>
      <c r="BU42" s="235"/>
      <c r="BV42" s="235"/>
      <c r="BW42" s="175" t="e">
        <f>IF(MODE=1, BJ42, 'PFM Efficiency'!BH42)</f>
        <v>#NAME?</v>
      </c>
      <c r="BX42" s="175" t="e">
        <f>IF(MODE=1, BR42, 'PFM Efficiency'!BN42)</f>
        <v>#NAME?</v>
      </c>
      <c r="BY42" s="175" t="e">
        <f>IF(MODE=1, BS42, 'PFM Efficiency'!BO42)</f>
        <v>#NAME?</v>
      </c>
      <c r="BZ42" s="175" t="e">
        <f>IF(MODE=1, BT42, 'PFM Efficiency'!BP42)</f>
        <v>#NAME?</v>
      </c>
    </row>
    <row r="43" spans="1:78" x14ac:dyDescent="0.2">
      <c r="A43" s="317" t="s">
        <v>335</v>
      </c>
      <c r="B43" s="335">
        <v>35</v>
      </c>
      <c r="C43" s="304" t="s">
        <v>23</v>
      </c>
      <c r="D43" s="337">
        <f>B43/1000000000000</f>
        <v>3.5000000000000002E-11</v>
      </c>
      <c r="E43" s="174" t="s">
        <v>557</v>
      </c>
      <c r="H43" s="173">
        <v>37</v>
      </c>
      <c r="I43" s="522">
        <f t="shared" si="76"/>
        <v>5.5500000000000001E-2</v>
      </c>
      <c r="J43" s="233" t="e">
        <f t="shared" si="77"/>
        <v>#NAME?</v>
      </c>
      <c r="K43" s="233" t="e">
        <f t="shared" si="78"/>
        <v>#NAME?</v>
      </c>
      <c r="L43" s="233" t="e">
        <f t="shared" si="79"/>
        <v>#NAME?</v>
      </c>
      <c r="M43" s="290" t="e">
        <f t="shared" si="80"/>
        <v>#NAME?</v>
      </c>
      <c r="N43" s="232" t="e">
        <f t="shared" si="62"/>
        <v>#NAME?</v>
      </c>
      <c r="O43" s="208" t="e">
        <f t="shared" si="81"/>
        <v>#NAME?</v>
      </c>
      <c r="P43" s="291" t="e">
        <f t="shared" si="101"/>
        <v>#NAME?</v>
      </c>
      <c r="Q43" s="291" t="e">
        <f t="shared" si="102"/>
        <v>#NAME?</v>
      </c>
      <c r="R43" s="291" t="e">
        <f t="shared" si="103"/>
        <v>#NAME?</v>
      </c>
      <c r="S43" s="232" t="e">
        <f t="shared" si="104"/>
        <v>#NAME?</v>
      </c>
      <c r="T43" s="232" t="e">
        <f t="shared" si="105"/>
        <v>#NAME?</v>
      </c>
      <c r="U43" s="173" t="e">
        <f t="shared" si="106"/>
        <v>#NAME?</v>
      </c>
      <c r="V43" s="232" t="e">
        <f t="shared" si="63"/>
        <v>#NAME?</v>
      </c>
      <c r="W43" s="233" t="e">
        <f t="shared" si="107"/>
        <v>#NAME?</v>
      </c>
      <c r="X43" s="232" t="e">
        <f t="shared" si="13"/>
        <v>#NAME?</v>
      </c>
      <c r="Y43" s="232" t="e">
        <f t="shared" si="64"/>
        <v>#NAME?</v>
      </c>
      <c r="Z43" s="232" t="e">
        <f t="shared" si="108"/>
        <v>#NAME?</v>
      </c>
      <c r="AA43" s="234" t="e">
        <f t="shared" si="15"/>
        <v>#NAME?</v>
      </c>
      <c r="AB43" s="234" t="e">
        <f t="shared" si="65"/>
        <v>#NAME?</v>
      </c>
      <c r="AC43" s="232" t="e">
        <f t="shared" si="109"/>
        <v>#NAME?</v>
      </c>
      <c r="AD43" s="232" t="e">
        <f t="shared" si="110"/>
        <v>#NAME?</v>
      </c>
      <c r="AE43" s="232" t="e">
        <f t="shared" si="111"/>
        <v>#NAME?</v>
      </c>
      <c r="AF43">
        <v>20</v>
      </c>
      <c r="AG43" s="505" t="e">
        <f t="shared" si="82"/>
        <v>#NAME?</v>
      </c>
      <c r="AH43" s="232" t="e">
        <f t="shared" si="83"/>
        <v>#NAME?</v>
      </c>
      <c r="AI43" s="232" t="e">
        <f t="shared" si="84"/>
        <v>#NAME?</v>
      </c>
      <c r="AJ43" s="232" t="e">
        <f t="shared" si="85"/>
        <v>#NAME?</v>
      </c>
      <c r="AK43" s="232" t="e">
        <f t="shared" si="86"/>
        <v>#NAME?</v>
      </c>
      <c r="AL43" s="232" t="e">
        <f t="shared" si="112"/>
        <v>#NAME?</v>
      </c>
      <c r="AM43" s="232" t="e">
        <f t="shared" si="87"/>
        <v>#NAME?</v>
      </c>
      <c r="AN43" s="232" t="e">
        <f t="shared" si="88"/>
        <v>#NAME?</v>
      </c>
      <c r="AO43" s="232" t="e">
        <f t="shared" si="89"/>
        <v>#NAME?</v>
      </c>
      <c r="AP43" s="232" t="e">
        <f t="shared" si="66"/>
        <v>#NAME?</v>
      </c>
      <c r="AQ43" s="232" t="e">
        <f t="shared" si="90"/>
        <v>#NAME?</v>
      </c>
      <c r="AR43" s="232" t="e">
        <f t="shared" si="91"/>
        <v>#NAME?</v>
      </c>
      <c r="AS43" s="232" t="e">
        <f t="shared" si="92"/>
        <v>#NAME?</v>
      </c>
      <c r="AT43" s="232" t="e">
        <f t="shared" si="67"/>
        <v>#NAME?</v>
      </c>
      <c r="AU43" s="232" t="e">
        <f t="shared" si="93"/>
        <v>#NAME?</v>
      </c>
      <c r="AV43" s="232">
        <f t="shared" si="94"/>
        <v>0.27750000000000002</v>
      </c>
      <c r="AW43" s="292" t="e">
        <f t="shared" si="75"/>
        <v>#NAME?</v>
      </c>
      <c r="AX43" s="358" t="e">
        <f t="shared" si="95"/>
        <v>#NAME?</v>
      </c>
      <c r="AY43" s="358" t="e">
        <f t="shared" si="68"/>
        <v>#NAME?</v>
      </c>
      <c r="AZ43" s="358" t="e">
        <f t="shared" si="96"/>
        <v>#NAME?</v>
      </c>
      <c r="BA43" s="358" t="e">
        <f t="shared" si="35"/>
        <v>#NAME?</v>
      </c>
      <c r="BB43" s="358" t="e">
        <f t="shared" si="36"/>
        <v>#NAME?</v>
      </c>
      <c r="BC43" s="358" t="e">
        <f t="shared" si="37"/>
        <v>#NAME?</v>
      </c>
      <c r="BD43" s="358" t="e">
        <f t="shared" si="97"/>
        <v>#NAME?</v>
      </c>
      <c r="BE43" s="358" t="e">
        <f t="shared" si="98"/>
        <v>#NAME?</v>
      </c>
      <c r="BF43" s="358" t="e">
        <f t="shared" si="99"/>
        <v>#NAME?</v>
      </c>
      <c r="BG43" s="235" t="e">
        <f t="shared" si="69"/>
        <v>#NAME?</v>
      </c>
      <c r="BH43" s="235" t="e">
        <f t="shared" si="60"/>
        <v>#NAME?</v>
      </c>
      <c r="BI43" s="235" t="e">
        <f t="shared" si="70"/>
        <v>#NAME?</v>
      </c>
      <c r="BJ43" s="175" t="e">
        <f t="shared" si="71"/>
        <v>#NAME?</v>
      </c>
      <c r="BK43" s="233">
        <f>CHOOSE(MODE, I43*1000, 'PFM Efficiency'!BI43)</f>
        <v>55.5</v>
      </c>
      <c r="BL43" s="175">
        <v>87.431210518356053</v>
      </c>
      <c r="BM43" s="235">
        <f t="shared" si="61"/>
        <v>0.87431210518356051</v>
      </c>
      <c r="BN43" s="293" t="e">
        <f t="shared" si="41"/>
        <v>#NAME?</v>
      </c>
      <c r="BO43" s="294"/>
      <c r="BP43" s="235" t="e">
        <f t="shared" si="72"/>
        <v>#NAME?</v>
      </c>
      <c r="BQ43" s="294"/>
      <c r="BR43" s="175" t="e">
        <f t="shared" si="73"/>
        <v>#NAME?</v>
      </c>
      <c r="BS43" s="175" t="e">
        <f t="shared" si="74"/>
        <v>#NAME?</v>
      </c>
      <c r="BT43" s="175" t="e">
        <f t="shared" si="100"/>
        <v>#NAME?</v>
      </c>
      <c r="BU43" s="235"/>
      <c r="BV43" s="235"/>
      <c r="BW43" s="175" t="e">
        <f>IF(MODE=1, BJ43, 'PFM Efficiency'!BH43)</f>
        <v>#NAME?</v>
      </c>
      <c r="BX43" s="175" t="e">
        <f>IF(MODE=1, BR43, 'PFM Efficiency'!BN43)</f>
        <v>#NAME?</v>
      </c>
      <c r="BY43" s="175" t="e">
        <f>IF(MODE=1, BS43, 'PFM Efficiency'!BO43)</f>
        <v>#NAME?</v>
      </c>
      <c r="BZ43" s="175" t="e">
        <f>IF(MODE=1, BT43, 'PFM Efficiency'!BP43)</f>
        <v>#NAME?</v>
      </c>
    </row>
    <row r="44" spans="1:78" ht="13.5" thickBot="1" x14ac:dyDescent="0.25">
      <c r="A44" s="326" t="s">
        <v>381</v>
      </c>
      <c r="B44" s="338"/>
      <c r="C44" s="326" t="s">
        <v>51</v>
      </c>
      <c r="D44" s="326" t="s">
        <v>118</v>
      </c>
      <c r="E44" s="339" t="s">
        <v>60</v>
      </c>
      <c r="H44" s="173">
        <v>38</v>
      </c>
      <c r="I44" s="522">
        <f t="shared" si="76"/>
        <v>5.6999999999999995E-2</v>
      </c>
      <c r="J44" s="233" t="e">
        <f t="shared" si="77"/>
        <v>#NAME?</v>
      </c>
      <c r="K44" s="233" t="e">
        <f t="shared" si="78"/>
        <v>#NAME?</v>
      </c>
      <c r="L44" s="233" t="e">
        <f t="shared" si="79"/>
        <v>#NAME?</v>
      </c>
      <c r="M44" s="290" t="e">
        <f t="shared" si="80"/>
        <v>#NAME?</v>
      </c>
      <c r="N44" s="232" t="e">
        <f t="shared" si="62"/>
        <v>#NAME?</v>
      </c>
      <c r="O44" s="208" t="e">
        <f t="shared" si="81"/>
        <v>#NAME?</v>
      </c>
      <c r="P44" s="291" t="e">
        <f t="shared" si="101"/>
        <v>#NAME?</v>
      </c>
      <c r="Q44" s="291" t="e">
        <f t="shared" si="102"/>
        <v>#NAME?</v>
      </c>
      <c r="R44" s="291" t="e">
        <f t="shared" si="103"/>
        <v>#NAME?</v>
      </c>
      <c r="S44" s="232" t="e">
        <f t="shared" si="104"/>
        <v>#NAME?</v>
      </c>
      <c r="T44" s="232" t="e">
        <f t="shared" si="105"/>
        <v>#NAME?</v>
      </c>
      <c r="U44" s="173" t="e">
        <f t="shared" si="106"/>
        <v>#NAME?</v>
      </c>
      <c r="V44" s="232" t="e">
        <f t="shared" si="63"/>
        <v>#NAME?</v>
      </c>
      <c r="W44" s="233" t="e">
        <f t="shared" si="107"/>
        <v>#NAME?</v>
      </c>
      <c r="X44" s="232" t="e">
        <f t="shared" si="13"/>
        <v>#NAME?</v>
      </c>
      <c r="Y44" s="232" t="e">
        <f t="shared" si="64"/>
        <v>#NAME?</v>
      </c>
      <c r="Z44" s="232" t="e">
        <f t="shared" si="108"/>
        <v>#NAME?</v>
      </c>
      <c r="AA44" s="234" t="e">
        <f t="shared" si="15"/>
        <v>#NAME?</v>
      </c>
      <c r="AB44" s="234" t="e">
        <f t="shared" si="65"/>
        <v>#NAME?</v>
      </c>
      <c r="AC44" s="232" t="e">
        <f t="shared" si="109"/>
        <v>#NAME?</v>
      </c>
      <c r="AD44" s="232" t="e">
        <f t="shared" si="110"/>
        <v>#NAME?</v>
      </c>
      <c r="AE44" s="232" t="e">
        <f t="shared" si="111"/>
        <v>#NAME?</v>
      </c>
      <c r="AF44">
        <v>20</v>
      </c>
      <c r="AG44" s="505" t="e">
        <f t="shared" si="82"/>
        <v>#NAME?</v>
      </c>
      <c r="AH44" s="232" t="e">
        <f t="shared" si="83"/>
        <v>#NAME?</v>
      </c>
      <c r="AI44" s="232" t="e">
        <f t="shared" si="84"/>
        <v>#NAME?</v>
      </c>
      <c r="AJ44" s="232" t="e">
        <f t="shared" si="85"/>
        <v>#NAME?</v>
      </c>
      <c r="AK44" s="232" t="e">
        <f t="shared" si="86"/>
        <v>#NAME?</v>
      </c>
      <c r="AL44" s="232" t="e">
        <f t="shared" si="112"/>
        <v>#NAME?</v>
      </c>
      <c r="AM44" s="232" t="e">
        <f t="shared" si="87"/>
        <v>#NAME?</v>
      </c>
      <c r="AN44" s="232" t="e">
        <f t="shared" si="88"/>
        <v>#NAME?</v>
      </c>
      <c r="AO44" s="232" t="e">
        <f t="shared" si="89"/>
        <v>#NAME?</v>
      </c>
      <c r="AP44" s="232" t="e">
        <f t="shared" si="66"/>
        <v>#NAME?</v>
      </c>
      <c r="AQ44" s="232" t="e">
        <f t="shared" si="90"/>
        <v>#NAME?</v>
      </c>
      <c r="AR44" s="232" t="e">
        <f t="shared" si="91"/>
        <v>#NAME?</v>
      </c>
      <c r="AS44" s="232" t="e">
        <f t="shared" si="92"/>
        <v>#NAME?</v>
      </c>
      <c r="AT44" s="232" t="e">
        <f t="shared" si="67"/>
        <v>#NAME?</v>
      </c>
      <c r="AU44" s="232" t="e">
        <f t="shared" si="93"/>
        <v>#NAME?</v>
      </c>
      <c r="AV44" s="232">
        <f t="shared" si="94"/>
        <v>0.28499999999999998</v>
      </c>
      <c r="AW44" s="292" t="e">
        <f t="shared" si="75"/>
        <v>#NAME?</v>
      </c>
      <c r="AX44" s="358" t="e">
        <f t="shared" si="95"/>
        <v>#NAME?</v>
      </c>
      <c r="AY44" s="358" t="e">
        <f t="shared" si="68"/>
        <v>#NAME?</v>
      </c>
      <c r="AZ44" s="358" t="e">
        <f t="shared" si="96"/>
        <v>#NAME?</v>
      </c>
      <c r="BA44" s="358" t="e">
        <f t="shared" si="35"/>
        <v>#NAME?</v>
      </c>
      <c r="BB44" s="358" t="e">
        <f t="shared" si="36"/>
        <v>#NAME?</v>
      </c>
      <c r="BC44" s="358" t="e">
        <f t="shared" si="37"/>
        <v>#NAME?</v>
      </c>
      <c r="BD44" s="358" t="e">
        <f t="shared" si="97"/>
        <v>#NAME?</v>
      </c>
      <c r="BE44" s="358" t="e">
        <f t="shared" si="98"/>
        <v>#NAME?</v>
      </c>
      <c r="BF44" s="358" t="e">
        <f t="shared" si="99"/>
        <v>#NAME?</v>
      </c>
      <c r="BG44" s="235" t="e">
        <f t="shared" si="69"/>
        <v>#NAME?</v>
      </c>
      <c r="BH44" s="235" t="e">
        <f t="shared" si="60"/>
        <v>#NAME?</v>
      </c>
      <c r="BI44" s="235" t="e">
        <f t="shared" si="70"/>
        <v>#NAME?</v>
      </c>
      <c r="BJ44" s="175" t="e">
        <f t="shared" si="71"/>
        <v>#NAME?</v>
      </c>
      <c r="BK44" s="233">
        <f>CHOOSE(MODE, I44*1000, 'PFM Efficiency'!BI44)</f>
        <v>56.999999999999993</v>
      </c>
      <c r="BL44" s="175">
        <v>87.432702520740989</v>
      </c>
      <c r="BM44" s="235">
        <f t="shared" si="61"/>
        <v>0.8743270252074099</v>
      </c>
      <c r="BN44" s="293" t="e">
        <f t="shared" si="41"/>
        <v>#NAME?</v>
      </c>
      <c r="BO44" s="294"/>
      <c r="BP44" s="235" t="e">
        <f t="shared" si="72"/>
        <v>#NAME?</v>
      </c>
      <c r="BQ44" s="294"/>
      <c r="BR44" s="175" t="e">
        <f t="shared" si="73"/>
        <v>#NAME?</v>
      </c>
      <c r="BS44" s="175" t="e">
        <f t="shared" si="74"/>
        <v>#NAME?</v>
      </c>
      <c r="BT44" s="175" t="e">
        <f t="shared" si="100"/>
        <v>#NAME?</v>
      </c>
      <c r="BU44" s="235"/>
      <c r="BV44" s="235"/>
      <c r="BW44" s="175" t="e">
        <f>IF(MODE=1, BJ44, 'PFM Efficiency'!BH44)</f>
        <v>#NAME?</v>
      </c>
      <c r="BX44" s="175" t="e">
        <f>IF(MODE=1, BR44, 'PFM Efficiency'!BN44)</f>
        <v>#NAME?</v>
      </c>
      <c r="BY44" s="175" t="e">
        <f>IF(MODE=1, BS44, 'PFM Efficiency'!BO44)</f>
        <v>#NAME?</v>
      </c>
      <c r="BZ44" s="175" t="e">
        <f>IF(MODE=1, BT44, 'PFM Efficiency'!BP44)</f>
        <v>#NAME?</v>
      </c>
    </row>
    <row r="45" spans="1:78" ht="13.5" thickBot="1" x14ac:dyDescent="0.25">
      <c r="A45" s="334" t="s">
        <v>45</v>
      </c>
      <c r="B45" s="335">
        <v>1000</v>
      </c>
      <c r="C45" s="298" t="s">
        <v>356</v>
      </c>
      <c r="D45" s="174">
        <f>B45/1000</f>
        <v>1</v>
      </c>
      <c r="E45" s="174" t="s">
        <v>382</v>
      </c>
      <c r="H45" s="173">
        <v>39</v>
      </c>
      <c r="I45" s="522">
        <f t="shared" si="76"/>
        <v>5.8499999999999996E-2</v>
      </c>
      <c r="J45" s="233" t="e">
        <f t="shared" si="77"/>
        <v>#NAME?</v>
      </c>
      <c r="K45" s="233" t="e">
        <f t="shared" si="78"/>
        <v>#NAME?</v>
      </c>
      <c r="L45" s="233" t="e">
        <f t="shared" si="79"/>
        <v>#NAME?</v>
      </c>
      <c r="M45" s="290" t="e">
        <f t="shared" si="80"/>
        <v>#NAME?</v>
      </c>
      <c r="N45" s="232" t="e">
        <f t="shared" si="62"/>
        <v>#NAME?</v>
      </c>
      <c r="O45" s="208" t="e">
        <f t="shared" si="81"/>
        <v>#NAME?</v>
      </c>
      <c r="P45" s="291" t="e">
        <f t="shared" si="101"/>
        <v>#NAME?</v>
      </c>
      <c r="Q45" s="291" t="e">
        <f t="shared" si="102"/>
        <v>#NAME?</v>
      </c>
      <c r="R45" s="291" t="e">
        <f t="shared" si="103"/>
        <v>#NAME?</v>
      </c>
      <c r="S45" s="232" t="e">
        <f t="shared" si="104"/>
        <v>#NAME?</v>
      </c>
      <c r="T45" s="232" t="e">
        <f t="shared" si="105"/>
        <v>#NAME?</v>
      </c>
      <c r="U45" s="173" t="e">
        <f t="shared" si="106"/>
        <v>#NAME?</v>
      </c>
      <c r="V45" s="232" t="e">
        <f t="shared" si="63"/>
        <v>#NAME?</v>
      </c>
      <c r="W45" s="233" t="e">
        <f t="shared" si="107"/>
        <v>#NAME?</v>
      </c>
      <c r="X45" s="232" t="e">
        <f t="shared" si="13"/>
        <v>#NAME?</v>
      </c>
      <c r="Y45" s="232" t="e">
        <f t="shared" si="64"/>
        <v>#NAME?</v>
      </c>
      <c r="Z45" s="232" t="e">
        <f t="shared" si="108"/>
        <v>#NAME?</v>
      </c>
      <c r="AA45" s="234" t="e">
        <f t="shared" si="15"/>
        <v>#NAME?</v>
      </c>
      <c r="AB45" s="234" t="e">
        <f t="shared" si="65"/>
        <v>#NAME?</v>
      </c>
      <c r="AC45" s="232" t="e">
        <f t="shared" si="109"/>
        <v>#NAME?</v>
      </c>
      <c r="AD45" s="232" t="e">
        <f t="shared" si="110"/>
        <v>#NAME?</v>
      </c>
      <c r="AE45" s="232" t="e">
        <f t="shared" si="111"/>
        <v>#NAME?</v>
      </c>
      <c r="AF45">
        <v>20</v>
      </c>
      <c r="AG45" s="505" t="e">
        <f t="shared" si="82"/>
        <v>#NAME?</v>
      </c>
      <c r="AH45" s="232" t="e">
        <f t="shared" si="83"/>
        <v>#NAME?</v>
      </c>
      <c r="AI45" s="232" t="e">
        <f t="shared" si="84"/>
        <v>#NAME?</v>
      </c>
      <c r="AJ45" s="232" t="e">
        <f t="shared" si="85"/>
        <v>#NAME?</v>
      </c>
      <c r="AK45" s="232" t="e">
        <f t="shared" si="86"/>
        <v>#NAME?</v>
      </c>
      <c r="AL45" s="232" t="e">
        <f t="shared" si="112"/>
        <v>#NAME?</v>
      </c>
      <c r="AM45" s="232" t="e">
        <f t="shared" si="87"/>
        <v>#NAME?</v>
      </c>
      <c r="AN45" s="232" t="e">
        <f t="shared" si="88"/>
        <v>#NAME?</v>
      </c>
      <c r="AO45" s="232" t="e">
        <f t="shared" si="89"/>
        <v>#NAME?</v>
      </c>
      <c r="AP45" s="232" t="e">
        <f t="shared" si="66"/>
        <v>#NAME?</v>
      </c>
      <c r="AQ45" s="232" t="e">
        <f t="shared" si="90"/>
        <v>#NAME?</v>
      </c>
      <c r="AR45" s="232" t="e">
        <f t="shared" si="91"/>
        <v>#NAME?</v>
      </c>
      <c r="AS45" s="232" t="e">
        <f t="shared" si="92"/>
        <v>#NAME?</v>
      </c>
      <c r="AT45" s="232" t="e">
        <f t="shared" si="67"/>
        <v>#NAME?</v>
      </c>
      <c r="AU45" s="232" t="e">
        <f t="shared" si="93"/>
        <v>#NAME?</v>
      </c>
      <c r="AV45" s="232">
        <f t="shared" si="94"/>
        <v>0.29249999999999998</v>
      </c>
      <c r="AW45" s="292" t="e">
        <f t="shared" si="75"/>
        <v>#NAME?</v>
      </c>
      <c r="AX45" s="358" t="e">
        <f t="shared" si="95"/>
        <v>#NAME?</v>
      </c>
      <c r="AY45" s="358" t="e">
        <f t="shared" si="68"/>
        <v>#NAME?</v>
      </c>
      <c r="AZ45" s="358" t="e">
        <f t="shared" si="96"/>
        <v>#NAME?</v>
      </c>
      <c r="BA45" s="358" t="e">
        <f t="shared" si="35"/>
        <v>#NAME?</v>
      </c>
      <c r="BB45" s="358" t="e">
        <f t="shared" si="36"/>
        <v>#NAME?</v>
      </c>
      <c r="BC45" s="358" t="e">
        <f t="shared" si="37"/>
        <v>#NAME?</v>
      </c>
      <c r="BD45" s="358" t="e">
        <f t="shared" si="97"/>
        <v>#NAME?</v>
      </c>
      <c r="BE45" s="358" t="e">
        <f t="shared" si="98"/>
        <v>#NAME?</v>
      </c>
      <c r="BF45" s="358" t="e">
        <f t="shared" si="99"/>
        <v>#NAME?</v>
      </c>
      <c r="BG45" s="235" t="e">
        <f t="shared" si="69"/>
        <v>#NAME?</v>
      </c>
      <c r="BH45" s="235" t="e">
        <f t="shared" si="60"/>
        <v>#NAME?</v>
      </c>
      <c r="BI45" s="235" t="e">
        <f t="shared" si="70"/>
        <v>#NAME?</v>
      </c>
      <c r="BJ45" s="175" t="e">
        <f t="shared" si="71"/>
        <v>#NAME?</v>
      </c>
      <c r="BK45" s="233">
        <f>CHOOSE(MODE, I45*1000, 'PFM Efficiency'!BI45)</f>
        <v>58.5</v>
      </c>
      <c r="BL45" s="175">
        <v>87.434045226663045</v>
      </c>
      <c r="BM45" s="235">
        <f t="shared" si="61"/>
        <v>0.87434045226663049</v>
      </c>
      <c r="BN45" s="293" t="e">
        <f t="shared" si="41"/>
        <v>#NAME?</v>
      </c>
      <c r="BO45" s="294"/>
      <c r="BP45" s="235" t="e">
        <f t="shared" si="72"/>
        <v>#NAME?</v>
      </c>
      <c r="BQ45" s="294"/>
      <c r="BR45" s="175" t="e">
        <f t="shared" si="73"/>
        <v>#NAME?</v>
      </c>
      <c r="BS45" s="175" t="e">
        <f t="shared" si="74"/>
        <v>#NAME?</v>
      </c>
      <c r="BT45" s="175" t="e">
        <f t="shared" si="100"/>
        <v>#NAME?</v>
      </c>
      <c r="BU45" s="235"/>
      <c r="BV45" s="235"/>
      <c r="BW45" s="175" t="e">
        <f>IF(MODE=1, BJ45, 'PFM Efficiency'!BH45)</f>
        <v>#NAME?</v>
      </c>
      <c r="BX45" s="175" t="e">
        <f>IF(MODE=1, BR45, 'PFM Efficiency'!BN45)</f>
        <v>#NAME?</v>
      </c>
      <c r="BY45" s="175" t="e">
        <f>IF(MODE=1, BS45, 'PFM Efficiency'!BO45)</f>
        <v>#NAME?</v>
      </c>
      <c r="BZ45" s="175" t="e">
        <f>IF(MODE=1, BT45, 'PFM Efficiency'!BP45)</f>
        <v>#NAME?</v>
      </c>
    </row>
    <row r="46" spans="1:78" ht="13.5" thickBot="1" x14ac:dyDescent="0.25">
      <c r="A46" s="317" t="s">
        <v>378</v>
      </c>
      <c r="B46" s="336"/>
      <c r="C46" s="173" t="s">
        <v>379</v>
      </c>
      <c r="D46" s="174"/>
      <c r="E46" s="174" t="s">
        <v>378</v>
      </c>
      <c r="H46" s="173">
        <v>40</v>
      </c>
      <c r="I46" s="522">
        <f t="shared" si="76"/>
        <v>0.06</v>
      </c>
      <c r="J46" s="233" t="e">
        <f t="shared" si="77"/>
        <v>#NAME?</v>
      </c>
      <c r="K46" s="233" t="e">
        <f t="shared" si="78"/>
        <v>#NAME?</v>
      </c>
      <c r="L46" s="233" t="e">
        <f t="shared" si="79"/>
        <v>#NAME?</v>
      </c>
      <c r="M46" s="290" t="e">
        <f t="shared" si="80"/>
        <v>#NAME?</v>
      </c>
      <c r="N46" s="232" t="e">
        <f t="shared" si="62"/>
        <v>#NAME?</v>
      </c>
      <c r="O46" s="208" t="e">
        <f t="shared" si="81"/>
        <v>#NAME?</v>
      </c>
      <c r="P46" s="291" t="e">
        <f t="shared" si="101"/>
        <v>#NAME?</v>
      </c>
      <c r="Q46" s="291" t="e">
        <f t="shared" si="102"/>
        <v>#NAME?</v>
      </c>
      <c r="R46" s="291" t="e">
        <f t="shared" si="103"/>
        <v>#NAME?</v>
      </c>
      <c r="S46" s="232" t="e">
        <f t="shared" si="104"/>
        <v>#NAME?</v>
      </c>
      <c r="T46" s="232" t="e">
        <f t="shared" si="105"/>
        <v>#NAME?</v>
      </c>
      <c r="U46" s="173" t="e">
        <f t="shared" si="106"/>
        <v>#NAME?</v>
      </c>
      <c r="V46" s="232" t="e">
        <f t="shared" si="63"/>
        <v>#NAME?</v>
      </c>
      <c r="W46" s="233" t="e">
        <f t="shared" si="107"/>
        <v>#NAME?</v>
      </c>
      <c r="X46" s="232" t="e">
        <f t="shared" si="13"/>
        <v>#NAME?</v>
      </c>
      <c r="Y46" s="232" t="e">
        <f t="shared" si="64"/>
        <v>#NAME?</v>
      </c>
      <c r="Z46" s="232" t="e">
        <f t="shared" si="108"/>
        <v>#NAME?</v>
      </c>
      <c r="AA46" s="234" t="e">
        <f t="shared" si="15"/>
        <v>#NAME?</v>
      </c>
      <c r="AB46" s="234" t="e">
        <f t="shared" si="65"/>
        <v>#NAME?</v>
      </c>
      <c r="AC46" s="232" t="e">
        <f t="shared" si="109"/>
        <v>#NAME?</v>
      </c>
      <c r="AD46" s="232" t="e">
        <f t="shared" si="110"/>
        <v>#NAME?</v>
      </c>
      <c r="AE46" s="232" t="e">
        <f t="shared" si="111"/>
        <v>#NAME?</v>
      </c>
      <c r="AF46">
        <v>20</v>
      </c>
      <c r="AG46" s="505" t="e">
        <f t="shared" si="82"/>
        <v>#NAME?</v>
      </c>
      <c r="AH46" s="232" t="e">
        <f t="shared" si="83"/>
        <v>#NAME?</v>
      </c>
      <c r="AI46" s="232" t="e">
        <f t="shared" si="84"/>
        <v>#NAME?</v>
      </c>
      <c r="AJ46" s="232" t="e">
        <f t="shared" si="85"/>
        <v>#NAME?</v>
      </c>
      <c r="AK46" s="232" t="e">
        <f t="shared" si="86"/>
        <v>#NAME?</v>
      </c>
      <c r="AL46" s="232" t="e">
        <f t="shared" si="112"/>
        <v>#NAME?</v>
      </c>
      <c r="AM46" s="232" t="e">
        <f t="shared" si="87"/>
        <v>#NAME?</v>
      </c>
      <c r="AN46" s="232" t="e">
        <f t="shared" si="88"/>
        <v>#NAME?</v>
      </c>
      <c r="AO46" s="232" t="e">
        <f t="shared" si="89"/>
        <v>#NAME?</v>
      </c>
      <c r="AP46" s="232" t="e">
        <f t="shared" si="66"/>
        <v>#NAME?</v>
      </c>
      <c r="AQ46" s="232" t="e">
        <f t="shared" si="90"/>
        <v>#NAME?</v>
      </c>
      <c r="AR46" s="232" t="e">
        <f t="shared" si="91"/>
        <v>#NAME?</v>
      </c>
      <c r="AS46" s="232" t="e">
        <f t="shared" si="92"/>
        <v>#NAME?</v>
      </c>
      <c r="AT46" s="232" t="e">
        <f t="shared" si="67"/>
        <v>#NAME?</v>
      </c>
      <c r="AU46" s="232" t="e">
        <f t="shared" si="93"/>
        <v>#NAME?</v>
      </c>
      <c r="AV46" s="232">
        <f t="shared" si="94"/>
        <v>0.3</v>
      </c>
      <c r="AW46" s="292" t="e">
        <f t="shared" si="75"/>
        <v>#NAME?</v>
      </c>
      <c r="AX46" s="358" t="e">
        <f t="shared" si="95"/>
        <v>#NAME?</v>
      </c>
      <c r="AY46" s="358" t="e">
        <f t="shared" si="68"/>
        <v>#NAME?</v>
      </c>
      <c r="AZ46" s="358" t="e">
        <f t="shared" si="96"/>
        <v>#NAME?</v>
      </c>
      <c r="BA46" s="358" t="e">
        <f t="shared" si="35"/>
        <v>#NAME?</v>
      </c>
      <c r="BB46" s="358" t="e">
        <f t="shared" si="36"/>
        <v>#NAME?</v>
      </c>
      <c r="BC46" s="358" t="e">
        <f t="shared" si="37"/>
        <v>#NAME?</v>
      </c>
      <c r="BD46" s="358" t="e">
        <f t="shared" si="97"/>
        <v>#NAME?</v>
      </c>
      <c r="BE46" s="358" t="e">
        <f t="shared" si="98"/>
        <v>#NAME?</v>
      </c>
      <c r="BF46" s="358" t="e">
        <f t="shared" si="99"/>
        <v>#NAME?</v>
      </c>
      <c r="BG46" s="235" t="e">
        <f t="shared" si="69"/>
        <v>#NAME?</v>
      </c>
      <c r="BH46" s="235" t="e">
        <f t="shared" si="60"/>
        <v>#NAME?</v>
      </c>
      <c r="BI46" s="235" t="e">
        <f t="shared" si="70"/>
        <v>#NAME?</v>
      </c>
      <c r="BJ46" s="175" t="e">
        <f t="shared" si="71"/>
        <v>#NAME?</v>
      </c>
      <c r="BK46" s="233">
        <f>CHOOSE(MODE, I46*1000, 'PFM Efficiency'!BI46)</f>
        <v>60</v>
      </c>
      <c r="BL46" s="175">
        <v>87.435249782574815</v>
      </c>
      <c r="BM46" s="235">
        <f t="shared" si="61"/>
        <v>0.8743524978257482</v>
      </c>
      <c r="BN46" s="293" t="e">
        <f t="shared" si="41"/>
        <v>#NAME?</v>
      </c>
      <c r="BO46" s="294"/>
      <c r="BP46" s="235" t="e">
        <f t="shared" si="72"/>
        <v>#NAME?</v>
      </c>
      <c r="BQ46" s="294"/>
      <c r="BR46" s="175" t="e">
        <f t="shared" si="73"/>
        <v>#NAME?</v>
      </c>
      <c r="BS46" s="175" t="e">
        <f t="shared" si="74"/>
        <v>#NAME?</v>
      </c>
      <c r="BT46" s="175" t="e">
        <f t="shared" si="100"/>
        <v>#NAME?</v>
      </c>
      <c r="BU46" s="235"/>
      <c r="BV46" s="235"/>
      <c r="BW46" s="175" t="e">
        <f>IF(MODE=1, BJ46, 'PFM Efficiency'!BH46)</f>
        <v>#NAME?</v>
      </c>
      <c r="BX46" s="175" t="e">
        <f>IF(MODE=1, BR46, 'PFM Efficiency'!BN46)</f>
        <v>#NAME?</v>
      </c>
      <c r="BY46" s="175" t="e">
        <f>IF(MODE=1, BS46, 'PFM Efficiency'!BO46)</f>
        <v>#NAME?</v>
      </c>
      <c r="BZ46" s="175" t="e">
        <f>IF(MODE=1, BT46, 'PFM Efficiency'!BP46)</f>
        <v>#NAME?</v>
      </c>
    </row>
    <row r="47" spans="1:78" ht="13.5" thickBot="1" x14ac:dyDescent="0.25">
      <c r="A47" s="317" t="s">
        <v>44</v>
      </c>
      <c r="B47" s="335">
        <v>0.75</v>
      </c>
      <c r="C47" s="304" t="s">
        <v>43</v>
      </c>
      <c r="D47" s="174">
        <f>B47/1000000000</f>
        <v>7.5E-10</v>
      </c>
      <c r="E47" s="174" t="s">
        <v>383</v>
      </c>
      <c r="H47" s="173">
        <v>41</v>
      </c>
      <c r="I47" s="522">
        <f t="shared" si="76"/>
        <v>6.1499999999999992E-2</v>
      </c>
      <c r="J47" s="233" t="e">
        <f t="shared" si="77"/>
        <v>#NAME?</v>
      </c>
      <c r="K47" s="233" t="e">
        <f t="shared" si="78"/>
        <v>#NAME?</v>
      </c>
      <c r="L47" s="233" t="e">
        <f t="shared" si="79"/>
        <v>#NAME?</v>
      </c>
      <c r="M47" s="290" t="e">
        <f t="shared" si="80"/>
        <v>#NAME?</v>
      </c>
      <c r="N47" s="232" t="e">
        <f t="shared" si="62"/>
        <v>#NAME?</v>
      </c>
      <c r="O47" s="208" t="e">
        <f t="shared" si="81"/>
        <v>#NAME?</v>
      </c>
      <c r="P47" s="291" t="e">
        <f t="shared" si="101"/>
        <v>#NAME?</v>
      </c>
      <c r="Q47" s="291" t="e">
        <f t="shared" si="102"/>
        <v>#NAME?</v>
      </c>
      <c r="R47" s="291" t="e">
        <f t="shared" si="103"/>
        <v>#NAME?</v>
      </c>
      <c r="S47" s="232" t="e">
        <f t="shared" si="104"/>
        <v>#NAME?</v>
      </c>
      <c r="T47" s="232" t="e">
        <f t="shared" si="105"/>
        <v>#NAME?</v>
      </c>
      <c r="U47" s="173" t="e">
        <f t="shared" si="106"/>
        <v>#NAME?</v>
      </c>
      <c r="V47" s="232" t="e">
        <f t="shared" si="63"/>
        <v>#NAME?</v>
      </c>
      <c r="W47" s="233" t="e">
        <f t="shared" si="107"/>
        <v>#NAME?</v>
      </c>
      <c r="X47" s="232" t="e">
        <f t="shared" si="13"/>
        <v>#NAME?</v>
      </c>
      <c r="Y47" s="232" t="e">
        <f t="shared" si="64"/>
        <v>#NAME?</v>
      </c>
      <c r="Z47" s="232" t="e">
        <f t="shared" si="108"/>
        <v>#NAME?</v>
      </c>
      <c r="AA47" s="234" t="e">
        <f t="shared" si="15"/>
        <v>#NAME?</v>
      </c>
      <c r="AB47" s="234" t="e">
        <f t="shared" si="65"/>
        <v>#NAME?</v>
      </c>
      <c r="AC47" s="232" t="e">
        <f t="shared" si="109"/>
        <v>#NAME?</v>
      </c>
      <c r="AD47" s="232" t="e">
        <f t="shared" si="110"/>
        <v>#NAME?</v>
      </c>
      <c r="AE47" s="232" t="e">
        <f t="shared" si="111"/>
        <v>#NAME?</v>
      </c>
      <c r="AF47">
        <v>20</v>
      </c>
      <c r="AG47" s="505" t="e">
        <f t="shared" si="82"/>
        <v>#NAME?</v>
      </c>
      <c r="AH47" s="232" t="e">
        <f t="shared" si="83"/>
        <v>#NAME?</v>
      </c>
      <c r="AI47" s="232" t="e">
        <f t="shared" si="84"/>
        <v>#NAME?</v>
      </c>
      <c r="AJ47" s="232" t="e">
        <f t="shared" si="85"/>
        <v>#NAME?</v>
      </c>
      <c r="AK47" s="232" t="e">
        <f t="shared" si="86"/>
        <v>#NAME?</v>
      </c>
      <c r="AL47" s="232" t="e">
        <f t="shared" si="112"/>
        <v>#NAME?</v>
      </c>
      <c r="AM47" s="232" t="e">
        <f t="shared" si="87"/>
        <v>#NAME?</v>
      </c>
      <c r="AN47" s="232" t="e">
        <f t="shared" si="88"/>
        <v>#NAME?</v>
      </c>
      <c r="AO47" s="232" t="e">
        <f t="shared" si="89"/>
        <v>#NAME?</v>
      </c>
      <c r="AP47" s="232" t="e">
        <f t="shared" si="66"/>
        <v>#NAME?</v>
      </c>
      <c r="AQ47" s="232" t="e">
        <f t="shared" si="90"/>
        <v>#NAME?</v>
      </c>
      <c r="AR47" s="232" t="e">
        <f t="shared" si="91"/>
        <v>#NAME?</v>
      </c>
      <c r="AS47" s="232" t="e">
        <f t="shared" si="92"/>
        <v>#NAME?</v>
      </c>
      <c r="AT47" s="232" t="e">
        <f t="shared" si="67"/>
        <v>#NAME?</v>
      </c>
      <c r="AU47" s="232" t="e">
        <f t="shared" si="93"/>
        <v>#NAME?</v>
      </c>
      <c r="AV47" s="232">
        <f t="shared" si="94"/>
        <v>0.30749999999999994</v>
      </c>
      <c r="AW47" s="292" t="e">
        <f t="shared" si="75"/>
        <v>#NAME?</v>
      </c>
      <c r="AX47" s="358" t="e">
        <f t="shared" si="95"/>
        <v>#NAME?</v>
      </c>
      <c r="AY47" s="358" t="e">
        <f t="shared" si="68"/>
        <v>#NAME?</v>
      </c>
      <c r="AZ47" s="358" t="e">
        <f t="shared" si="96"/>
        <v>#NAME?</v>
      </c>
      <c r="BA47" s="358" t="e">
        <f t="shared" si="35"/>
        <v>#NAME?</v>
      </c>
      <c r="BB47" s="358" t="e">
        <f t="shared" si="36"/>
        <v>#NAME?</v>
      </c>
      <c r="BC47" s="358" t="e">
        <f t="shared" si="37"/>
        <v>#NAME?</v>
      </c>
      <c r="BD47" s="358" t="e">
        <f t="shared" si="97"/>
        <v>#NAME?</v>
      </c>
      <c r="BE47" s="358" t="e">
        <f t="shared" si="98"/>
        <v>#NAME?</v>
      </c>
      <c r="BF47" s="358" t="e">
        <f t="shared" si="99"/>
        <v>#NAME?</v>
      </c>
      <c r="BG47" s="235" t="e">
        <f t="shared" si="69"/>
        <v>#NAME?</v>
      </c>
      <c r="BH47" s="235" t="e">
        <f t="shared" si="60"/>
        <v>#NAME?</v>
      </c>
      <c r="BI47" s="235" t="e">
        <f t="shared" si="70"/>
        <v>#NAME?</v>
      </c>
      <c r="BJ47" s="175" t="e">
        <f t="shared" si="71"/>
        <v>#NAME?</v>
      </c>
      <c r="BK47" s="233">
        <f>CHOOSE(MODE, I47*1000, 'PFM Efficiency'!BI47)</f>
        <v>61.499999999999993</v>
      </c>
      <c r="BL47" s="175">
        <v>87.436326249363404</v>
      </c>
      <c r="BM47" s="235">
        <f t="shared" si="61"/>
        <v>0.87436326249363405</v>
      </c>
      <c r="BN47" s="293" t="e">
        <f t="shared" si="41"/>
        <v>#NAME?</v>
      </c>
      <c r="BO47" s="294"/>
      <c r="BP47" s="235" t="e">
        <f t="shared" si="72"/>
        <v>#NAME?</v>
      </c>
      <c r="BQ47" s="294"/>
      <c r="BR47" s="175" t="e">
        <f t="shared" si="73"/>
        <v>#NAME?</v>
      </c>
      <c r="BS47" s="175" t="e">
        <f t="shared" si="74"/>
        <v>#NAME?</v>
      </c>
      <c r="BT47" s="175" t="e">
        <f t="shared" si="100"/>
        <v>#NAME?</v>
      </c>
      <c r="BU47" s="235"/>
      <c r="BV47" s="235"/>
      <c r="BW47" s="175" t="e">
        <f>IF(MODE=1, BJ47, 'PFM Efficiency'!BH47)</f>
        <v>#NAME?</v>
      </c>
      <c r="BX47" s="175" t="e">
        <f>IF(MODE=1, BR47, 'PFM Efficiency'!BN47)</f>
        <v>#NAME?</v>
      </c>
      <c r="BY47" s="175" t="e">
        <f>IF(MODE=1, BS47, 'PFM Efficiency'!BO47)</f>
        <v>#NAME?</v>
      </c>
      <c r="BZ47" s="175" t="e">
        <f>IF(MODE=1, BT47, 'PFM Efficiency'!BP47)</f>
        <v>#NAME?</v>
      </c>
    </row>
    <row r="48" spans="1:78" ht="13.5" thickBot="1" x14ac:dyDescent="0.25">
      <c r="A48" s="334" t="s">
        <v>384</v>
      </c>
      <c r="B48" s="335">
        <v>0.8</v>
      </c>
      <c r="C48" s="174" t="s">
        <v>0</v>
      </c>
      <c r="D48" s="174">
        <f>B48</f>
        <v>0.8</v>
      </c>
      <c r="E48" s="174" t="s">
        <v>385</v>
      </c>
      <c r="H48" s="173">
        <v>42</v>
      </c>
      <c r="I48" s="522">
        <f t="shared" si="76"/>
        <v>6.3E-2</v>
      </c>
      <c r="J48" s="233" t="e">
        <f t="shared" si="77"/>
        <v>#NAME?</v>
      </c>
      <c r="K48" s="233" t="e">
        <f t="shared" si="78"/>
        <v>#NAME?</v>
      </c>
      <c r="L48" s="233" t="e">
        <f t="shared" si="79"/>
        <v>#NAME?</v>
      </c>
      <c r="M48" s="290" t="e">
        <f t="shared" si="80"/>
        <v>#NAME?</v>
      </c>
      <c r="N48" s="232" t="e">
        <f t="shared" si="62"/>
        <v>#NAME?</v>
      </c>
      <c r="O48" s="208" t="e">
        <f t="shared" si="81"/>
        <v>#NAME?</v>
      </c>
      <c r="P48" s="291" t="e">
        <f t="shared" si="101"/>
        <v>#NAME?</v>
      </c>
      <c r="Q48" s="291" t="e">
        <f t="shared" si="102"/>
        <v>#NAME?</v>
      </c>
      <c r="R48" s="291" t="e">
        <f t="shared" si="103"/>
        <v>#NAME?</v>
      </c>
      <c r="S48" s="232" t="e">
        <f t="shared" si="104"/>
        <v>#NAME?</v>
      </c>
      <c r="T48" s="232" t="e">
        <f t="shared" si="105"/>
        <v>#NAME?</v>
      </c>
      <c r="U48" s="173" t="e">
        <f t="shared" si="106"/>
        <v>#NAME?</v>
      </c>
      <c r="V48" s="232" t="e">
        <f t="shared" si="63"/>
        <v>#NAME?</v>
      </c>
      <c r="W48" s="233" t="e">
        <f t="shared" si="107"/>
        <v>#NAME?</v>
      </c>
      <c r="X48" s="232" t="e">
        <f t="shared" si="13"/>
        <v>#NAME?</v>
      </c>
      <c r="Y48" s="232" t="e">
        <f t="shared" si="64"/>
        <v>#NAME?</v>
      </c>
      <c r="Z48" s="232" t="e">
        <f t="shared" si="108"/>
        <v>#NAME?</v>
      </c>
      <c r="AA48" s="234" t="e">
        <f t="shared" si="15"/>
        <v>#NAME?</v>
      </c>
      <c r="AB48" s="234" t="e">
        <f t="shared" si="65"/>
        <v>#NAME?</v>
      </c>
      <c r="AC48" s="232" t="e">
        <f t="shared" si="109"/>
        <v>#NAME?</v>
      </c>
      <c r="AD48" s="232" t="e">
        <f t="shared" si="110"/>
        <v>#NAME?</v>
      </c>
      <c r="AE48" s="232" t="e">
        <f t="shared" si="111"/>
        <v>#NAME?</v>
      </c>
      <c r="AF48">
        <v>20</v>
      </c>
      <c r="AG48" s="505" t="e">
        <f t="shared" si="82"/>
        <v>#NAME?</v>
      </c>
      <c r="AH48" s="232" t="e">
        <f t="shared" si="83"/>
        <v>#NAME?</v>
      </c>
      <c r="AI48" s="232" t="e">
        <f t="shared" si="84"/>
        <v>#NAME?</v>
      </c>
      <c r="AJ48" s="232" t="e">
        <f t="shared" si="85"/>
        <v>#NAME?</v>
      </c>
      <c r="AK48" s="232" t="e">
        <f t="shared" si="86"/>
        <v>#NAME?</v>
      </c>
      <c r="AL48" s="232" t="e">
        <f t="shared" si="112"/>
        <v>#NAME?</v>
      </c>
      <c r="AM48" s="232" t="e">
        <f t="shared" si="87"/>
        <v>#NAME?</v>
      </c>
      <c r="AN48" s="232" t="e">
        <f t="shared" si="88"/>
        <v>#NAME?</v>
      </c>
      <c r="AO48" s="232" t="e">
        <f t="shared" si="89"/>
        <v>#NAME?</v>
      </c>
      <c r="AP48" s="232" t="e">
        <f t="shared" si="66"/>
        <v>#NAME?</v>
      </c>
      <c r="AQ48" s="232" t="e">
        <f t="shared" si="90"/>
        <v>#NAME?</v>
      </c>
      <c r="AR48" s="232" t="e">
        <f t="shared" si="91"/>
        <v>#NAME?</v>
      </c>
      <c r="AS48" s="232" t="e">
        <f t="shared" si="92"/>
        <v>#NAME?</v>
      </c>
      <c r="AT48" s="232" t="e">
        <f t="shared" si="67"/>
        <v>#NAME?</v>
      </c>
      <c r="AU48" s="232" t="e">
        <f t="shared" si="93"/>
        <v>#NAME?</v>
      </c>
      <c r="AV48" s="232">
        <f t="shared" si="94"/>
        <v>0.315</v>
      </c>
      <c r="AW48" s="292" t="e">
        <f t="shared" si="75"/>
        <v>#NAME?</v>
      </c>
      <c r="AX48" s="358" t="e">
        <f t="shared" si="95"/>
        <v>#NAME?</v>
      </c>
      <c r="AY48" s="358" t="e">
        <f t="shared" si="68"/>
        <v>#NAME?</v>
      </c>
      <c r="AZ48" s="358" t="e">
        <f t="shared" si="96"/>
        <v>#NAME?</v>
      </c>
      <c r="BA48" s="358" t="e">
        <f t="shared" si="35"/>
        <v>#NAME?</v>
      </c>
      <c r="BB48" s="358" t="e">
        <f t="shared" si="36"/>
        <v>#NAME?</v>
      </c>
      <c r="BC48" s="358" t="e">
        <f t="shared" si="37"/>
        <v>#NAME?</v>
      </c>
      <c r="BD48" s="358" t="e">
        <f t="shared" si="97"/>
        <v>#NAME?</v>
      </c>
      <c r="BE48" s="358" t="e">
        <f t="shared" si="98"/>
        <v>#NAME?</v>
      </c>
      <c r="BF48" s="358" t="e">
        <f t="shared" si="99"/>
        <v>#NAME?</v>
      </c>
      <c r="BG48" s="235" t="e">
        <f t="shared" si="69"/>
        <v>#NAME?</v>
      </c>
      <c r="BH48" s="235" t="e">
        <f t="shared" si="60"/>
        <v>#NAME?</v>
      </c>
      <c r="BI48" s="235" t="e">
        <f t="shared" si="70"/>
        <v>#NAME?</v>
      </c>
      <c r="BJ48" s="175" t="e">
        <f t="shared" si="71"/>
        <v>#NAME?</v>
      </c>
      <c r="BK48" s="233">
        <f>CHOOSE(MODE, I48*1000, 'PFM Efficiency'!BI48)</f>
        <v>63</v>
      </c>
      <c r="BL48" s="175">
        <v>87.437283731440814</v>
      </c>
      <c r="BM48" s="235">
        <f t="shared" si="61"/>
        <v>0.87437283731440818</v>
      </c>
      <c r="BN48" s="293" t="e">
        <f t="shared" si="41"/>
        <v>#NAME?</v>
      </c>
      <c r="BO48" s="294"/>
      <c r="BP48" s="235" t="e">
        <f t="shared" si="72"/>
        <v>#NAME?</v>
      </c>
      <c r="BQ48" s="294"/>
      <c r="BR48" s="175" t="e">
        <f t="shared" si="73"/>
        <v>#NAME?</v>
      </c>
      <c r="BS48" s="175" t="e">
        <f t="shared" si="74"/>
        <v>#NAME?</v>
      </c>
      <c r="BT48" s="175" t="e">
        <f t="shared" si="100"/>
        <v>#NAME?</v>
      </c>
      <c r="BU48" s="235"/>
      <c r="BV48" s="235"/>
      <c r="BW48" s="175" t="e">
        <f>IF(MODE=1, BJ48, 'PFM Efficiency'!BH48)</f>
        <v>#NAME?</v>
      </c>
      <c r="BX48" s="175" t="e">
        <f>IF(MODE=1, BR48, 'PFM Efficiency'!BN48)</f>
        <v>#NAME?</v>
      </c>
      <c r="BY48" s="175" t="e">
        <f>IF(MODE=1, BS48, 'PFM Efficiency'!BO48)</f>
        <v>#NAME?</v>
      </c>
      <c r="BZ48" s="175" t="e">
        <f>IF(MODE=1, BT48, 'PFM Efficiency'!BP48)</f>
        <v>#NAME?</v>
      </c>
    </row>
    <row r="49" spans="1:78" ht="13.5" thickBot="1" x14ac:dyDescent="0.25">
      <c r="A49" s="334" t="s">
        <v>386</v>
      </c>
      <c r="B49" s="335">
        <v>100</v>
      </c>
      <c r="C49" s="298" t="s">
        <v>356</v>
      </c>
      <c r="D49" s="174">
        <f>B49*0.001</f>
        <v>0.1</v>
      </c>
      <c r="E49" s="174" t="s">
        <v>387</v>
      </c>
      <c r="H49" s="173">
        <v>43</v>
      </c>
      <c r="I49" s="522">
        <f t="shared" si="76"/>
        <v>6.4500000000000002E-2</v>
      </c>
      <c r="J49" s="233" t="e">
        <f t="shared" si="77"/>
        <v>#NAME?</v>
      </c>
      <c r="K49" s="233" t="e">
        <f t="shared" si="78"/>
        <v>#NAME?</v>
      </c>
      <c r="L49" s="233" t="e">
        <f t="shared" si="79"/>
        <v>#NAME?</v>
      </c>
      <c r="M49" s="290" t="e">
        <f t="shared" si="80"/>
        <v>#NAME?</v>
      </c>
      <c r="N49" s="232" t="e">
        <f t="shared" si="62"/>
        <v>#NAME?</v>
      </c>
      <c r="O49" s="208" t="e">
        <f t="shared" si="81"/>
        <v>#NAME?</v>
      </c>
      <c r="P49" s="291" t="e">
        <f t="shared" si="101"/>
        <v>#NAME?</v>
      </c>
      <c r="Q49" s="291" t="e">
        <f t="shared" si="102"/>
        <v>#NAME?</v>
      </c>
      <c r="R49" s="291" t="e">
        <f t="shared" si="103"/>
        <v>#NAME?</v>
      </c>
      <c r="S49" s="232" t="e">
        <f t="shared" si="104"/>
        <v>#NAME?</v>
      </c>
      <c r="T49" s="232" t="e">
        <f t="shared" si="105"/>
        <v>#NAME?</v>
      </c>
      <c r="U49" s="173" t="e">
        <f t="shared" si="106"/>
        <v>#NAME?</v>
      </c>
      <c r="V49" s="232" t="e">
        <f t="shared" si="63"/>
        <v>#NAME?</v>
      </c>
      <c r="W49" s="233" t="e">
        <f t="shared" si="107"/>
        <v>#NAME?</v>
      </c>
      <c r="X49" s="232" t="e">
        <f t="shared" si="13"/>
        <v>#NAME?</v>
      </c>
      <c r="Y49" s="232" t="e">
        <f t="shared" si="64"/>
        <v>#NAME?</v>
      </c>
      <c r="Z49" s="232" t="e">
        <f t="shared" si="108"/>
        <v>#NAME?</v>
      </c>
      <c r="AA49" s="234" t="e">
        <f t="shared" si="15"/>
        <v>#NAME?</v>
      </c>
      <c r="AB49" s="234" t="e">
        <f t="shared" si="65"/>
        <v>#NAME?</v>
      </c>
      <c r="AC49" s="232" t="e">
        <f t="shared" si="109"/>
        <v>#NAME?</v>
      </c>
      <c r="AD49" s="232" t="e">
        <f t="shared" si="110"/>
        <v>#NAME?</v>
      </c>
      <c r="AE49" s="232" t="e">
        <f t="shared" si="111"/>
        <v>#NAME?</v>
      </c>
      <c r="AF49">
        <v>20</v>
      </c>
      <c r="AG49" s="505" t="e">
        <f t="shared" si="82"/>
        <v>#NAME?</v>
      </c>
      <c r="AH49" s="232" t="e">
        <f t="shared" si="83"/>
        <v>#NAME?</v>
      </c>
      <c r="AI49" s="232" t="e">
        <f t="shared" si="84"/>
        <v>#NAME?</v>
      </c>
      <c r="AJ49" s="232" t="e">
        <f t="shared" si="85"/>
        <v>#NAME?</v>
      </c>
      <c r="AK49" s="232" t="e">
        <f t="shared" si="86"/>
        <v>#NAME?</v>
      </c>
      <c r="AL49" s="232" t="e">
        <f t="shared" si="112"/>
        <v>#NAME?</v>
      </c>
      <c r="AM49" s="232" t="e">
        <f t="shared" si="87"/>
        <v>#NAME?</v>
      </c>
      <c r="AN49" s="232" t="e">
        <f t="shared" si="88"/>
        <v>#NAME?</v>
      </c>
      <c r="AO49" s="232" t="e">
        <f t="shared" si="89"/>
        <v>#NAME?</v>
      </c>
      <c r="AP49" s="232" t="e">
        <f t="shared" si="66"/>
        <v>#NAME?</v>
      </c>
      <c r="AQ49" s="232" t="e">
        <f t="shared" si="90"/>
        <v>#NAME?</v>
      </c>
      <c r="AR49" s="232" t="e">
        <f t="shared" si="91"/>
        <v>#NAME?</v>
      </c>
      <c r="AS49" s="232" t="e">
        <f t="shared" si="92"/>
        <v>#NAME?</v>
      </c>
      <c r="AT49" s="232" t="e">
        <f t="shared" si="67"/>
        <v>#NAME?</v>
      </c>
      <c r="AU49" s="232" t="e">
        <f t="shared" si="93"/>
        <v>#NAME?</v>
      </c>
      <c r="AV49" s="232">
        <f t="shared" si="94"/>
        <v>0.32250000000000001</v>
      </c>
      <c r="AW49" s="292" t="e">
        <f t="shared" si="75"/>
        <v>#NAME?</v>
      </c>
      <c r="AX49" s="358" t="e">
        <f t="shared" si="95"/>
        <v>#NAME?</v>
      </c>
      <c r="AY49" s="358" t="e">
        <f t="shared" si="68"/>
        <v>#NAME?</v>
      </c>
      <c r="AZ49" s="358" t="e">
        <f t="shared" si="96"/>
        <v>#NAME?</v>
      </c>
      <c r="BA49" s="358" t="e">
        <f t="shared" si="35"/>
        <v>#NAME?</v>
      </c>
      <c r="BB49" s="358" t="e">
        <f t="shared" si="36"/>
        <v>#NAME?</v>
      </c>
      <c r="BC49" s="358" t="e">
        <f t="shared" si="37"/>
        <v>#NAME?</v>
      </c>
      <c r="BD49" s="358" t="e">
        <f t="shared" si="97"/>
        <v>#NAME?</v>
      </c>
      <c r="BE49" s="358" t="e">
        <f t="shared" si="98"/>
        <v>#NAME?</v>
      </c>
      <c r="BF49" s="358" t="e">
        <f t="shared" si="99"/>
        <v>#NAME?</v>
      </c>
      <c r="BG49" s="235" t="e">
        <f t="shared" si="69"/>
        <v>#NAME?</v>
      </c>
      <c r="BH49" s="235" t="e">
        <f t="shared" si="60"/>
        <v>#NAME?</v>
      </c>
      <c r="BI49" s="235" t="e">
        <f t="shared" si="70"/>
        <v>#NAME?</v>
      </c>
      <c r="BJ49" s="175" t="e">
        <f t="shared" si="71"/>
        <v>#NAME?</v>
      </c>
      <c r="BK49" s="233">
        <f>CHOOSE(MODE, I49*1000, 'PFM Efficiency'!BI49)</f>
        <v>64.5</v>
      </c>
      <c r="BL49" s="175">
        <v>87.438130487841121</v>
      </c>
      <c r="BM49" s="235">
        <f t="shared" si="61"/>
        <v>0.87438130487841126</v>
      </c>
      <c r="BN49" s="293" t="e">
        <f t="shared" si="41"/>
        <v>#NAME?</v>
      </c>
      <c r="BO49" s="294"/>
      <c r="BP49" s="235" t="e">
        <f t="shared" si="72"/>
        <v>#NAME?</v>
      </c>
      <c r="BQ49" s="294"/>
      <c r="BR49" s="175" t="e">
        <f t="shared" si="73"/>
        <v>#NAME?</v>
      </c>
      <c r="BS49" s="175" t="e">
        <f t="shared" si="74"/>
        <v>#NAME?</v>
      </c>
      <c r="BT49" s="175" t="e">
        <f t="shared" si="100"/>
        <v>#NAME?</v>
      </c>
      <c r="BU49" s="235"/>
      <c r="BV49" s="235"/>
      <c r="BW49" s="175" t="e">
        <f>IF(MODE=1, BJ49, 'PFM Efficiency'!BH49)</f>
        <v>#NAME?</v>
      </c>
      <c r="BX49" s="175" t="e">
        <f>IF(MODE=1, BR49, 'PFM Efficiency'!BN49)</f>
        <v>#NAME?</v>
      </c>
      <c r="BY49" s="175" t="e">
        <f>IF(MODE=1, BS49, 'PFM Efficiency'!BO49)</f>
        <v>#NAME?</v>
      </c>
      <c r="BZ49" s="175" t="e">
        <f>IF(MODE=1, BT49, 'PFM Efficiency'!BP49)</f>
        <v>#NAME?</v>
      </c>
    </row>
    <row r="50" spans="1:78" ht="13.5" thickBot="1" x14ac:dyDescent="0.25">
      <c r="A50" s="317" t="s">
        <v>48</v>
      </c>
      <c r="B50" s="335">
        <v>2</v>
      </c>
      <c r="C50" s="304" t="s">
        <v>43</v>
      </c>
      <c r="D50" s="306">
        <f>B50*0.000000001</f>
        <v>2.0000000000000001E-9</v>
      </c>
      <c r="E50" s="174" t="s">
        <v>388</v>
      </c>
      <c r="H50" s="173">
        <v>44</v>
      </c>
      <c r="I50" s="522">
        <f t="shared" si="76"/>
        <v>6.6000000000000003E-2</v>
      </c>
      <c r="J50" s="233" t="e">
        <f t="shared" si="77"/>
        <v>#NAME?</v>
      </c>
      <c r="K50" s="233" t="e">
        <f t="shared" si="78"/>
        <v>#NAME?</v>
      </c>
      <c r="L50" s="233" t="e">
        <f t="shared" si="79"/>
        <v>#NAME?</v>
      </c>
      <c r="M50" s="290" t="e">
        <f t="shared" si="80"/>
        <v>#NAME?</v>
      </c>
      <c r="N50" s="232" t="e">
        <f t="shared" si="62"/>
        <v>#NAME?</v>
      </c>
      <c r="O50" s="208" t="e">
        <f t="shared" si="81"/>
        <v>#NAME?</v>
      </c>
      <c r="P50" s="291" t="e">
        <f t="shared" si="101"/>
        <v>#NAME?</v>
      </c>
      <c r="Q50" s="291" t="e">
        <f t="shared" si="102"/>
        <v>#NAME?</v>
      </c>
      <c r="R50" s="291" t="e">
        <f t="shared" si="103"/>
        <v>#NAME?</v>
      </c>
      <c r="S50" s="232" t="e">
        <f t="shared" si="104"/>
        <v>#NAME?</v>
      </c>
      <c r="T50" s="232" t="e">
        <f t="shared" si="105"/>
        <v>#NAME?</v>
      </c>
      <c r="U50" s="173" t="e">
        <f t="shared" si="106"/>
        <v>#NAME?</v>
      </c>
      <c r="V50" s="232" t="e">
        <f t="shared" si="63"/>
        <v>#NAME?</v>
      </c>
      <c r="W50" s="233" t="e">
        <f t="shared" si="107"/>
        <v>#NAME?</v>
      </c>
      <c r="X50" s="232" t="e">
        <f t="shared" si="13"/>
        <v>#NAME?</v>
      </c>
      <c r="Y50" s="232" t="e">
        <f t="shared" si="64"/>
        <v>#NAME?</v>
      </c>
      <c r="Z50" s="232" t="e">
        <f t="shared" si="108"/>
        <v>#NAME?</v>
      </c>
      <c r="AA50" s="234" t="e">
        <f t="shared" si="15"/>
        <v>#NAME?</v>
      </c>
      <c r="AB50" s="234" t="e">
        <f t="shared" si="65"/>
        <v>#NAME?</v>
      </c>
      <c r="AC50" s="232" t="e">
        <f t="shared" si="109"/>
        <v>#NAME?</v>
      </c>
      <c r="AD50" s="232" t="e">
        <f t="shared" si="110"/>
        <v>#NAME?</v>
      </c>
      <c r="AE50" s="232" t="e">
        <f t="shared" si="111"/>
        <v>#NAME?</v>
      </c>
      <c r="AF50">
        <v>20</v>
      </c>
      <c r="AG50" s="505" t="e">
        <f t="shared" si="82"/>
        <v>#NAME?</v>
      </c>
      <c r="AH50" s="232" t="e">
        <f t="shared" si="83"/>
        <v>#NAME?</v>
      </c>
      <c r="AI50" s="232" t="e">
        <f t="shared" si="84"/>
        <v>#NAME?</v>
      </c>
      <c r="AJ50" s="232" t="e">
        <f t="shared" si="85"/>
        <v>#NAME?</v>
      </c>
      <c r="AK50" s="232" t="e">
        <f t="shared" si="86"/>
        <v>#NAME?</v>
      </c>
      <c r="AL50" s="232" t="e">
        <f t="shared" si="112"/>
        <v>#NAME?</v>
      </c>
      <c r="AM50" s="232" t="e">
        <f t="shared" si="87"/>
        <v>#NAME?</v>
      </c>
      <c r="AN50" s="232" t="e">
        <f t="shared" si="88"/>
        <v>#NAME?</v>
      </c>
      <c r="AO50" s="232" t="e">
        <f t="shared" si="89"/>
        <v>#NAME?</v>
      </c>
      <c r="AP50" s="232" t="e">
        <f t="shared" si="66"/>
        <v>#NAME?</v>
      </c>
      <c r="AQ50" s="232" t="e">
        <f t="shared" si="90"/>
        <v>#NAME?</v>
      </c>
      <c r="AR50" s="232" t="e">
        <f t="shared" si="91"/>
        <v>#NAME?</v>
      </c>
      <c r="AS50" s="232" t="e">
        <f t="shared" si="92"/>
        <v>#NAME?</v>
      </c>
      <c r="AT50" s="232" t="e">
        <f t="shared" si="67"/>
        <v>#NAME?</v>
      </c>
      <c r="AU50" s="232" t="e">
        <f t="shared" si="93"/>
        <v>#NAME?</v>
      </c>
      <c r="AV50" s="232">
        <f t="shared" si="94"/>
        <v>0.33</v>
      </c>
      <c r="AW50" s="292" t="e">
        <f t="shared" si="75"/>
        <v>#NAME?</v>
      </c>
      <c r="AX50" s="358" t="e">
        <f t="shared" si="95"/>
        <v>#NAME?</v>
      </c>
      <c r="AY50" s="358" t="e">
        <f t="shared" si="68"/>
        <v>#NAME?</v>
      </c>
      <c r="AZ50" s="358" t="e">
        <f t="shared" si="96"/>
        <v>#NAME?</v>
      </c>
      <c r="BA50" s="358" t="e">
        <f t="shared" si="35"/>
        <v>#NAME?</v>
      </c>
      <c r="BB50" s="358" t="e">
        <f t="shared" si="36"/>
        <v>#NAME?</v>
      </c>
      <c r="BC50" s="358" t="e">
        <f t="shared" si="37"/>
        <v>#NAME?</v>
      </c>
      <c r="BD50" s="358" t="e">
        <f t="shared" si="97"/>
        <v>#NAME?</v>
      </c>
      <c r="BE50" s="358" t="e">
        <f t="shared" si="98"/>
        <v>#NAME?</v>
      </c>
      <c r="BF50" s="358" t="e">
        <f t="shared" si="99"/>
        <v>#NAME?</v>
      </c>
      <c r="BG50" s="235" t="e">
        <f t="shared" si="69"/>
        <v>#NAME?</v>
      </c>
      <c r="BH50" s="235" t="e">
        <f t="shared" si="60"/>
        <v>#NAME?</v>
      </c>
      <c r="BI50" s="235" t="e">
        <f t="shared" si="70"/>
        <v>#NAME?</v>
      </c>
      <c r="BJ50" s="175" t="e">
        <f t="shared" si="71"/>
        <v>#NAME?</v>
      </c>
      <c r="BK50" s="233">
        <f>CHOOSE(MODE, I50*1000, 'PFM Efficiency'!BI50)</f>
        <v>66</v>
      </c>
      <c r="BL50" s="175">
        <v>87.438874028184088</v>
      </c>
      <c r="BM50" s="235">
        <f t="shared" si="61"/>
        <v>0.87438874028184088</v>
      </c>
      <c r="BN50" s="293" t="e">
        <f t="shared" si="41"/>
        <v>#NAME?</v>
      </c>
      <c r="BO50" s="294"/>
      <c r="BP50" s="235" t="e">
        <f t="shared" si="72"/>
        <v>#NAME?</v>
      </c>
      <c r="BQ50" s="294"/>
      <c r="BR50" s="175" t="e">
        <f t="shared" si="73"/>
        <v>#NAME?</v>
      </c>
      <c r="BS50" s="175" t="e">
        <f t="shared" si="74"/>
        <v>#NAME?</v>
      </c>
      <c r="BT50" s="175" t="e">
        <f t="shared" si="100"/>
        <v>#NAME?</v>
      </c>
      <c r="BU50" s="235"/>
      <c r="BV50" s="235"/>
      <c r="BW50" s="175" t="e">
        <f>IF(MODE=1, BJ50, 'PFM Efficiency'!BH50)</f>
        <v>#NAME?</v>
      </c>
      <c r="BX50" s="175" t="e">
        <f>IF(MODE=1, BR50, 'PFM Efficiency'!BN50)</f>
        <v>#NAME?</v>
      </c>
      <c r="BY50" s="175" t="e">
        <f>IF(MODE=1, BS50, 'PFM Efficiency'!BO50)</f>
        <v>#NAME?</v>
      </c>
      <c r="BZ50" s="175" t="e">
        <f>IF(MODE=1, BT50, 'PFM Efficiency'!BP50)</f>
        <v>#NAME?</v>
      </c>
    </row>
    <row r="51" spans="1:78" ht="13.5" thickBot="1" x14ac:dyDescent="0.25">
      <c r="A51" s="317" t="s">
        <v>49</v>
      </c>
      <c r="B51" s="335">
        <v>10</v>
      </c>
      <c r="C51" s="304" t="s">
        <v>50</v>
      </c>
      <c r="D51" s="306">
        <f>B51*0.000000001</f>
        <v>1E-8</v>
      </c>
      <c r="E51" s="174" t="s">
        <v>389</v>
      </c>
      <c r="H51" s="173">
        <v>45</v>
      </c>
      <c r="I51" s="522">
        <f t="shared" si="76"/>
        <v>6.7500000000000004E-2</v>
      </c>
      <c r="J51" s="233" t="e">
        <f t="shared" si="77"/>
        <v>#NAME?</v>
      </c>
      <c r="K51" s="233" t="e">
        <f t="shared" si="78"/>
        <v>#NAME?</v>
      </c>
      <c r="L51" s="233" t="e">
        <f t="shared" si="79"/>
        <v>#NAME?</v>
      </c>
      <c r="M51" s="290" t="e">
        <f t="shared" si="80"/>
        <v>#NAME?</v>
      </c>
      <c r="N51" s="232" t="e">
        <f t="shared" si="62"/>
        <v>#NAME?</v>
      </c>
      <c r="O51" s="208" t="e">
        <f t="shared" si="81"/>
        <v>#NAME?</v>
      </c>
      <c r="P51" s="291" t="e">
        <f t="shared" si="101"/>
        <v>#NAME?</v>
      </c>
      <c r="Q51" s="291" t="e">
        <f t="shared" si="102"/>
        <v>#NAME?</v>
      </c>
      <c r="R51" s="291" t="e">
        <f t="shared" si="103"/>
        <v>#NAME?</v>
      </c>
      <c r="S51" s="232" t="e">
        <f t="shared" si="104"/>
        <v>#NAME?</v>
      </c>
      <c r="T51" s="232" t="e">
        <f t="shared" si="105"/>
        <v>#NAME?</v>
      </c>
      <c r="U51" s="173" t="e">
        <f t="shared" si="106"/>
        <v>#NAME?</v>
      </c>
      <c r="V51" s="232" t="e">
        <f t="shared" si="63"/>
        <v>#NAME?</v>
      </c>
      <c r="W51" s="233" t="e">
        <f t="shared" si="107"/>
        <v>#NAME?</v>
      </c>
      <c r="X51" s="232" t="e">
        <f t="shared" si="13"/>
        <v>#NAME?</v>
      </c>
      <c r="Y51" s="232" t="e">
        <f t="shared" si="64"/>
        <v>#NAME?</v>
      </c>
      <c r="Z51" s="232" t="e">
        <f t="shared" si="108"/>
        <v>#NAME?</v>
      </c>
      <c r="AA51" s="234" t="e">
        <f t="shared" si="15"/>
        <v>#NAME?</v>
      </c>
      <c r="AB51" s="234" t="e">
        <f t="shared" si="65"/>
        <v>#NAME?</v>
      </c>
      <c r="AC51" s="232" t="e">
        <f t="shared" si="109"/>
        <v>#NAME?</v>
      </c>
      <c r="AD51" s="232" t="e">
        <f t="shared" si="110"/>
        <v>#NAME?</v>
      </c>
      <c r="AE51" s="232" t="e">
        <f t="shared" si="111"/>
        <v>#NAME?</v>
      </c>
      <c r="AF51">
        <v>20</v>
      </c>
      <c r="AG51" s="505" t="e">
        <f t="shared" si="82"/>
        <v>#NAME?</v>
      </c>
      <c r="AH51" s="232" t="e">
        <f t="shared" si="83"/>
        <v>#NAME?</v>
      </c>
      <c r="AI51" s="232" t="e">
        <f t="shared" si="84"/>
        <v>#NAME?</v>
      </c>
      <c r="AJ51" s="232" t="e">
        <f t="shared" si="85"/>
        <v>#NAME?</v>
      </c>
      <c r="AK51" s="232" t="e">
        <f t="shared" si="86"/>
        <v>#NAME?</v>
      </c>
      <c r="AL51" s="232" t="e">
        <f t="shared" si="112"/>
        <v>#NAME?</v>
      </c>
      <c r="AM51" s="232" t="e">
        <f t="shared" si="87"/>
        <v>#NAME?</v>
      </c>
      <c r="AN51" s="232" t="e">
        <f t="shared" si="88"/>
        <v>#NAME?</v>
      </c>
      <c r="AO51" s="232" t="e">
        <f t="shared" si="89"/>
        <v>#NAME?</v>
      </c>
      <c r="AP51" s="232" t="e">
        <f t="shared" si="66"/>
        <v>#NAME?</v>
      </c>
      <c r="AQ51" s="232" t="e">
        <f t="shared" si="90"/>
        <v>#NAME?</v>
      </c>
      <c r="AR51" s="232" t="e">
        <f t="shared" si="91"/>
        <v>#NAME?</v>
      </c>
      <c r="AS51" s="232" t="e">
        <f t="shared" si="92"/>
        <v>#NAME?</v>
      </c>
      <c r="AT51" s="232" t="e">
        <f t="shared" si="67"/>
        <v>#NAME?</v>
      </c>
      <c r="AU51" s="232" t="e">
        <f t="shared" si="93"/>
        <v>#NAME?</v>
      </c>
      <c r="AV51" s="232">
        <f t="shared" si="94"/>
        <v>0.33750000000000002</v>
      </c>
      <c r="AW51" s="292" t="e">
        <f t="shared" si="75"/>
        <v>#NAME?</v>
      </c>
      <c r="AX51" s="358" t="e">
        <f t="shared" si="95"/>
        <v>#NAME?</v>
      </c>
      <c r="AY51" s="358" t="e">
        <f t="shared" si="68"/>
        <v>#NAME?</v>
      </c>
      <c r="AZ51" s="358" t="e">
        <f t="shared" si="96"/>
        <v>#NAME?</v>
      </c>
      <c r="BA51" s="358" t="e">
        <f t="shared" si="35"/>
        <v>#NAME?</v>
      </c>
      <c r="BB51" s="358" t="e">
        <f t="shared" si="36"/>
        <v>#NAME?</v>
      </c>
      <c r="BC51" s="358" t="e">
        <f t="shared" si="37"/>
        <v>#NAME?</v>
      </c>
      <c r="BD51" s="358" t="e">
        <f t="shared" si="97"/>
        <v>#NAME?</v>
      </c>
      <c r="BE51" s="358" t="e">
        <f t="shared" si="98"/>
        <v>#NAME?</v>
      </c>
      <c r="BF51" s="358" t="e">
        <f t="shared" si="99"/>
        <v>#NAME?</v>
      </c>
      <c r="BG51" s="235" t="e">
        <f t="shared" si="69"/>
        <v>#NAME?</v>
      </c>
      <c r="BH51" s="235" t="e">
        <f t="shared" si="60"/>
        <v>#NAME?</v>
      </c>
      <c r="BI51" s="235" t="e">
        <f t="shared" si="70"/>
        <v>#NAME?</v>
      </c>
      <c r="BJ51" s="175" t="e">
        <f t="shared" si="71"/>
        <v>#NAME?</v>
      </c>
      <c r="BK51" s="233">
        <f>CHOOSE(MODE, I51*1000, 'PFM Efficiency'!BI51)</f>
        <v>67.5</v>
      </c>
      <c r="BL51" s="175">
        <v>87.439521195857154</v>
      </c>
      <c r="BM51" s="235">
        <f t="shared" si="61"/>
        <v>0.87439521195857151</v>
      </c>
      <c r="BN51" s="293" t="e">
        <f t="shared" si="41"/>
        <v>#NAME?</v>
      </c>
      <c r="BO51" s="294"/>
      <c r="BP51" s="235" t="e">
        <f t="shared" si="72"/>
        <v>#NAME?</v>
      </c>
      <c r="BQ51" s="294"/>
      <c r="BR51" s="175" t="e">
        <f t="shared" si="73"/>
        <v>#NAME?</v>
      </c>
      <c r="BS51" s="175" t="e">
        <f t="shared" si="74"/>
        <v>#NAME?</v>
      </c>
      <c r="BT51" s="175" t="e">
        <f t="shared" si="100"/>
        <v>#NAME?</v>
      </c>
      <c r="BU51" s="235"/>
      <c r="BV51" s="235"/>
      <c r="BW51" s="175" t="e">
        <f>IF(MODE=1, BJ51, 'PFM Efficiency'!BH51)</f>
        <v>#NAME?</v>
      </c>
      <c r="BX51" s="175" t="e">
        <f>IF(MODE=1, BR51, 'PFM Efficiency'!BN51)</f>
        <v>#NAME?</v>
      </c>
      <c r="BY51" s="175" t="e">
        <f>IF(MODE=1, BS51, 'PFM Efficiency'!BO51)</f>
        <v>#NAME?</v>
      </c>
      <c r="BZ51" s="175" t="e">
        <f>IF(MODE=1, BT51, 'PFM Efficiency'!BP51)</f>
        <v>#NAME?</v>
      </c>
    </row>
    <row r="52" spans="1:78" ht="13.5" thickBot="1" x14ac:dyDescent="0.25">
      <c r="A52" s="334" t="s">
        <v>390</v>
      </c>
      <c r="B52" s="335">
        <v>0</v>
      </c>
      <c r="C52" s="174" t="s">
        <v>391</v>
      </c>
      <c r="D52" s="306">
        <f>B52/1000000</f>
        <v>0</v>
      </c>
      <c r="E52" s="174" t="s">
        <v>392</v>
      </c>
      <c r="H52" s="173">
        <v>46</v>
      </c>
      <c r="I52" s="522">
        <f t="shared" si="76"/>
        <v>6.9000000000000006E-2</v>
      </c>
      <c r="J52" s="233" t="e">
        <f t="shared" si="77"/>
        <v>#NAME?</v>
      </c>
      <c r="K52" s="233" t="e">
        <f t="shared" si="78"/>
        <v>#NAME?</v>
      </c>
      <c r="L52" s="233" t="e">
        <f t="shared" si="79"/>
        <v>#NAME?</v>
      </c>
      <c r="M52" s="290" t="e">
        <f t="shared" si="80"/>
        <v>#NAME?</v>
      </c>
      <c r="N52" s="232" t="e">
        <f t="shared" si="62"/>
        <v>#NAME?</v>
      </c>
      <c r="O52" s="208" t="e">
        <f t="shared" si="81"/>
        <v>#NAME?</v>
      </c>
      <c r="P52" s="291" t="e">
        <f t="shared" si="101"/>
        <v>#NAME?</v>
      </c>
      <c r="Q52" s="291" t="e">
        <f t="shared" si="102"/>
        <v>#NAME?</v>
      </c>
      <c r="R52" s="291" t="e">
        <f t="shared" si="103"/>
        <v>#NAME?</v>
      </c>
      <c r="S52" s="232" t="e">
        <f t="shared" si="104"/>
        <v>#NAME?</v>
      </c>
      <c r="T52" s="232" t="e">
        <f t="shared" si="105"/>
        <v>#NAME?</v>
      </c>
      <c r="U52" s="173" t="e">
        <f t="shared" si="106"/>
        <v>#NAME?</v>
      </c>
      <c r="V52" s="232" t="e">
        <f t="shared" si="63"/>
        <v>#NAME?</v>
      </c>
      <c r="W52" s="233" t="e">
        <f t="shared" si="107"/>
        <v>#NAME?</v>
      </c>
      <c r="X52" s="232" t="e">
        <f t="shared" si="13"/>
        <v>#NAME?</v>
      </c>
      <c r="Y52" s="232" t="e">
        <f t="shared" si="64"/>
        <v>#NAME?</v>
      </c>
      <c r="Z52" s="232" t="e">
        <f t="shared" si="108"/>
        <v>#NAME?</v>
      </c>
      <c r="AA52" s="234" t="e">
        <f t="shared" si="15"/>
        <v>#NAME?</v>
      </c>
      <c r="AB52" s="234" t="e">
        <f t="shared" si="65"/>
        <v>#NAME?</v>
      </c>
      <c r="AC52" s="232" t="e">
        <f t="shared" si="109"/>
        <v>#NAME?</v>
      </c>
      <c r="AD52" s="232" t="e">
        <f t="shared" si="110"/>
        <v>#NAME?</v>
      </c>
      <c r="AE52" s="232" t="e">
        <f t="shared" si="111"/>
        <v>#NAME?</v>
      </c>
      <c r="AF52">
        <v>20</v>
      </c>
      <c r="AG52" s="505" t="e">
        <f t="shared" si="82"/>
        <v>#NAME?</v>
      </c>
      <c r="AH52" s="232" t="e">
        <f t="shared" si="83"/>
        <v>#NAME?</v>
      </c>
      <c r="AI52" s="232" t="e">
        <f t="shared" si="84"/>
        <v>#NAME?</v>
      </c>
      <c r="AJ52" s="232" t="e">
        <f t="shared" si="85"/>
        <v>#NAME?</v>
      </c>
      <c r="AK52" s="232" t="e">
        <f t="shared" si="86"/>
        <v>#NAME?</v>
      </c>
      <c r="AL52" s="232" t="e">
        <f t="shared" si="112"/>
        <v>#NAME?</v>
      </c>
      <c r="AM52" s="232" t="e">
        <f t="shared" si="87"/>
        <v>#NAME?</v>
      </c>
      <c r="AN52" s="232" t="e">
        <f t="shared" si="88"/>
        <v>#NAME?</v>
      </c>
      <c r="AO52" s="232" t="e">
        <f t="shared" si="89"/>
        <v>#NAME?</v>
      </c>
      <c r="AP52" s="232" t="e">
        <f t="shared" si="66"/>
        <v>#NAME?</v>
      </c>
      <c r="AQ52" s="232" t="e">
        <f t="shared" si="90"/>
        <v>#NAME?</v>
      </c>
      <c r="AR52" s="232" t="e">
        <f t="shared" si="91"/>
        <v>#NAME?</v>
      </c>
      <c r="AS52" s="232" t="e">
        <f t="shared" si="92"/>
        <v>#NAME?</v>
      </c>
      <c r="AT52" s="232" t="e">
        <f t="shared" si="67"/>
        <v>#NAME?</v>
      </c>
      <c r="AU52" s="232" t="e">
        <f t="shared" si="93"/>
        <v>#NAME?</v>
      </c>
      <c r="AV52" s="232">
        <f t="shared" si="94"/>
        <v>0.34500000000000003</v>
      </c>
      <c r="AW52" s="292" t="e">
        <f t="shared" si="75"/>
        <v>#NAME?</v>
      </c>
      <c r="AX52" s="358" t="e">
        <f t="shared" si="95"/>
        <v>#NAME?</v>
      </c>
      <c r="AY52" s="358" t="e">
        <f t="shared" si="68"/>
        <v>#NAME?</v>
      </c>
      <c r="AZ52" s="358" t="e">
        <f t="shared" si="96"/>
        <v>#NAME?</v>
      </c>
      <c r="BA52" s="358" t="e">
        <f t="shared" si="35"/>
        <v>#NAME?</v>
      </c>
      <c r="BB52" s="358" t="e">
        <f t="shared" si="36"/>
        <v>#NAME?</v>
      </c>
      <c r="BC52" s="358" t="e">
        <f t="shared" si="37"/>
        <v>#NAME?</v>
      </c>
      <c r="BD52" s="358" t="e">
        <f t="shared" si="97"/>
        <v>#NAME?</v>
      </c>
      <c r="BE52" s="358" t="e">
        <f t="shared" si="98"/>
        <v>#NAME?</v>
      </c>
      <c r="BF52" s="358" t="e">
        <f t="shared" si="99"/>
        <v>#NAME?</v>
      </c>
      <c r="BG52" s="235" t="e">
        <f t="shared" si="69"/>
        <v>#NAME?</v>
      </c>
      <c r="BH52" s="235" t="e">
        <f t="shared" si="60"/>
        <v>#NAME?</v>
      </c>
      <c r="BI52" s="235" t="e">
        <f t="shared" si="70"/>
        <v>#NAME?</v>
      </c>
      <c r="BJ52" s="175" t="e">
        <f t="shared" si="71"/>
        <v>#NAME?</v>
      </c>
      <c r="BK52" s="233">
        <f>CHOOSE(MODE, I52*1000, 'PFM Efficiency'!BI52)</f>
        <v>69</v>
      </c>
      <c r="BL52" s="175">
        <v>87.440078240358233</v>
      </c>
      <c r="BM52" s="235">
        <f t="shared" si="61"/>
        <v>0.87440078240358232</v>
      </c>
      <c r="BN52" s="293" t="e">
        <f t="shared" si="41"/>
        <v>#NAME?</v>
      </c>
      <c r="BO52" s="294"/>
      <c r="BP52" s="235" t="e">
        <f t="shared" si="72"/>
        <v>#NAME?</v>
      </c>
      <c r="BQ52" s="294"/>
      <c r="BR52" s="175" t="e">
        <f t="shared" si="73"/>
        <v>#NAME?</v>
      </c>
      <c r="BS52" s="175" t="e">
        <f t="shared" si="74"/>
        <v>#NAME?</v>
      </c>
      <c r="BT52" s="175" t="e">
        <f t="shared" si="100"/>
        <v>#NAME?</v>
      </c>
      <c r="BU52" s="235"/>
      <c r="BV52" s="235"/>
      <c r="BW52" s="175" t="e">
        <f>IF(MODE=1, BJ52, 'PFM Efficiency'!BH52)</f>
        <v>#NAME?</v>
      </c>
      <c r="BX52" s="175" t="e">
        <f>IF(MODE=1, BR52, 'PFM Efficiency'!BN52)</f>
        <v>#NAME?</v>
      </c>
      <c r="BY52" s="175" t="e">
        <f>IF(MODE=1, BS52, 'PFM Efficiency'!BO52)</f>
        <v>#NAME?</v>
      </c>
      <c r="BZ52" s="175" t="e">
        <f>IF(MODE=1, BT52, 'PFM Efficiency'!BP52)</f>
        <v>#NAME?</v>
      </c>
    </row>
    <row r="53" spans="1:78" x14ac:dyDescent="0.2">
      <c r="A53" s="334" t="s">
        <v>556</v>
      </c>
      <c r="B53" s="335">
        <v>35</v>
      </c>
      <c r="C53" s="304" t="s">
        <v>23</v>
      </c>
      <c r="D53" s="306">
        <f>B53/1000000000000</f>
        <v>3.5000000000000002E-11</v>
      </c>
      <c r="E53" s="174" t="s">
        <v>559</v>
      </c>
      <c r="H53" s="173">
        <v>47</v>
      </c>
      <c r="I53" s="522">
        <f t="shared" si="76"/>
        <v>7.0499999999999993E-2</v>
      </c>
      <c r="J53" s="233" t="e">
        <f t="shared" si="77"/>
        <v>#NAME?</v>
      </c>
      <c r="K53" s="233" t="e">
        <f t="shared" si="78"/>
        <v>#NAME?</v>
      </c>
      <c r="L53" s="233" t="e">
        <f t="shared" si="79"/>
        <v>#NAME?</v>
      </c>
      <c r="M53" s="290" t="e">
        <f t="shared" si="80"/>
        <v>#NAME?</v>
      </c>
      <c r="N53" s="232" t="e">
        <f t="shared" si="62"/>
        <v>#NAME?</v>
      </c>
      <c r="O53" s="208" t="e">
        <f t="shared" si="81"/>
        <v>#NAME?</v>
      </c>
      <c r="P53" s="291" t="e">
        <f t="shared" si="101"/>
        <v>#NAME?</v>
      </c>
      <c r="Q53" s="291" t="e">
        <f t="shared" si="102"/>
        <v>#NAME?</v>
      </c>
      <c r="R53" s="291" t="e">
        <f t="shared" si="103"/>
        <v>#NAME?</v>
      </c>
      <c r="S53" s="232" t="e">
        <f t="shared" si="104"/>
        <v>#NAME?</v>
      </c>
      <c r="T53" s="232" t="e">
        <f t="shared" si="105"/>
        <v>#NAME?</v>
      </c>
      <c r="U53" s="173" t="e">
        <f t="shared" si="106"/>
        <v>#NAME?</v>
      </c>
      <c r="V53" s="232" t="e">
        <f t="shared" si="63"/>
        <v>#NAME?</v>
      </c>
      <c r="W53" s="233" t="e">
        <f t="shared" si="107"/>
        <v>#NAME?</v>
      </c>
      <c r="X53" s="232" t="e">
        <f t="shared" si="13"/>
        <v>#NAME?</v>
      </c>
      <c r="Y53" s="232" t="e">
        <f t="shared" si="64"/>
        <v>#NAME?</v>
      </c>
      <c r="Z53" s="232" t="e">
        <f t="shared" si="108"/>
        <v>#NAME?</v>
      </c>
      <c r="AA53" s="234" t="e">
        <f t="shared" si="15"/>
        <v>#NAME?</v>
      </c>
      <c r="AB53" s="234" t="e">
        <f t="shared" si="65"/>
        <v>#NAME?</v>
      </c>
      <c r="AC53" s="232" t="e">
        <f t="shared" si="109"/>
        <v>#NAME?</v>
      </c>
      <c r="AD53" s="232" t="e">
        <f t="shared" si="110"/>
        <v>#NAME?</v>
      </c>
      <c r="AE53" s="232" t="e">
        <f t="shared" si="111"/>
        <v>#NAME?</v>
      </c>
      <c r="AF53">
        <v>20</v>
      </c>
      <c r="AG53" s="505" t="e">
        <f t="shared" si="82"/>
        <v>#NAME?</v>
      </c>
      <c r="AH53" s="232" t="e">
        <f t="shared" si="83"/>
        <v>#NAME?</v>
      </c>
      <c r="AI53" s="232" t="e">
        <f t="shared" si="84"/>
        <v>#NAME?</v>
      </c>
      <c r="AJ53" s="232" t="e">
        <f t="shared" si="85"/>
        <v>#NAME?</v>
      </c>
      <c r="AK53" s="232" t="e">
        <f t="shared" si="86"/>
        <v>#NAME?</v>
      </c>
      <c r="AL53" s="232" t="e">
        <f t="shared" si="112"/>
        <v>#NAME?</v>
      </c>
      <c r="AM53" s="232" t="e">
        <f t="shared" si="87"/>
        <v>#NAME?</v>
      </c>
      <c r="AN53" s="232" t="e">
        <f t="shared" si="88"/>
        <v>#NAME?</v>
      </c>
      <c r="AO53" s="232" t="e">
        <f t="shared" si="89"/>
        <v>#NAME?</v>
      </c>
      <c r="AP53" s="232" t="e">
        <f t="shared" si="66"/>
        <v>#NAME?</v>
      </c>
      <c r="AQ53" s="232" t="e">
        <f t="shared" si="90"/>
        <v>#NAME?</v>
      </c>
      <c r="AR53" s="232" t="e">
        <f t="shared" si="91"/>
        <v>#NAME?</v>
      </c>
      <c r="AS53" s="232" t="e">
        <f t="shared" si="92"/>
        <v>#NAME?</v>
      </c>
      <c r="AT53" s="232" t="e">
        <f t="shared" si="67"/>
        <v>#NAME?</v>
      </c>
      <c r="AU53" s="232" t="e">
        <f t="shared" si="93"/>
        <v>#NAME?</v>
      </c>
      <c r="AV53" s="232">
        <f t="shared" si="94"/>
        <v>0.35249999999999998</v>
      </c>
      <c r="AW53" s="292" t="e">
        <f t="shared" si="75"/>
        <v>#NAME?</v>
      </c>
      <c r="AX53" s="358" t="e">
        <f t="shared" si="95"/>
        <v>#NAME?</v>
      </c>
      <c r="AY53" s="358" t="e">
        <f t="shared" si="68"/>
        <v>#NAME?</v>
      </c>
      <c r="AZ53" s="358" t="e">
        <f t="shared" si="96"/>
        <v>#NAME?</v>
      </c>
      <c r="BA53" s="358" t="e">
        <f t="shared" si="35"/>
        <v>#NAME?</v>
      </c>
      <c r="BB53" s="358" t="e">
        <f t="shared" si="36"/>
        <v>#NAME?</v>
      </c>
      <c r="BC53" s="358" t="e">
        <f t="shared" si="37"/>
        <v>#NAME?</v>
      </c>
      <c r="BD53" s="358" t="e">
        <f t="shared" si="97"/>
        <v>#NAME?</v>
      </c>
      <c r="BE53" s="358" t="e">
        <f t="shared" si="98"/>
        <v>#NAME?</v>
      </c>
      <c r="BF53" s="358" t="e">
        <f t="shared" si="99"/>
        <v>#NAME?</v>
      </c>
      <c r="BG53" s="235" t="e">
        <f t="shared" si="69"/>
        <v>#NAME?</v>
      </c>
      <c r="BH53" s="235" t="e">
        <f t="shared" si="60"/>
        <v>#NAME?</v>
      </c>
      <c r="BI53" s="235" t="e">
        <f t="shared" si="70"/>
        <v>#NAME?</v>
      </c>
      <c r="BJ53" s="175" t="e">
        <f t="shared" si="71"/>
        <v>#NAME?</v>
      </c>
      <c r="BK53" s="233">
        <f>CHOOSE(MODE, I53*1000, 'PFM Efficiency'!BI53)</f>
        <v>70.5</v>
      </c>
      <c r="BL53" s="175">
        <v>87.440550880412815</v>
      </c>
      <c r="BM53" s="235">
        <f t="shared" si="61"/>
        <v>0.87440550880412815</v>
      </c>
      <c r="BN53" s="293" t="e">
        <f t="shared" si="41"/>
        <v>#NAME?</v>
      </c>
      <c r="BO53" s="294"/>
      <c r="BP53" s="235" t="e">
        <f t="shared" si="72"/>
        <v>#NAME?</v>
      </c>
      <c r="BQ53" s="294"/>
      <c r="BR53" s="175" t="e">
        <f t="shared" si="73"/>
        <v>#NAME?</v>
      </c>
      <c r="BS53" s="175" t="e">
        <f t="shared" si="74"/>
        <v>#NAME?</v>
      </c>
      <c r="BT53" s="175" t="e">
        <f t="shared" si="100"/>
        <v>#NAME?</v>
      </c>
      <c r="BU53" s="235"/>
      <c r="BV53" s="235"/>
      <c r="BW53" s="175" t="e">
        <f>IF(MODE=1, BJ53, 'PFM Efficiency'!BH53)</f>
        <v>#NAME?</v>
      </c>
      <c r="BX53" s="175" t="e">
        <f>IF(MODE=1, BR53, 'PFM Efficiency'!BN53)</f>
        <v>#NAME?</v>
      </c>
      <c r="BY53" s="175" t="e">
        <f>IF(MODE=1, BS53, 'PFM Efficiency'!BO53)</f>
        <v>#NAME?</v>
      </c>
      <c r="BZ53" s="175" t="e">
        <f>IF(MODE=1, BT53, 'PFM Efficiency'!BP53)</f>
        <v>#NAME?</v>
      </c>
    </row>
    <row r="54" spans="1:78" x14ac:dyDescent="0.2">
      <c r="H54" s="173">
        <v>48</v>
      </c>
      <c r="I54" s="522">
        <f t="shared" si="76"/>
        <v>7.1999999999999995E-2</v>
      </c>
      <c r="J54" s="233" t="e">
        <f t="shared" si="77"/>
        <v>#NAME?</v>
      </c>
      <c r="K54" s="233" t="e">
        <f t="shared" si="78"/>
        <v>#NAME?</v>
      </c>
      <c r="L54" s="233" t="e">
        <f t="shared" si="79"/>
        <v>#NAME?</v>
      </c>
      <c r="M54" s="290" t="e">
        <f t="shared" si="80"/>
        <v>#NAME?</v>
      </c>
      <c r="N54" s="232" t="e">
        <f t="shared" si="62"/>
        <v>#NAME?</v>
      </c>
      <c r="O54" s="208" t="e">
        <f t="shared" si="81"/>
        <v>#NAME?</v>
      </c>
      <c r="P54" s="291" t="e">
        <f t="shared" si="101"/>
        <v>#NAME?</v>
      </c>
      <c r="Q54" s="291" t="e">
        <f t="shared" si="102"/>
        <v>#NAME?</v>
      </c>
      <c r="R54" s="291" t="e">
        <f t="shared" si="103"/>
        <v>#NAME?</v>
      </c>
      <c r="S54" s="232" t="e">
        <f t="shared" si="104"/>
        <v>#NAME?</v>
      </c>
      <c r="T54" s="232" t="e">
        <f t="shared" si="105"/>
        <v>#NAME?</v>
      </c>
      <c r="U54" s="173" t="e">
        <f t="shared" si="106"/>
        <v>#NAME?</v>
      </c>
      <c r="V54" s="232" t="e">
        <f t="shared" si="63"/>
        <v>#NAME?</v>
      </c>
      <c r="W54" s="233" t="e">
        <f t="shared" si="107"/>
        <v>#NAME?</v>
      </c>
      <c r="X54" s="232" t="e">
        <f t="shared" si="13"/>
        <v>#NAME?</v>
      </c>
      <c r="Y54" s="232" t="e">
        <f t="shared" si="64"/>
        <v>#NAME?</v>
      </c>
      <c r="Z54" s="232" t="e">
        <f t="shared" si="108"/>
        <v>#NAME?</v>
      </c>
      <c r="AA54" s="234" t="e">
        <f t="shared" si="15"/>
        <v>#NAME?</v>
      </c>
      <c r="AB54" s="234" t="e">
        <f t="shared" si="65"/>
        <v>#NAME?</v>
      </c>
      <c r="AC54" s="232" t="e">
        <f t="shared" si="109"/>
        <v>#NAME?</v>
      </c>
      <c r="AD54" s="232" t="e">
        <f t="shared" si="110"/>
        <v>#NAME?</v>
      </c>
      <c r="AE54" s="232" t="e">
        <f t="shared" si="111"/>
        <v>#NAME?</v>
      </c>
      <c r="AF54">
        <v>20</v>
      </c>
      <c r="AG54" s="505" t="e">
        <f t="shared" si="82"/>
        <v>#NAME?</v>
      </c>
      <c r="AH54" s="232" t="e">
        <f t="shared" si="83"/>
        <v>#NAME?</v>
      </c>
      <c r="AI54" s="232" t="e">
        <f t="shared" si="84"/>
        <v>#NAME?</v>
      </c>
      <c r="AJ54" s="232" t="e">
        <f t="shared" si="85"/>
        <v>#NAME?</v>
      </c>
      <c r="AK54" s="232" t="e">
        <f t="shared" si="86"/>
        <v>#NAME?</v>
      </c>
      <c r="AL54" s="232" t="e">
        <f t="shared" si="112"/>
        <v>#NAME?</v>
      </c>
      <c r="AM54" s="232" t="e">
        <f t="shared" si="87"/>
        <v>#NAME?</v>
      </c>
      <c r="AN54" s="232" t="e">
        <f t="shared" si="88"/>
        <v>#NAME?</v>
      </c>
      <c r="AO54" s="232" t="e">
        <f t="shared" si="89"/>
        <v>#NAME?</v>
      </c>
      <c r="AP54" s="232" t="e">
        <f t="shared" si="66"/>
        <v>#NAME?</v>
      </c>
      <c r="AQ54" s="232" t="e">
        <f t="shared" si="90"/>
        <v>#NAME?</v>
      </c>
      <c r="AR54" s="232" t="e">
        <f t="shared" si="91"/>
        <v>#NAME?</v>
      </c>
      <c r="AS54" s="232" t="e">
        <f t="shared" si="92"/>
        <v>#NAME?</v>
      </c>
      <c r="AT54" s="232" t="e">
        <f t="shared" si="67"/>
        <v>#NAME?</v>
      </c>
      <c r="AU54" s="232" t="e">
        <f t="shared" si="93"/>
        <v>#NAME?</v>
      </c>
      <c r="AV54" s="232">
        <f t="shared" si="94"/>
        <v>0.36</v>
      </c>
      <c r="AW54" s="292" t="e">
        <f t="shared" si="75"/>
        <v>#NAME?</v>
      </c>
      <c r="AX54" s="358" t="e">
        <f t="shared" si="95"/>
        <v>#NAME?</v>
      </c>
      <c r="AY54" s="358" t="e">
        <f t="shared" si="68"/>
        <v>#NAME?</v>
      </c>
      <c r="AZ54" s="358" t="e">
        <f t="shared" si="96"/>
        <v>#NAME?</v>
      </c>
      <c r="BA54" s="358" t="e">
        <f t="shared" si="35"/>
        <v>#NAME?</v>
      </c>
      <c r="BB54" s="358" t="e">
        <f t="shared" si="36"/>
        <v>#NAME?</v>
      </c>
      <c r="BC54" s="358" t="e">
        <f t="shared" si="37"/>
        <v>#NAME?</v>
      </c>
      <c r="BD54" s="358" t="e">
        <f t="shared" si="97"/>
        <v>#NAME?</v>
      </c>
      <c r="BE54" s="358" t="e">
        <f t="shared" si="98"/>
        <v>#NAME?</v>
      </c>
      <c r="BF54" s="358" t="e">
        <f t="shared" si="99"/>
        <v>#NAME?</v>
      </c>
      <c r="BG54" s="235" t="e">
        <f t="shared" si="69"/>
        <v>#NAME?</v>
      </c>
      <c r="BH54" s="235" t="e">
        <f t="shared" si="60"/>
        <v>#NAME?</v>
      </c>
      <c r="BI54" s="235" t="e">
        <f t="shared" si="70"/>
        <v>#NAME?</v>
      </c>
      <c r="BJ54" s="175" t="e">
        <f t="shared" si="71"/>
        <v>#NAME?</v>
      </c>
      <c r="BK54" s="233">
        <f>CHOOSE(MODE, I54*1000, 'PFM Efficiency'!BI54)</f>
        <v>72</v>
      </c>
      <c r="BL54" s="175">
        <v>87.462211050621846</v>
      </c>
      <c r="BM54" s="235">
        <f t="shared" si="61"/>
        <v>0.87462211050621841</v>
      </c>
      <c r="BN54" s="293" t="e">
        <f t="shared" si="41"/>
        <v>#NAME?</v>
      </c>
      <c r="BO54" s="294"/>
      <c r="BP54" s="235" t="e">
        <f t="shared" si="72"/>
        <v>#NAME?</v>
      </c>
      <c r="BQ54" s="294"/>
      <c r="BR54" s="175" t="e">
        <f t="shared" si="73"/>
        <v>#NAME?</v>
      </c>
      <c r="BS54" s="175" t="e">
        <f t="shared" si="74"/>
        <v>#NAME?</v>
      </c>
      <c r="BT54" s="175" t="e">
        <f t="shared" si="100"/>
        <v>#NAME?</v>
      </c>
      <c r="BU54" s="235"/>
      <c r="BV54" s="235"/>
      <c r="BW54" s="175" t="e">
        <f>IF(MODE=1, BJ54, 'PFM Efficiency'!BH54)</f>
        <v>#NAME?</v>
      </c>
      <c r="BX54" s="175" t="e">
        <f>IF(MODE=1, BR54, 'PFM Efficiency'!BN54)</f>
        <v>#NAME?</v>
      </c>
      <c r="BY54" s="175" t="e">
        <f>IF(MODE=1, BS54, 'PFM Efficiency'!BO54)</f>
        <v>#NAME?</v>
      </c>
      <c r="BZ54" s="175" t="e">
        <f>IF(MODE=1, BT54, 'PFM Efficiency'!BP54)</f>
        <v>#NAME?</v>
      </c>
    </row>
    <row r="55" spans="1:78" x14ac:dyDescent="0.2">
      <c r="H55" s="173">
        <v>49</v>
      </c>
      <c r="I55" s="522">
        <f t="shared" si="76"/>
        <v>7.3499999999999996E-2</v>
      </c>
      <c r="J55" s="233" t="e">
        <f t="shared" si="77"/>
        <v>#NAME?</v>
      </c>
      <c r="K55" s="233" t="e">
        <f t="shared" si="78"/>
        <v>#NAME?</v>
      </c>
      <c r="L55" s="233" t="e">
        <f t="shared" si="79"/>
        <v>#NAME?</v>
      </c>
      <c r="M55" s="290" t="e">
        <f t="shared" si="80"/>
        <v>#NAME?</v>
      </c>
      <c r="N55" s="232" t="e">
        <f t="shared" si="62"/>
        <v>#NAME?</v>
      </c>
      <c r="O55" s="208" t="e">
        <f t="shared" si="81"/>
        <v>#NAME?</v>
      </c>
      <c r="P55" s="291" t="e">
        <f t="shared" si="101"/>
        <v>#NAME?</v>
      </c>
      <c r="Q55" s="291" t="e">
        <f t="shared" si="102"/>
        <v>#NAME?</v>
      </c>
      <c r="R55" s="291" t="e">
        <f t="shared" si="103"/>
        <v>#NAME?</v>
      </c>
      <c r="S55" s="232" t="e">
        <f t="shared" si="104"/>
        <v>#NAME?</v>
      </c>
      <c r="T55" s="232" t="e">
        <f t="shared" si="105"/>
        <v>#NAME?</v>
      </c>
      <c r="U55" s="173" t="e">
        <f t="shared" si="106"/>
        <v>#NAME?</v>
      </c>
      <c r="V55" s="232" t="e">
        <f t="shared" si="63"/>
        <v>#NAME?</v>
      </c>
      <c r="W55" s="233" t="e">
        <f t="shared" si="107"/>
        <v>#NAME?</v>
      </c>
      <c r="X55" s="232" t="e">
        <f t="shared" si="13"/>
        <v>#NAME?</v>
      </c>
      <c r="Y55" s="232" t="e">
        <f t="shared" si="64"/>
        <v>#NAME?</v>
      </c>
      <c r="Z55" s="232" t="e">
        <f t="shared" si="108"/>
        <v>#NAME?</v>
      </c>
      <c r="AA55" s="234" t="e">
        <f t="shared" si="15"/>
        <v>#NAME?</v>
      </c>
      <c r="AB55" s="234" t="e">
        <f t="shared" si="65"/>
        <v>#NAME?</v>
      </c>
      <c r="AC55" s="232" t="e">
        <f t="shared" si="109"/>
        <v>#NAME?</v>
      </c>
      <c r="AD55" s="232" t="e">
        <f t="shared" si="110"/>
        <v>#NAME?</v>
      </c>
      <c r="AE55" s="232" t="e">
        <f t="shared" si="111"/>
        <v>#NAME?</v>
      </c>
      <c r="AF55">
        <v>20</v>
      </c>
      <c r="AG55" s="505" t="e">
        <f t="shared" si="82"/>
        <v>#NAME?</v>
      </c>
      <c r="AH55" s="232" t="e">
        <f t="shared" si="83"/>
        <v>#NAME?</v>
      </c>
      <c r="AI55" s="232" t="e">
        <f t="shared" si="84"/>
        <v>#NAME?</v>
      </c>
      <c r="AJ55" s="232" t="e">
        <f t="shared" si="85"/>
        <v>#NAME?</v>
      </c>
      <c r="AK55" s="232" t="e">
        <f t="shared" si="86"/>
        <v>#NAME?</v>
      </c>
      <c r="AL55" s="232" t="e">
        <f t="shared" si="112"/>
        <v>#NAME?</v>
      </c>
      <c r="AM55" s="232" t="e">
        <f t="shared" si="87"/>
        <v>#NAME?</v>
      </c>
      <c r="AN55" s="232" t="e">
        <f t="shared" si="88"/>
        <v>#NAME?</v>
      </c>
      <c r="AO55" s="232" t="e">
        <f t="shared" si="89"/>
        <v>#NAME?</v>
      </c>
      <c r="AP55" s="232" t="e">
        <f t="shared" si="66"/>
        <v>#NAME?</v>
      </c>
      <c r="AQ55" s="232" t="e">
        <f t="shared" si="90"/>
        <v>#NAME?</v>
      </c>
      <c r="AR55" s="232" t="e">
        <f t="shared" si="91"/>
        <v>#NAME?</v>
      </c>
      <c r="AS55" s="232" t="e">
        <f t="shared" si="92"/>
        <v>#NAME?</v>
      </c>
      <c r="AT55" s="232" t="e">
        <f t="shared" si="67"/>
        <v>#NAME?</v>
      </c>
      <c r="AU55" s="232" t="e">
        <f t="shared" si="93"/>
        <v>#NAME?</v>
      </c>
      <c r="AV55" s="232">
        <f t="shared" si="94"/>
        <v>0.36749999999999999</v>
      </c>
      <c r="AW55" s="292" t="e">
        <f t="shared" si="75"/>
        <v>#NAME?</v>
      </c>
      <c r="AX55" s="358" t="e">
        <f t="shared" si="95"/>
        <v>#NAME?</v>
      </c>
      <c r="AY55" s="358" t="e">
        <f t="shared" si="68"/>
        <v>#NAME?</v>
      </c>
      <c r="AZ55" s="358" t="e">
        <f t="shared" si="96"/>
        <v>#NAME?</v>
      </c>
      <c r="BA55" s="358" t="e">
        <f t="shared" si="35"/>
        <v>#NAME?</v>
      </c>
      <c r="BB55" s="358" t="e">
        <f t="shared" si="36"/>
        <v>#NAME?</v>
      </c>
      <c r="BC55" s="358" t="e">
        <f t="shared" si="37"/>
        <v>#NAME?</v>
      </c>
      <c r="BD55" s="358" t="e">
        <f t="shared" si="97"/>
        <v>#NAME?</v>
      </c>
      <c r="BE55" s="358" t="e">
        <f t="shared" si="98"/>
        <v>#NAME?</v>
      </c>
      <c r="BF55" s="358" t="e">
        <f t="shared" si="99"/>
        <v>#NAME?</v>
      </c>
      <c r="BG55" s="235" t="e">
        <f t="shared" si="69"/>
        <v>#NAME?</v>
      </c>
      <c r="BH55" s="235" t="e">
        <f t="shared" si="60"/>
        <v>#NAME?</v>
      </c>
      <c r="BI55" s="235" t="e">
        <f t="shared" si="70"/>
        <v>#NAME?</v>
      </c>
      <c r="BJ55" s="175" t="e">
        <f t="shared" si="71"/>
        <v>#NAME?</v>
      </c>
      <c r="BK55" s="233">
        <f>CHOOSE(MODE, I55*1000, 'PFM Efficiency'!BI55)</f>
        <v>73.5</v>
      </c>
      <c r="BL55" s="175">
        <v>87.500809495614803</v>
      </c>
      <c r="BM55" s="235">
        <f t="shared" si="61"/>
        <v>0.87500809495614806</v>
      </c>
      <c r="BN55" s="293" t="e">
        <f t="shared" si="41"/>
        <v>#NAME?</v>
      </c>
      <c r="BO55" s="294"/>
      <c r="BP55" s="235" t="e">
        <f t="shared" si="72"/>
        <v>#NAME?</v>
      </c>
      <c r="BQ55" s="294"/>
      <c r="BR55" s="175" t="e">
        <f t="shared" si="73"/>
        <v>#NAME?</v>
      </c>
      <c r="BS55" s="175" t="e">
        <f t="shared" si="74"/>
        <v>#NAME?</v>
      </c>
      <c r="BT55" s="175" t="e">
        <f t="shared" si="100"/>
        <v>#NAME?</v>
      </c>
      <c r="BU55" s="235"/>
      <c r="BV55" s="235"/>
      <c r="BW55" s="175" t="e">
        <f>IF(MODE=1, BJ55, 'PFM Efficiency'!BH55)</f>
        <v>#NAME?</v>
      </c>
      <c r="BX55" s="175" t="e">
        <f>IF(MODE=1, BR55, 'PFM Efficiency'!BN55)</f>
        <v>#NAME?</v>
      </c>
      <c r="BY55" s="175" t="e">
        <f>IF(MODE=1, BS55, 'PFM Efficiency'!BO55)</f>
        <v>#NAME?</v>
      </c>
      <c r="BZ55" s="175" t="e">
        <f>IF(MODE=1, BT55, 'PFM Efficiency'!BP55)</f>
        <v>#NAME?</v>
      </c>
    </row>
    <row r="56" spans="1:78" x14ac:dyDescent="0.2">
      <c r="H56" s="173">
        <v>50</v>
      </c>
      <c r="I56" s="522">
        <f t="shared" si="76"/>
        <v>7.4999999999999997E-2</v>
      </c>
      <c r="J56" s="233" t="e">
        <f t="shared" si="77"/>
        <v>#NAME?</v>
      </c>
      <c r="K56" s="233" t="e">
        <f t="shared" si="78"/>
        <v>#NAME?</v>
      </c>
      <c r="L56" s="233" t="e">
        <f t="shared" si="79"/>
        <v>#NAME?</v>
      </c>
      <c r="M56" s="290" t="e">
        <f t="shared" si="80"/>
        <v>#NAME?</v>
      </c>
      <c r="N56" s="232" t="e">
        <f t="shared" si="62"/>
        <v>#NAME?</v>
      </c>
      <c r="O56" s="208" t="e">
        <f t="shared" si="81"/>
        <v>#NAME?</v>
      </c>
      <c r="P56" s="291" t="e">
        <f t="shared" si="101"/>
        <v>#NAME?</v>
      </c>
      <c r="Q56" s="291" t="e">
        <f t="shared" si="102"/>
        <v>#NAME?</v>
      </c>
      <c r="R56" s="291" t="e">
        <f t="shared" si="103"/>
        <v>#NAME?</v>
      </c>
      <c r="S56" s="232" t="e">
        <f t="shared" si="104"/>
        <v>#NAME?</v>
      </c>
      <c r="T56" s="232" t="e">
        <f t="shared" si="105"/>
        <v>#NAME?</v>
      </c>
      <c r="U56" s="173" t="e">
        <f t="shared" si="106"/>
        <v>#NAME?</v>
      </c>
      <c r="V56" s="232" t="e">
        <f t="shared" si="63"/>
        <v>#NAME?</v>
      </c>
      <c r="W56" s="233" t="e">
        <f t="shared" si="107"/>
        <v>#NAME?</v>
      </c>
      <c r="X56" s="232" t="e">
        <f t="shared" si="13"/>
        <v>#NAME?</v>
      </c>
      <c r="Y56" s="232" t="e">
        <f t="shared" si="64"/>
        <v>#NAME?</v>
      </c>
      <c r="Z56" s="232" t="e">
        <f t="shared" si="108"/>
        <v>#NAME?</v>
      </c>
      <c r="AA56" s="234" t="e">
        <f t="shared" si="15"/>
        <v>#NAME?</v>
      </c>
      <c r="AB56" s="234" t="e">
        <f t="shared" si="65"/>
        <v>#NAME?</v>
      </c>
      <c r="AC56" s="232" t="e">
        <f t="shared" si="109"/>
        <v>#NAME?</v>
      </c>
      <c r="AD56" s="232" t="e">
        <f t="shared" si="110"/>
        <v>#NAME?</v>
      </c>
      <c r="AE56" s="232" t="e">
        <f t="shared" si="111"/>
        <v>#NAME?</v>
      </c>
      <c r="AF56">
        <v>20</v>
      </c>
      <c r="AG56" s="505" t="e">
        <f t="shared" si="82"/>
        <v>#NAME?</v>
      </c>
      <c r="AH56" s="232" t="e">
        <f t="shared" si="83"/>
        <v>#NAME?</v>
      </c>
      <c r="AI56" s="232" t="e">
        <f t="shared" si="84"/>
        <v>#NAME?</v>
      </c>
      <c r="AJ56" s="232" t="e">
        <f t="shared" si="85"/>
        <v>#NAME?</v>
      </c>
      <c r="AK56" s="232" t="e">
        <f t="shared" si="86"/>
        <v>#NAME?</v>
      </c>
      <c r="AL56" s="232" t="e">
        <f t="shared" si="112"/>
        <v>#NAME?</v>
      </c>
      <c r="AM56" s="232" t="e">
        <f t="shared" si="87"/>
        <v>#NAME?</v>
      </c>
      <c r="AN56" s="232" t="e">
        <f t="shared" si="88"/>
        <v>#NAME?</v>
      </c>
      <c r="AO56" s="232" t="e">
        <f t="shared" si="89"/>
        <v>#NAME?</v>
      </c>
      <c r="AP56" s="232" t="e">
        <f t="shared" si="66"/>
        <v>#NAME?</v>
      </c>
      <c r="AQ56" s="232" t="e">
        <f t="shared" si="90"/>
        <v>#NAME?</v>
      </c>
      <c r="AR56" s="232" t="e">
        <f t="shared" si="91"/>
        <v>#NAME?</v>
      </c>
      <c r="AS56" s="232" t="e">
        <f t="shared" si="92"/>
        <v>#NAME?</v>
      </c>
      <c r="AT56" s="232" t="e">
        <f t="shared" si="67"/>
        <v>#NAME?</v>
      </c>
      <c r="AU56" s="232" t="e">
        <f t="shared" si="93"/>
        <v>#NAME?</v>
      </c>
      <c r="AV56" s="232">
        <f t="shared" si="94"/>
        <v>0.375</v>
      </c>
      <c r="AW56" s="292" t="e">
        <f t="shared" si="75"/>
        <v>#NAME?</v>
      </c>
      <c r="AX56" s="358" t="e">
        <f t="shared" si="95"/>
        <v>#NAME?</v>
      </c>
      <c r="AY56" s="358" t="e">
        <f t="shared" si="68"/>
        <v>#NAME?</v>
      </c>
      <c r="AZ56" s="358" t="e">
        <f t="shared" si="96"/>
        <v>#NAME?</v>
      </c>
      <c r="BA56" s="358" t="e">
        <f t="shared" si="35"/>
        <v>#NAME?</v>
      </c>
      <c r="BB56" s="358" t="e">
        <f t="shared" si="36"/>
        <v>#NAME?</v>
      </c>
      <c r="BC56" s="358" t="e">
        <f t="shared" si="37"/>
        <v>#NAME?</v>
      </c>
      <c r="BD56" s="358" t="e">
        <f t="shared" si="97"/>
        <v>#NAME?</v>
      </c>
      <c r="BE56" s="358" t="e">
        <f t="shared" si="98"/>
        <v>#NAME?</v>
      </c>
      <c r="BF56" s="358" t="e">
        <f t="shared" si="99"/>
        <v>#NAME?</v>
      </c>
      <c r="BG56" s="235" t="e">
        <f t="shared" si="69"/>
        <v>#NAME?</v>
      </c>
      <c r="BH56" s="235" t="e">
        <f t="shared" si="60"/>
        <v>#NAME?</v>
      </c>
      <c r="BI56" s="235" t="e">
        <f t="shared" si="70"/>
        <v>#NAME?</v>
      </c>
      <c r="BJ56" s="175" t="e">
        <f t="shared" si="71"/>
        <v>#NAME?</v>
      </c>
      <c r="BK56" s="233">
        <f>CHOOSE(MODE, I56*1000, 'PFM Efficiency'!BI56)</f>
        <v>75</v>
      </c>
      <c r="BL56" s="175">
        <v>87.537838791529083</v>
      </c>
      <c r="BM56" s="235">
        <f t="shared" si="61"/>
        <v>0.87537838791529088</v>
      </c>
      <c r="BN56" s="293" t="e">
        <f t="shared" si="41"/>
        <v>#NAME?</v>
      </c>
      <c r="BO56" s="294"/>
      <c r="BP56" s="235" t="e">
        <f t="shared" si="72"/>
        <v>#NAME?</v>
      </c>
      <c r="BQ56" s="294"/>
      <c r="BR56" s="175" t="e">
        <f t="shared" si="73"/>
        <v>#NAME?</v>
      </c>
      <c r="BS56" s="175" t="e">
        <f t="shared" si="74"/>
        <v>#NAME?</v>
      </c>
      <c r="BT56" s="175" t="e">
        <f t="shared" si="100"/>
        <v>#NAME?</v>
      </c>
      <c r="BU56" s="235"/>
      <c r="BV56" s="235"/>
      <c r="BW56" s="175" t="e">
        <f>IF(MODE=1, BJ56, 'PFM Efficiency'!BH56)</f>
        <v>#NAME?</v>
      </c>
      <c r="BX56" s="175" t="e">
        <f>IF(MODE=1, BR56, 'PFM Efficiency'!BN56)</f>
        <v>#NAME?</v>
      </c>
      <c r="BY56" s="175" t="e">
        <f>IF(MODE=1, BS56, 'PFM Efficiency'!BO56)</f>
        <v>#NAME?</v>
      </c>
      <c r="BZ56" s="175" t="e">
        <f>IF(MODE=1, BT56, 'PFM Efficiency'!BP56)</f>
        <v>#NAME?</v>
      </c>
    </row>
    <row r="57" spans="1:78" x14ac:dyDescent="0.2">
      <c r="H57" s="173">
        <v>51</v>
      </c>
      <c r="I57" s="522">
        <f t="shared" si="76"/>
        <v>7.6499999999999999E-2</v>
      </c>
      <c r="J57" s="233" t="e">
        <f t="shared" si="77"/>
        <v>#NAME?</v>
      </c>
      <c r="K57" s="233" t="e">
        <f t="shared" si="78"/>
        <v>#NAME?</v>
      </c>
      <c r="L57" s="233" t="e">
        <f t="shared" si="79"/>
        <v>#NAME?</v>
      </c>
      <c r="M57" s="290" t="e">
        <f t="shared" si="80"/>
        <v>#NAME?</v>
      </c>
      <c r="N57" s="232" t="e">
        <f t="shared" si="62"/>
        <v>#NAME?</v>
      </c>
      <c r="O57" s="208" t="e">
        <f t="shared" si="81"/>
        <v>#NAME?</v>
      </c>
      <c r="P57" s="291" t="e">
        <f t="shared" si="101"/>
        <v>#NAME?</v>
      </c>
      <c r="Q57" s="291" t="e">
        <f t="shared" si="102"/>
        <v>#NAME?</v>
      </c>
      <c r="R57" s="291" t="e">
        <f t="shared" si="103"/>
        <v>#NAME?</v>
      </c>
      <c r="S57" s="232" t="e">
        <f t="shared" si="104"/>
        <v>#NAME?</v>
      </c>
      <c r="T57" s="232" t="e">
        <f t="shared" si="105"/>
        <v>#NAME?</v>
      </c>
      <c r="U57" s="173" t="e">
        <f t="shared" si="106"/>
        <v>#NAME?</v>
      </c>
      <c r="V57" s="232" t="e">
        <f t="shared" si="63"/>
        <v>#NAME?</v>
      </c>
      <c r="W57" s="233" t="e">
        <f t="shared" si="107"/>
        <v>#NAME?</v>
      </c>
      <c r="X57" s="232" t="e">
        <f t="shared" si="13"/>
        <v>#NAME?</v>
      </c>
      <c r="Y57" s="232" t="e">
        <f t="shared" si="64"/>
        <v>#NAME?</v>
      </c>
      <c r="Z57" s="232" t="e">
        <f t="shared" si="108"/>
        <v>#NAME?</v>
      </c>
      <c r="AA57" s="234" t="e">
        <f t="shared" si="15"/>
        <v>#NAME?</v>
      </c>
      <c r="AB57" s="234" t="e">
        <f t="shared" si="65"/>
        <v>#NAME?</v>
      </c>
      <c r="AC57" s="232" t="e">
        <f t="shared" si="109"/>
        <v>#NAME?</v>
      </c>
      <c r="AD57" s="232" t="e">
        <f t="shared" si="110"/>
        <v>#NAME?</v>
      </c>
      <c r="AE57" s="232" t="e">
        <f t="shared" si="111"/>
        <v>#NAME?</v>
      </c>
      <c r="AF57">
        <v>20</v>
      </c>
      <c r="AG57" s="505" t="e">
        <f t="shared" si="82"/>
        <v>#NAME?</v>
      </c>
      <c r="AH57" s="232" t="e">
        <f t="shared" si="83"/>
        <v>#NAME?</v>
      </c>
      <c r="AI57" s="232" t="e">
        <f t="shared" si="84"/>
        <v>#NAME?</v>
      </c>
      <c r="AJ57" s="232" t="e">
        <f t="shared" si="85"/>
        <v>#NAME?</v>
      </c>
      <c r="AK57" s="232" t="e">
        <f t="shared" si="86"/>
        <v>#NAME?</v>
      </c>
      <c r="AL57" s="232" t="e">
        <f t="shared" si="112"/>
        <v>#NAME?</v>
      </c>
      <c r="AM57" s="232" t="e">
        <f t="shared" si="87"/>
        <v>#NAME?</v>
      </c>
      <c r="AN57" s="232" t="e">
        <f t="shared" si="88"/>
        <v>#NAME?</v>
      </c>
      <c r="AO57" s="232" t="e">
        <f t="shared" si="89"/>
        <v>#NAME?</v>
      </c>
      <c r="AP57" s="232" t="e">
        <f t="shared" si="66"/>
        <v>#NAME?</v>
      </c>
      <c r="AQ57" s="232" t="e">
        <f t="shared" si="90"/>
        <v>#NAME?</v>
      </c>
      <c r="AR57" s="232" t="e">
        <f t="shared" si="91"/>
        <v>#NAME?</v>
      </c>
      <c r="AS57" s="232" t="e">
        <f t="shared" si="92"/>
        <v>#NAME?</v>
      </c>
      <c r="AT57" s="232" t="e">
        <f t="shared" si="67"/>
        <v>#NAME?</v>
      </c>
      <c r="AU57" s="232" t="e">
        <f t="shared" si="93"/>
        <v>#NAME?</v>
      </c>
      <c r="AV57" s="232">
        <f t="shared" si="94"/>
        <v>0.38250000000000001</v>
      </c>
      <c r="AW57" s="292" t="e">
        <f t="shared" si="75"/>
        <v>#NAME?</v>
      </c>
      <c r="AX57" s="358" t="e">
        <f t="shared" si="95"/>
        <v>#NAME?</v>
      </c>
      <c r="AY57" s="358" t="e">
        <f t="shared" si="68"/>
        <v>#NAME?</v>
      </c>
      <c r="AZ57" s="358" t="e">
        <f t="shared" si="96"/>
        <v>#NAME?</v>
      </c>
      <c r="BA57" s="358" t="e">
        <f t="shared" si="35"/>
        <v>#NAME?</v>
      </c>
      <c r="BB57" s="358" t="e">
        <f t="shared" si="36"/>
        <v>#NAME?</v>
      </c>
      <c r="BC57" s="358" t="e">
        <f t="shared" si="37"/>
        <v>#NAME?</v>
      </c>
      <c r="BD57" s="358" t="e">
        <f t="shared" si="97"/>
        <v>#NAME?</v>
      </c>
      <c r="BE57" s="358" t="e">
        <f t="shared" si="98"/>
        <v>#NAME?</v>
      </c>
      <c r="BF57" s="358" t="e">
        <f t="shared" si="99"/>
        <v>#NAME?</v>
      </c>
      <c r="BG57" s="235" t="e">
        <f t="shared" si="69"/>
        <v>#NAME?</v>
      </c>
      <c r="BH57" s="235" t="e">
        <f t="shared" si="60"/>
        <v>#NAME?</v>
      </c>
      <c r="BI57" s="235" t="e">
        <f t="shared" si="70"/>
        <v>#NAME?</v>
      </c>
      <c r="BJ57" s="175" t="e">
        <f t="shared" si="71"/>
        <v>#NAME?</v>
      </c>
      <c r="BK57" s="233">
        <f>CHOOSE(MODE, I57*1000, 'PFM Efficiency'!BI57)</f>
        <v>76.5</v>
      </c>
      <c r="BL57" s="175">
        <v>87.573389266063103</v>
      </c>
      <c r="BM57" s="235">
        <f t="shared" si="61"/>
        <v>0.87573389266063106</v>
      </c>
      <c r="BN57" s="293" t="e">
        <f t="shared" si="41"/>
        <v>#NAME?</v>
      </c>
      <c r="BO57" s="294"/>
      <c r="BP57" s="235" t="e">
        <f t="shared" si="72"/>
        <v>#NAME?</v>
      </c>
      <c r="BQ57" s="294"/>
      <c r="BR57" s="175" t="e">
        <f t="shared" si="73"/>
        <v>#NAME?</v>
      </c>
      <c r="BS57" s="175" t="e">
        <f t="shared" si="74"/>
        <v>#NAME?</v>
      </c>
      <c r="BT57" s="175" t="e">
        <f t="shared" si="100"/>
        <v>#NAME?</v>
      </c>
      <c r="BU57" s="235"/>
      <c r="BV57" s="235"/>
      <c r="BW57" s="175" t="e">
        <f>IF(MODE=1, BJ57, 'PFM Efficiency'!BH57)</f>
        <v>#NAME?</v>
      </c>
      <c r="BX57" s="175" t="e">
        <f>IF(MODE=1, BR57, 'PFM Efficiency'!BN57)</f>
        <v>#NAME?</v>
      </c>
      <c r="BY57" s="175" t="e">
        <f>IF(MODE=1, BS57, 'PFM Efficiency'!BO57)</f>
        <v>#NAME?</v>
      </c>
      <c r="BZ57" s="175" t="e">
        <f>IF(MODE=1, BT57, 'PFM Efficiency'!BP57)</f>
        <v>#NAME?</v>
      </c>
    </row>
    <row r="58" spans="1:78" x14ac:dyDescent="0.2">
      <c r="H58" s="173">
        <v>52</v>
      </c>
      <c r="I58" s="522">
        <f t="shared" si="76"/>
        <v>7.8E-2</v>
      </c>
      <c r="J58" s="233" t="e">
        <f t="shared" si="77"/>
        <v>#NAME?</v>
      </c>
      <c r="K58" s="233" t="e">
        <f t="shared" si="78"/>
        <v>#NAME?</v>
      </c>
      <c r="L58" s="233" t="e">
        <f t="shared" si="79"/>
        <v>#NAME?</v>
      </c>
      <c r="M58" s="290" t="e">
        <f t="shared" si="80"/>
        <v>#NAME?</v>
      </c>
      <c r="N58" s="232" t="e">
        <f t="shared" si="62"/>
        <v>#NAME?</v>
      </c>
      <c r="O58" s="208" t="e">
        <f t="shared" si="81"/>
        <v>#NAME?</v>
      </c>
      <c r="P58" s="291" t="e">
        <f t="shared" si="101"/>
        <v>#NAME?</v>
      </c>
      <c r="Q58" s="291" t="e">
        <f t="shared" si="102"/>
        <v>#NAME?</v>
      </c>
      <c r="R58" s="291" t="e">
        <f t="shared" si="103"/>
        <v>#NAME?</v>
      </c>
      <c r="S58" s="232" t="e">
        <f t="shared" si="104"/>
        <v>#NAME?</v>
      </c>
      <c r="T58" s="232" t="e">
        <f t="shared" si="105"/>
        <v>#NAME?</v>
      </c>
      <c r="U58" s="173" t="e">
        <f t="shared" si="106"/>
        <v>#NAME?</v>
      </c>
      <c r="V58" s="232" t="e">
        <f t="shared" si="63"/>
        <v>#NAME?</v>
      </c>
      <c r="W58" s="233" t="e">
        <f t="shared" si="107"/>
        <v>#NAME?</v>
      </c>
      <c r="X58" s="232" t="e">
        <f t="shared" si="13"/>
        <v>#NAME?</v>
      </c>
      <c r="Y58" s="232" t="e">
        <f t="shared" si="64"/>
        <v>#NAME?</v>
      </c>
      <c r="Z58" s="232" t="e">
        <f t="shared" si="108"/>
        <v>#NAME?</v>
      </c>
      <c r="AA58" s="234" t="e">
        <f t="shared" si="15"/>
        <v>#NAME?</v>
      </c>
      <c r="AB58" s="234" t="e">
        <f t="shared" si="65"/>
        <v>#NAME?</v>
      </c>
      <c r="AC58" s="232" t="e">
        <f t="shared" si="109"/>
        <v>#NAME?</v>
      </c>
      <c r="AD58" s="232" t="e">
        <f t="shared" si="110"/>
        <v>#NAME?</v>
      </c>
      <c r="AE58" s="232" t="e">
        <f t="shared" si="111"/>
        <v>#NAME?</v>
      </c>
      <c r="AF58">
        <v>20</v>
      </c>
      <c r="AG58" s="505" t="e">
        <f t="shared" si="82"/>
        <v>#NAME?</v>
      </c>
      <c r="AH58" s="232" t="e">
        <f t="shared" si="83"/>
        <v>#NAME?</v>
      </c>
      <c r="AI58" s="232" t="e">
        <f t="shared" si="84"/>
        <v>#NAME?</v>
      </c>
      <c r="AJ58" s="232" t="e">
        <f t="shared" si="85"/>
        <v>#NAME?</v>
      </c>
      <c r="AK58" s="232" t="e">
        <f t="shared" si="86"/>
        <v>#NAME?</v>
      </c>
      <c r="AL58" s="232" t="e">
        <f t="shared" si="112"/>
        <v>#NAME?</v>
      </c>
      <c r="AM58" s="232" t="e">
        <f t="shared" si="87"/>
        <v>#NAME?</v>
      </c>
      <c r="AN58" s="232" t="e">
        <f t="shared" si="88"/>
        <v>#NAME?</v>
      </c>
      <c r="AO58" s="232" t="e">
        <f t="shared" si="89"/>
        <v>#NAME?</v>
      </c>
      <c r="AP58" s="232" t="e">
        <f t="shared" si="66"/>
        <v>#NAME?</v>
      </c>
      <c r="AQ58" s="232" t="e">
        <f t="shared" si="90"/>
        <v>#NAME?</v>
      </c>
      <c r="AR58" s="232" t="e">
        <f t="shared" si="91"/>
        <v>#NAME?</v>
      </c>
      <c r="AS58" s="232" t="e">
        <f t="shared" si="92"/>
        <v>#NAME?</v>
      </c>
      <c r="AT58" s="232" t="e">
        <f t="shared" si="67"/>
        <v>#NAME?</v>
      </c>
      <c r="AU58" s="232" t="e">
        <f t="shared" si="93"/>
        <v>#NAME?</v>
      </c>
      <c r="AV58" s="232">
        <f t="shared" si="94"/>
        <v>0.39</v>
      </c>
      <c r="AW58" s="292" t="e">
        <f t="shared" si="75"/>
        <v>#NAME?</v>
      </c>
      <c r="AX58" s="358" t="e">
        <f t="shared" si="95"/>
        <v>#NAME?</v>
      </c>
      <c r="AY58" s="358" t="e">
        <f t="shared" si="68"/>
        <v>#NAME?</v>
      </c>
      <c r="AZ58" s="358" t="e">
        <f t="shared" si="96"/>
        <v>#NAME?</v>
      </c>
      <c r="BA58" s="358" t="e">
        <f t="shared" si="35"/>
        <v>#NAME?</v>
      </c>
      <c r="BB58" s="358" t="e">
        <f t="shared" si="36"/>
        <v>#NAME?</v>
      </c>
      <c r="BC58" s="358" t="e">
        <f t="shared" si="37"/>
        <v>#NAME?</v>
      </c>
      <c r="BD58" s="358" t="e">
        <f t="shared" si="97"/>
        <v>#NAME?</v>
      </c>
      <c r="BE58" s="358" t="e">
        <f t="shared" si="98"/>
        <v>#NAME?</v>
      </c>
      <c r="BF58" s="358" t="e">
        <f t="shared" si="99"/>
        <v>#NAME?</v>
      </c>
      <c r="BG58" s="235" t="e">
        <f t="shared" si="69"/>
        <v>#NAME?</v>
      </c>
      <c r="BH58" s="235" t="e">
        <f t="shared" si="60"/>
        <v>#NAME?</v>
      </c>
      <c r="BI58" s="235" t="e">
        <f t="shared" si="70"/>
        <v>#NAME?</v>
      </c>
      <c r="BJ58" s="175" t="e">
        <f t="shared" si="71"/>
        <v>#NAME?</v>
      </c>
      <c r="BK58" s="233">
        <f>CHOOSE(MODE, I58*1000, 'PFM Efficiency'!BI58)</f>
        <v>78</v>
      </c>
      <c r="BL58" s="175">
        <v>87.607544443240442</v>
      </c>
      <c r="BM58" s="235">
        <f t="shared" si="61"/>
        <v>0.87607544443240437</v>
      </c>
      <c r="BN58" s="293" t="e">
        <f t="shared" si="41"/>
        <v>#NAME?</v>
      </c>
      <c r="BO58" s="294"/>
      <c r="BP58" s="235" t="e">
        <f t="shared" si="72"/>
        <v>#NAME?</v>
      </c>
      <c r="BQ58" s="294"/>
      <c r="BR58" s="175" t="e">
        <f t="shared" si="73"/>
        <v>#NAME?</v>
      </c>
      <c r="BS58" s="175" t="e">
        <f t="shared" si="74"/>
        <v>#NAME?</v>
      </c>
      <c r="BT58" s="175" t="e">
        <f t="shared" si="100"/>
        <v>#NAME?</v>
      </c>
      <c r="BU58" s="235"/>
      <c r="BV58" s="235"/>
      <c r="BW58" s="175" t="e">
        <f>IF(MODE=1, BJ58, 'PFM Efficiency'!BH58)</f>
        <v>#NAME?</v>
      </c>
      <c r="BX58" s="175" t="e">
        <f>IF(MODE=1, BR58, 'PFM Efficiency'!BN58)</f>
        <v>#NAME?</v>
      </c>
      <c r="BY58" s="175" t="e">
        <f>IF(MODE=1, BS58, 'PFM Efficiency'!BO58)</f>
        <v>#NAME?</v>
      </c>
      <c r="BZ58" s="175" t="e">
        <f>IF(MODE=1, BT58, 'PFM Efficiency'!BP58)</f>
        <v>#NAME?</v>
      </c>
    </row>
    <row r="59" spans="1:78" x14ac:dyDescent="0.2">
      <c r="H59" s="173">
        <v>53</v>
      </c>
      <c r="I59" s="522">
        <f t="shared" si="76"/>
        <v>7.9500000000000001E-2</v>
      </c>
      <c r="J59" s="233" t="e">
        <f t="shared" si="77"/>
        <v>#NAME?</v>
      </c>
      <c r="K59" s="233" t="e">
        <f t="shared" si="78"/>
        <v>#NAME?</v>
      </c>
      <c r="L59" s="233" t="e">
        <f t="shared" si="79"/>
        <v>#NAME?</v>
      </c>
      <c r="M59" s="290" t="e">
        <f t="shared" si="80"/>
        <v>#NAME?</v>
      </c>
      <c r="N59" s="232" t="e">
        <f t="shared" si="62"/>
        <v>#NAME?</v>
      </c>
      <c r="O59" s="208" t="e">
        <f t="shared" si="81"/>
        <v>#NAME?</v>
      </c>
      <c r="P59" s="291" t="e">
        <f t="shared" si="101"/>
        <v>#NAME?</v>
      </c>
      <c r="Q59" s="291" t="e">
        <f t="shared" si="102"/>
        <v>#NAME?</v>
      </c>
      <c r="R59" s="291" t="e">
        <f t="shared" si="103"/>
        <v>#NAME?</v>
      </c>
      <c r="S59" s="232" t="e">
        <f t="shared" si="104"/>
        <v>#NAME?</v>
      </c>
      <c r="T59" s="232" t="e">
        <f t="shared" si="105"/>
        <v>#NAME?</v>
      </c>
      <c r="U59" s="173" t="e">
        <f t="shared" si="106"/>
        <v>#NAME?</v>
      </c>
      <c r="V59" s="232" t="e">
        <f t="shared" si="63"/>
        <v>#NAME?</v>
      </c>
      <c r="W59" s="233" t="e">
        <f t="shared" si="107"/>
        <v>#NAME?</v>
      </c>
      <c r="X59" s="232" t="e">
        <f t="shared" si="13"/>
        <v>#NAME?</v>
      </c>
      <c r="Y59" s="232" t="e">
        <f t="shared" si="64"/>
        <v>#NAME?</v>
      </c>
      <c r="Z59" s="232" t="e">
        <f t="shared" si="108"/>
        <v>#NAME?</v>
      </c>
      <c r="AA59" s="234" t="e">
        <f t="shared" si="15"/>
        <v>#NAME?</v>
      </c>
      <c r="AB59" s="234" t="e">
        <f t="shared" si="65"/>
        <v>#NAME?</v>
      </c>
      <c r="AC59" s="232" t="e">
        <f t="shared" si="109"/>
        <v>#NAME?</v>
      </c>
      <c r="AD59" s="232" t="e">
        <f t="shared" si="110"/>
        <v>#NAME?</v>
      </c>
      <c r="AE59" s="232" t="e">
        <f t="shared" si="111"/>
        <v>#NAME?</v>
      </c>
      <c r="AF59">
        <v>20</v>
      </c>
      <c r="AG59" s="505" t="e">
        <f t="shared" si="82"/>
        <v>#NAME?</v>
      </c>
      <c r="AH59" s="232" t="e">
        <f t="shared" si="83"/>
        <v>#NAME?</v>
      </c>
      <c r="AI59" s="232" t="e">
        <f t="shared" si="84"/>
        <v>#NAME?</v>
      </c>
      <c r="AJ59" s="232" t="e">
        <f t="shared" si="85"/>
        <v>#NAME?</v>
      </c>
      <c r="AK59" s="232" t="e">
        <f t="shared" si="86"/>
        <v>#NAME?</v>
      </c>
      <c r="AL59" s="232" t="e">
        <f t="shared" si="112"/>
        <v>#NAME?</v>
      </c>
      <c r="AM59" s="232" t="e">
        <f t="shared" si="87"/>
        <v>#NAME?</v>
      </c>
      <c r="AN59" s="232" t="e">
        <f t="shared" si="88"/>
        <v>#NAME?</v>
      </c>
      <c r="AO59" s="232" t="e">
        <f t="shared" si="89"/>
        <v>#NAME?</v>
      </c>
      <c r="AP59" s="232" t="e">
        <f t="shared" si="66"/>
        <v>#NAME?</v>
      </c>
      <c r="AQ59" s="232" t="e">
        <f t="shared" si="90"/>
        <v>#NAME?</v>
      </c>
      <c r="AR59" s="232" t="e">
        <f t="shared" si="91"/>
        <v>#NAME?</v>
      </c>
      <c r="AS59" s="232" t="e">
        <f t="shared" si="92"/>
        <v>#NAME?</v>
      </c>
      <c r="AT59" s="232" t="e">
        <f t="shared" si="67"/>
        <v>#NAME?</v>
      </c>
      <c r="AU59" s="232" t="e">
        <f t="shared" si="93"/>
        <v>#NAME?</v>
      </c>
      <c r="AV59" s="232">
        <f t="shared" si="94"/>
        <v>0.39750000000000002</v>
      </c>
      <c r="AW59" s="292" t="e">
        <f t="shared" si="75"/>
        <v>#NAME?</v>
      </c>
      <c r="AX59" s="358" t="e">
        <f t="shared" si="95"/>
        <v>#NAME?</v>
      </c>
      <c r="AY59" s="358" t="e">
        <f t="shared" si="68"/>
        <v>#NAME?</v>
      </c>
      <c r="AZ59" s="358" t="e">
        <f t="shared" si="96"/>
        <v>#NAME?</v>
      </c>
      <c r="BA59" s="358" t="e">
        <f t="shared" si="35"/>
        <v>#NAME?</v>
      </c>
      <c r="BB59" s="358" t="e">
        <f t="shared" si="36"/>
        <v>#NAME?</v>
      </c>
      <c r="BC59" s="358" t="e">
        <f t="shared" si="37"/>
        <v>#NAME?</v>
      </c>
      <c r="BD59" s="358" t="e">
        <f t="shared" si="97"/>
        <v>#NAME?</v>
      </c>
      <c r="BE59" s="358" t="e">
        <f t="shared" si="98"/>
        <v>#NAME?</v>
      </c>
      <c r="BF59" s="358" t="e">
        <f t="shared" si="99"/>
        <v>#NAME?</v>
      </c>
      <c r="BG59" s="235" t="e">
        <f t="shared" si="69"/>
        <v>#NAME?</v>
      </c>
      <c r="BH59" s="235" t="e">
        <f t="shared" si="60"/>
        <v>#NAME?</v>
      </c>
      <c r="BI59" s="235" t="e">
        <f t="shared" si="70"/>
        <v>#NAME?</v>
      </c>
      <c r="BJ59" s="175" t="e">
        <f t="shared" si="71"/>
        <v>#NAME?</v>
      </c>
      <c r="BK59" s="233">
        <f>CHOOSE(MODE, I59*1000, 'PFM Efficiency'!BI59)</f>
        <v>79.5</v>
      </c>
      <c r="BL59" s="175">
        <v>87.640381672202352</v>
      </c>
      <c r="BM59" s="235">
        <f t="shared" si="61"/>
        <v>0.8764038167220235</v>
      </c>
      <c r="BN59" s="293" t="e">
        <f t="shared" si="41"/>
        <v>#NAME?</v>
      </c>
      <c r="BO59" s="294"/>
      <c r="BP59" s="235" t="e">
        <f t="shared" si="72"/>
        <v>#NAME?</v>
      </c>
      <c r="BQ59" s="294"/>
      <c r="BR59" s="175" t="e">
        <f t="shared" si="73"/>
        <v>#NAME?</v>
      </c>
      <c r="BS59" s="175" t="e">
        <f t="shared" si="74"/>
        <v>#NAME?</v>
      </c>
      <c r="BT59" s="175" t="e">
        <f t="shared" si="100"/>
        <v>#NAME?</v>
      </c>
      <c r="BU59" s="235"/>
      <c r="BV59" s="235"/>
      <c r="BW59" s="175" t="e">
        <f>IF(MODE=1, BJ59, 'PFM Efficiency'!BH59)</f>
        <v>#NAME?</v>
      </c>
      <c r="BX59" s="175" t="e">
        <f>IF(MODE=1, BR59, 'PFM Efficiency'!BN59)</f>
        <v>#NAME?</v>
      </c>
      <c r="BY59" s="175" t="e">
        <f>IF(MODE=1, BS59, 'PFM Efficiency'!BO59)</f>
        <v>#NAME?</v>
      </c>
      <c r="BZ59" s="175" t="e">
        <f>IF(MODE=1, BT59, 'PFM Efficiency'!BP59)</f>
        <v>#NAME?</v>
      </c>
    </row>
    <row r="60" spans="1:78" x14ac:dyDescent="0.2">
      <c r="H60" s="173">
        <v>54</v>
      </c>
      <c r="I60" s="522">
        <f t="shared" si="76"/>
        <v>8.1000000000000003E-2</v>
      </c>
      <c r="J60" s="233" t="e">
        <f t="shared" si="77"/>
        <v>#NAME?</v>
      </c>
      <c r="K60" s="233" t="e">
        <f t="shared" si="78"/>
        <v>#NAME?</v>
      </c>
      <c r="L60" s="233" t="e">
        <f t="shared" si="79"/>
        <v>#NAME?</v>
      </c>
      <c r="M60" s="290" t="e">
        <f t="shared" si="80"/>
        <v>#NAME?</v>
      </c>
      <c r="N60" s="232" t="e">
        <f t="shared" si="62"/>
        <v>#NAME?</v>
      </c>
      <c r="O60" s="208" t="e">
        <f t="shared" si="81"/>
        <v>#NAME?</v>
      </c>
      <c r="P60" s="291" t="e">
        <f t="shared" si="101"/>
        <v>#NAME?</v>
      </c>
      <c r="Q60" s="291" t="e">
        <f t="shared" si="102"/>
        <v>#NAME?</v>
      </c>
      <c r="R60" s="291" t="e">
        <f t="shared" si="103"/>
        <v>#NAME?</v>
      </c>
      <c r="S60" s="232" t="e">
        <f t="shared" si="104"/>
        <v>#NAME?</v>
      </c>
      <c r="T60" s="232" t="e">
        <f t="shared" si="105"/>
        <v>#NAME?</v>
      </c>
      <c r="U60" s="173" t="e">
        <f t="shared" si="106"/>
        <v>#NAME?</v>
      </c>
      <c r="V60" s="232" t="e">
        <f t="shared" si="63"/>
        <v>#NAME?</v>
      </c>
      <c r="W60" s="233" t="e">
        <f t="shared" si="107"/>
        <v>#NAME?</v>
      </c>
      <c r="X60" s="232" t="e">
        <f t="shared" si="13"/>
        <v>#NAME?</v>
      </c>
      <c r="Y60" s="232" t="e">
        <f t="shared" si="64"/>
        <v>#NAME?</v>
      </c>
      <c r="Z60" s="232" t="e">
        <f t="shared" si="108"/>
        <v>#NAME?</v>
      </c>
      <c r="AA60" s="234" t="e">
        <f t="shared" si="15"/>
        <v>#NAME?</v>
      </c>
      <c r="AB60" s="234" t="e">
        <f t="shared" si="65"/>
        <v>#NAME?</v>
      </c>
      <c r="AC60" s="232" t="e">
        <f t="shared" si="109"/>
        <v>#NAME?</v>
      </c>
      <c r="AD60" s="232" t="e">
        <f t="shared" si="110"/>
        <v>#NAME?</v>
      </c>
      <c r="AE60" s="232" t="e">
        <f t="shared" si="111"/>
        <v>#NAME?</v>
      </c>
      <c r="AF60">
        <v>20</v>
      </c>
      <c r="AG60" s="505" t="e">
        <f t="shared" si="82"/>
        <v>#NAME?</v>
      </c>
      <c r="AH60" s="232" t="e">
        <f t="shared" si="83"/>
        <v>#NAME?</v>
      </c>
      <c r="AI60" s="232" t="e">
        <f t="shared" si="84"/>
        <v>#NAME?</v>
      </c>
      <c r="AJ60" s="232" t="e">
        <f t="shared" si="85"/>
        <v>#NAME?</v>
      </c>
      <c r="AK60" s="232" t="e">
        <f t="shared" si="86"/>
        <v>#NAME?</v>
      </c>
      <c r="AL60" s="232" t="e">
        <f t="shared" si="112"/>
        <v>#NAME?</v>
      </c>
      <c r="AM60" s="232" t="e">
        <f t="shared" si="87"/>
        <v>#NAME?</v>
      </c>
      <c r="AN60" s="232" t="e">
        <f t="shared" si="88"/>
        <v>#NAME?</v>
      </c>
      <c r="AO60" s="232" t="e">
        <f t="shared" si="89"/>
        <v>#NAME?</v>
      </c>
      <c r="AP60" s="232" t="e">
        <f t="shared" si="66"/>
        <v>#NAME?</v>
      </c>
      <c r="AQ60" s="232" t="e">
        <f t="shared" si="90"/>
        <v>#NAME?</v>
      </c>
      <c r="AR60" s="232" t="e">
        <f t="shared" si="91"/>
        <v>#NAME?</v>
      </c>
      <c r="AS60" s="232" t="e">
        <f t="shared" si="92"/>
        <v>#NAME?</v>
      </c>
      <c r="AT60" s="232" t="e">
        <f t="shared" si="67"/>
        <v>#NAME?</v>
      </c>
      <c r="AU60" s="232" t="e">
        <f t="shared" si="93"/>
        <v>#NAME?</v>
      </c>
      <c r="AV60" s="232">
        <f t="shared" si="94"/>
        <v>0.40500000000000003</v>
      </c>
      <c r="AW60" s="292" t="e">
        <f t="shared" si="75"/>
        <v>#NAME?</v>
      </c>
      <c r="AX60" s="358" t="e">
        <f t="shared" si="95"/>
        <v>#NAME?</v>
      </c>
      <c r="AY60" s="358" t="e">
        <f t="shared" si="68"/>
        <v>#NAME?</v>
      </c>
      <c r="AZ60" s="358" t="e">
        <f t="shared" si="96"/>
        <v>#NAME?</v>
      </c>
      <c r="BA60" s="358" t="e">
        <f t="shared" si="35"/>
        <v>#NAME?</v>
      </c>
      <c r="BB60" s="358" t="e">
        <f t="shared" si="36"/>
        <v>#NAME?</v>
      </c>
      <c r="BC60" s="358" t="e">
        <f t="shared" si="37"/>
        <v>#NAME?</v>
      </c>
      <c r="BD60" s="358" t="e">
        <f t="shared" si="97"/>
        <v>#NAME?</v>
      </c>
      <c r="BE60" s="358" t="e">
        <f t="shared" si="98"/>
        <v>#NAME?</v>
      </c>
      <c r="BF60" s="358" t="e">
        <f t="shared" si="99"/>
        <v>#NAME?</v>
      </c>
      <c r="BG60" s="235" t="e">
        <f t="shared" si="69"/>
        <v>#NAME?</v>
      </c>
      <c r="BH60" s="235" t="e">
        <f t="shared" si="60"/>
        <v>#NAME?</v>
      </c>
      <c r="BI60" s="235" t="e">
        <f t="shared" si="70"/>
        <v>#NAME?</v>
      </c>
      <c r="BJ60" s="175" t="e">
        <f t="shared" si="71"/>
        <v>#NAME?</v>
      </c>
      <c r="BK60" s="233">
        <f>CHOOSE(MODE, I60*1000, 'PFM Efficiency'!BI60)</f>
        <v>81</v>
      </c>
      <c r="BL60" s="175">
        <v>87.671972687530356</v>
      </c>
      <c r="BM60" s="235">
        <f t="shared" si="61"/>
        <v>0.87671972687530353</v>
      </c>
      <c r="BN60" s="293" t="e">
        <f t="shared" si="41"/>
        <v>#NAME?</v>
      </c>
      <c r="BO60" s="294"/>
      <c r="BP60" s="235" t="e">
        <f t="shared" si="72"/>
        <v>#NAME?</v>
      </c>
      <c r="BQ60" s="294"/>
      <c r="BR60" s="175" t="e">
        <f t="shared" si="73"/>
        <v>#NAME?</v>
      </c>
      <c r="BS60" s="175" t="e">
        <f t="shared" si="74"/>
        <v>#NAME?</v>
      </c>
      <c r="BT60" s="175" t="e">
        <f t="shared" si="100"/>
        <v>#NAME?</v>
      </c>
      <c r="BU60" s="235"/>
      <c r="BV60" s="235"/>
      <c r="BW60" s="175" t="e">
        <f>IF(MODE=1, BJ60, 'PFM Efficiency'!BH60)</f>
        <v>#NAME?</v>
      </c>
      <c r="BX60" s="175" t="e">
        <f>IF(MODE=1, BR60, 'PFM Efficiency'!BN60)</f>
        <v>#NAME?</v>
      </c>
      <c r="BY60" s="175" t="e">
        <f>IF(MODE=1, BS60, 'PFM Efficiency'!BO60)</f>
        <v>#NAME?</v>
      </c>
      <c r="BZ60" s="175" t="e">
        <f>IF(MODE=1, BT60, 'PFM Efficiency'!BP60)</f>
        <v>#NAME?</v>
      </c>
    </row>
    <row r="61" spans="1:78" x14ac:dyDescent="0.2">
      <c r="H61" s="173">
        <v>55</v>
      </c>
      <c r="I61" s="522">
        <f t="shared" si="76"/>
        <v>8.2500000000000004E-2</v>
      </c>
      <c r="J61" s="233" t="e">
        <f t="shared" si="77"/>
        <v>#NAME?</v>
      </c>
      <c r="K61" s="233" t="e">
        <f t="shared" si="78"/>
        <v>#NAME?</v>
      </c>
      <c r="L61" s="233" t="e">
        <f t="shared" si="79"/>
        <v>#NAME?</v>
      </c>
      <c r="M61" s="290" t="e">
        <f t="shared" si="80"/>
        <v>#NAME?</v>
      </c>
      <c r="N61" s="232" t="e">
        <f t="shared" si="62"/>
        <v>#NAME?</v>
      </c>
      <c r="O61" s="208" t="e">
        <f t="shared" si="81"/>
        <v>#NAME?</v>
      </c>
      <c r="P61" s="291" t="e">
        <f t="shared" si="101"/>
        <v>#NAME?</v>
      </c>
      <c r="Q61" s="291" t="e">
        <f t="shared" si="102"/>
        <v>#NAME?</v>
      </c>
      <c r="R61" s="291" t="e">
        <f t="shared" si="103"/>
        <v>#NAME?</v>
      </c>
      <c r="S61" s="232" t="e">
        <f t="shared" si="104"/>
        <v>#NAME?</v>
      </c>
      <c r="T61" s="232" t="e">
        <f t="shared" si="105"/>
        <v>#NAME?</v>
      </c>
      <c r="U61" s="173" t="e">
        <f t="shared" si="106"/>
        <v>#NAME?</v>
      </c>
      <c r="V61" s="232" t="e">
        <f t="shared" si="63"/>
        <v>#NAME?</v>
      </c>
      <c r="W61" s="233" t="e">
        <f t="shared" si="107"/>
        <v>#NAME?</v>
      </c>
      <c r="X61" s="232" t="e">
        <f t="shared" si="13"/>
        <v>#NAME?</v>
      </c>
      <c r="Y61" s="232" t="e">
        <f t="shared" si="64"/>
        <v>#NAME?</v>
      </c>
      <c r="Z61" s="232" t="e">
        <f t="shared" si="108"/>
        <v>#NAME?</v>
      </c>
      <c r="AA61" s="234" t="e">
        <f t="shared" si="15"/>
        <v>#NAME?</v>
      </c>
      <c r="AB61" s="234" t="e">
        <f t="shared" si="65"/>
        <v>#NAME?</v>
      </c>
      <c r="AC61" s="232" t="e">
        <f t="shared" si="109"/>
        <v>#NAME?</v>
      </c>
      <c r="AD61" s="232" t="e">
        <f t="shared" si="110"/>
        <v>#NAME?</v>
      </c>
      <c r="AE61" s="232" t="e">
        <f t="shared" si="111"/>
        <v>#NAME?</v>
      </c>
      <c r="AF61">
        <v>20</v>
      </c>
      <c r="AG61" s="505" t="e">
        <f t="shared" si="82"/>
        <v>#NAME?</v>
      </c>
      <c r="AH61" s="232" t="e">
        <f t="shared" si="83"/>
        <v>#NAME?</v>
      </c>
      <c r="AI61" s="232" t="e">
        <f t="shared" si="84"/>
        <v>#NAME?</v>
      </c>
      <c r="AJ61" s="232" t="e">
        <f t="shared" si="85"/>
        <v>#NAME?</v>
      </c>
      <c r="AK61" s="232" t="e">
        <f t="shared" si="86"/>
        <v>#NAME?</v>
      </c>
      <c r="AL61" s="232" t="e">
        <f t="shared" si="112"/>
        <v>#NAME?</v>
      </c>
      <c r="AM61" s="232" t="e">
        <f t="shared" si="87"/>
        <v>#NAME?</v>
      </c>
      <c r="AN61" s="232" t="e">
        <f t="shared" si="88"/>
        <v>#NAME?</v>
      </c>
      <c r="AO61" s="232" t="e">
        <f t="shared" si="89"/>
        <v>#NAME?</v>
      </c>
      <c r="AP61" s="232" t="e">
        <f t="shared" si="66"/>
        <v>#NAME?</v>
      </c>
      <c r="AQ61" s="232" t="e">
        <f t="shared" si="90"/>
        <v>#NAME?</v>
      </c>
      <c r="AR61" s="232" t="e">
        <f t="shared" si="91"/>
        <v>#NAME?</v>
      </c>
      <c r="AS61" s="232" t="e">
        <f t="shared" si="92"/>
        <v>#NAME?</v>
      </c>
      <c r="AT61" s="232" t="e">
        <f t="shared" si="67"/>
        <v>#NAME?</v>
      </c>
      <c r="AU61" s="232" t="e">
        <f t="shared" si="93"/>
        <v>#NAME?</v>
      </c>
      <c r="AV61" s="232">
        <f t="shared" si="94"/>
        <v>0.41250000000000003</v>
      </c>
      <c r="AW61" s="292" t="e">
        <f t="shared" si="75"/>
        <v>#NAME?</v>
      </c>
      <c r="AX61" s="358" t="e">
        <f t="shared" si="95"/>
        <v>#NAME?</v>
      </c>
      <c r="AY61" s="358" t="e">
        <f t="shared" si="68"/>
        <v>#NAME?</v>
      </c>
      <c r="AZ61" s="358" t="e">
        <f t="shared" si="96"/>
        <v>#NAME?</v>
      </c>
      <c r="BA61" s="358" t="e">
        <f t="shared" si="35"/>
        <v>#NAME?</v>
      </c>
      <c r="BB61" s="358" t="e">
        <f t="shared" si="36"/>
        <v>#NAME?</v>
      </c>
      <c r="BC61" s="358" t="e">
        <f t="shared" si="37"/>
        <v>#NAME?</v>
      </c>
      <c r="BD61" s="358" t="e">
        <f t="shared" si="97"/>
        <v>#NAME?</v>
      </c>
      <c r="BE61" s="358" t="e">
        <f t="shared" si="98"/>
        <v>#NAME?</v>
      </c>
      <c r="BF61" s="358" t="e">
        <f t="shared" si="99"/>
        <v>#NAME?</v>
      </c>
      <c r="BG61" s="235" t="e">
        <f t="shared" si="69"/>
        <v>#NAME?</v>
      </c>
      <c r="BH61" s="235" t="e">
        <f t="shared" si="60"/>
        <v>#NAME?</v>
      </c>
      <c r="BI61" s="235" t="e">
        <f t="shared" si="70"/>
        <v>#NAME?</v>
      </c>
      <c r="BJ61" s="175" t="e">
        <f t="shared" si="71"/>
        <v>#NAME?</v>
      </c>
      <c r="BK61" s="233">
        <f>CHOOSE(MODE, I61*1000, 'PFM Efficiency'!BI61)</f>
        <v>82.5</v>
      </c>
      <c r="BL61" s="175">
        <v>87.702384109642679</v>
      </c>
      <c r="BM61" s="235">
        <f t="shared" si="61"/>
        <v>0.87702384109642684</v>
      </c>
      <c r="BN61" s="293" t="e">
        <f t="shared" si="41"/>
        <v>#NAME?</v>
      </c>
      <c r="BO61" s="294"/>
      <c r="BP61" s="235" t="e">
        <f t="shared" si="72"/>
        <v>#NAME?</v>
      </c>
      <c r="BQ61" s="294"/>
      <c r="BR61" s="175" t="e">
        <f t="shared" si="73"/>
        <v>#NAME?</v>
      </c>
      <c r="BS61" s="175" t="e">
        <f t="shared" si="74"/>
        <v>#NAME?</v>
      </c>
      <c r="BT61" s="175" t="e">
        <f t="shared" si="100"/>
        <v>#NAME?</v>
      </c>
      <c r="BU61" s="235"/>
      <c r="BV61" s="235"/>
      <c r="BW61" s="175" t="e">
        <f>IF(MODE=1, BJ61, 'PFM Efficiency'!BH61)</f>
        <v>#NAME?</v>
      </c>
      <c r="BX61" s="175" t="e">
        <f>IF(MODE=1, BR61, 'PFM Efficiency'!BN61)</f>
        <v>#NAME?</v>
      </c>
      <c r="BY61" s="175" t="e">
        <f>IF(MODE=1, BS61, 'PFM Efficiency'!BO61)</f>
        <v>#NAME?</v>
      </c>
      <c r="BZ61" s="175" t="e">
        <f>IF(MODE=1, BT61, 'PFM Efficiency'!BP61)</f>
        <v>#NAME?</v>
      </c>
    </row>
    <row r="62" spans="1:78" x14ac:dyDescent="0.2">
      <c r="H62" s="173">
        <v>56</v>
      </c>
      <c r="I62" s="522">
        <f t="shared" si="76"/>
        <v>8.4000000000000005E-2</v>
      </c>
      <c r="J62" s="233" t="e">
        <f t="shared" si="77"/>
        <v>#NAME?</v>
      </c>
      <c r="K62" s="233" t="e">
        <f t="shared" si="78"/>
        <v>#NAME?</v>
      </c>
      <c r="L62" s="233" t="e">
        <f t="shared" si="79"/>
        <v>#NAME?</v>
      </c>
      <c r="M62" s="290" t="e">
        <f t="shared" si="80"/>
        <v>#NAME?</v>
      </c>
      <c r="N62" s="232" t="e">
        <f t="shared" si="62"/>
        <v>#NAME?</v>
      </c>
      <c r="O62" s="208" t="e">
        <f t="shared" si="81"/>
        <v>#NAME?</v>
      </c>
      <c r="P62" s="291" t="e">
        <f t="shared" si="101"/>
        <v>#NAME?</v>
      </c>
      <c r="Q62" s="291" t="e">
        <f t="shared" si="102"/>
        <v>#NAME?</v>
      </c>
      <c r="R62" s="291" t="e">
        <f t="shared" si="103"/>
        <v>#NAME?</v>
      </c>
      <c r="S62" s="232" t="e">
        <f t="shared" si="104"/>
        <v>#NAME?</v>
      </c>
      <c r="T62" s="232" t="e">
        <f t="shared" si="105"/>
        <v>#NAME?</v>
      </c>
      <c r="U62" s="173" t="e">
        <f t="shared" si="106"/>
        <v>#NAME?</v>
      </c>
      <c r="V62" s="232" t="e">
        <f t="shared" si="63"/>
        <v>#NAME?</v>
      </c>
      <c r="W62" s="233" t="e">
        <f t="shared" si="107"/>
        <v>#NAME?</v>
      </c>
      <c r="X62" s="232" t="e">
        <f t="shared" si="13"/>
        <v>#NAME?</v>
      </c>
      <c r="Y62" s="232" t="e">
        <f t="shared" si="64"/>
        <v>#NAME?</v>
      </c>
      <c r="Z62" s="232" t="e">
        <f t="shared" si="108"/>
        <v>#NAME?</v>
      </c>
      <c r="AA62" s="234" t="e">
        <f t="shared" si="15"/>
        <v>#NAME?</v>
      </c>
      <c r="AB62" s="234" t="e">
        <f t="shared" si="65"/>
        <v>#NAME?</v>
      </c>
      <c r="AC62" s="232" t="e">
        <f t="shared" si="109"/>
        <v>#NAME?</v>
      </c>
      <c r="AD62" s="232" t="e">
        <f t="shared" si="110"/>
        <v>#NAME?</v>
      </c>
      <c r="AE62" s="232" t="e">
        <f t="shared" si="111"/>
        <v>#NAME?</v>
      </c>
      <c r="AF62">
        <v>20</v>
      </c>
      <c r="AG62" s="505" t="e">
        <f t="shared" si="82"/>
        <v>#NAME?</v>
      </c>
      <c r="AH62" s="232" t="e">
        <f t="shared" si="83"/>
        <v>#NAME?</v>
      </c>
      <c r="AI62" s="232" t="e">
        <f t="shared" si="84"/>
        <v>#NAME?</v>
      </c>
      <c r="AJ62" s="232" t="e">
        <f t="shared" si="85"/>
        <v>#NAME?</v>
      </c>
      <c r="AK62" s="232" t="e">
        <f t="shared" si="86"/>
        <v>#NAME?</v>
      </c>
      <c r="AL62" s="232" t="e">
        <f t="shared" si="112"/>
        <v>#NAME?</v>
      </c>
      <c r="AM62" s="232" t="e">
        <f t="shared" si="87"/>
        <v>#NAME?</v>
      </c>
      <c r="AN62" s="232" t="e">
        <f t="shared" si="88"/>
        <v>#NAME?</v>
      </c>
      <c r="AO62" s="232" t="e">
        <f t="shared" si="89"/>
        <v>#NAME?</v>
      </c>
      <c r="AP62" s="232" t="e">
        <f t="shared" si="66"/>
        <v>#NAME?</v>
      </c>
      <c r="AQ62" s="232" t="e">
        <f t="shared" si="90"/>
        <v>#NAME?</v>
      </c>
      <c r="AR62" s="232" t="e">
        <f t="shared" si="91"/>
        <v>#NAME?</v>
      </c>
      <c r="AS62" s="232" t="e">
        <f t="shared" si="92"/>
        <v>#NAME?</v>
      </c>
      <c r="AT62" s="232" t="e">
        <f t="shared" si="67"/>
        <v>#NAME?</v>
      </c>
      <c r="AU62" s="232" t="e">
        <f t="shared" si="93"/>
        <v>#NAME?</v>
      </c>
      <c r="AV62" s="232">
        <f t="shared" si="94"/>
        <v>0.42000000000000004</v>
      </c>
      <c r="AW62" s="292" t="e">
        <f t="shared" si="75"/>
        <v>#NAME?</v>
      </c>
      <c r="AX62" s="358" t="e">
        <f t="shared" si="95"/>
        <v>#NAME?</v>
      </c>
      <c r="AY62" s="358" t="e">
        <f t="shared" si="68"/>
        <v>#NAME?</v>
      </c>
      <c r="AZ62" s="358" t="e">
        <f t="shared" si="96"/>
        <v>#NAME?</v>
      </c>
      <c r="BA62" s="358" t="e">
        <f t="shared" si="35"/>
        <v>#NAME?</v>
      </c>
      <c r="BB62" s="358" t="e">
        <f t="shared" si="36"/>
        <v>#NAME?</v>
      </c>
      <c r="BC62" s="358" t="e">
        <f t="shared" si="37"/>
        <v>#NAME?</v>
      </c>
      <c r="BD62" s="358" t="e">
        <f t="shared" si="97"/>
        <v>#NAME?</v>
      </c>
      <c r="BE62" s="358" t="e">
        <f t="shared" si="98"/>
        <v>#NAME?</v>
      </c>
      <c r="BF62" s="358" t="e">
        <f t="shared" si="99"/>
        <v>#NAME?</v>
      </c>
      <c r="BG62" s="235" t="e">
        <f t="shared" si="69"/>
        <v>#NAME?</v>
      </c>
      <c r="BH62" s="235" t="e">
        <f t="shared" si="60"/>
        <v>#NAME?</v>
      </c>
      <c r="BI62" s="235" t="e">
        <f t="shared" si="70"/>
        <v>#NAME?</v>
      </c>
      <c r="BJ62" s="175" t="e">
        <f t="shared" si="71"/>
        <v>#NAME?</v>
      </c>
      <c r="BK62" s="233">
        <f>CHOOSE(MODE, I62*1000, 'PFM Efficiency'!BI62)</f>
        <v>84</v>
      </c>
      <c r="BL62" s="175">
        <v>87.731677892610605</v>
      </c>
      <c r="BM62" s="235">
        <f t="shared" si="61"/>
        <v>0.87731677892610604</v>
      </c>
      <c r="BN62" s="293" t="e">
        <f t="shared" si="41"/>
        <v>#NAME?</v>
      </c>
      <c r="BO62" s="294"/>
      <c r="BP62" s="235" t="e">
        <f t="shared" si="72"/>
        <v>#NAME?</v>
      </c>
      <c r="BQ62" s="294"/>
      <c r="BR62" s="175" t="e">
        <f t="shared" si="73"/>
        <v>#NAME?</v>
      </c>
      <c r="BS62" s="175" t="e">
        <f t="shared" si="74"/>
        <v>#NAME?</v>
      </c>
      <c r="BT62" s="175" t="e">
        <f t="shared" si="100"/>
        <v>#NAME?</v>
      </c>
      <c r="BU62" s="235"/>
      <c r="BV62" s="235"/>
      <c r="BW62" s="175" t="e">
        <f>IF(MODE=1, BJ62, 'PFM Efficiency'!BH62)</f>
        <v>#NAME?</v>
      </c>
      <c r="BX62" s="175" t="e">
        <f>IF(MODE=1, BR62, 'PFM Efficiency'!BN62)</f>
        <v>#NAME?</v>
      </c>
      <c r="BY62" s="175" t="e">
        <f>IF(MODE=1, BS62, 'PFM Efficiency'!BO62)</f>
        <v>#NAME?</v>
      </c>
      <c r="BZ62" s="175" t="e">
        <f>IF(MODE=1, BT62, 'PFM Efficiency'!BP62)</f>
        <v>#NAME?</v>
      </c>
    </row>
    <row r="63" spans="1:78" x14ac:dyDescent="0.2">
      <c r="B63" s="173">
        <v>1500</v>
      </c>
      <c r="F63" s="316" t="s">
        <v>393</v>
      </c>
      <c r="G63" s="316" t="s">
        <v>394</v>
      </c>
      <c r="H63" s="173">
        <v>57</v>
      </c>
      <c r="I63" s="522">
        <f t="shared" si="76"/>
        <v>8.5499999999999993E-2</v>
      </c>
      <c r="J63" s="233" t="e">
        <f t="shared" si="77"/>
        <v>#NAME?</v>
      </c>
      <c r="K63" s="233" t="e">
        <f t="shared" si="78"/>
        <v>#NAME?</v>
      </c>
      <c r="L63" s="233" t="e">
        <f t="shared" si="79"/>
        <v>#NAME?</v>
      </c>
      <c r="M63" s="290" t="e">
        <f t="shared" si="80"/>
        <v>#NAME?</v>
      </c>
      <c r="N63" s="232" t="e">
        <f t="shared" si="62"/>
        <v>#NAME?</v>
      </c>
      <c r="O63" s="208" t="e">
        <f t="shared" si="81"/>
        <v>#NAME?</v>
      </c>
      <c r="P63" s="291" t="e">
        <f t="shared" si="101"/>
        <v>#NAME?</v>
      </c>
      <c r="Q63" s="291" t="e">
        <f t="shared" si="102"/>
        <v>#NAME?</v>
      </c>
      <c r="R63" s="291" t="e">
        <f t="shared" si="103"/>
        <v>#NAME?</v>
      </c>
      <c r="S63" s="232" t="e">
        <f t="shared" si="104"/>
        <v>#NAME?</v>
      </c>
      <c r="T63" s="232" t="e">
        <f t="shared" si="105"/>
        <v>#NAME?</v>
      </c>
      <c r="U63" s="173" t="e">
        <f t="shared" si="106"/>
        <v>#NAME?</v>
      </c>
      <c r="V63" s="232" t="e">
        <f t="shared" si="63"/>
        <v>#NAME?</v>
      </c>
      <c r="W63" s="233" t="e">
        <f t="shared" si="107"/>
        <v>#NAME?</v>
      </c>
      <c r="X63" s="232" t="e">
        <f t="shared" si="13"/>
        <v>#NAME?</v>
      </c>
      <c r="Y63" s="232" t="e">
        <f t="shared" si="64"/>
        <v>#NAME?</v>
      </c>
      <c r="Z63" s="232" t="e">
        <f t="shared" si="108"/>
        <v>#NAME?</v>
      </c>
      <c r="AA63" s="234" t="e">
        <f t="shared" si="15"/>
        <v>#NAME?</v>
      </c>
      <c r="AB63" s="234" t="e">
        <f t="shared" si="65"/>
        <v>#NAME?</v>
      </c>
      <c r="AC63" s="232" t="e">
        <f t="shared" si="109"/>
        <v>#NAME?</v>
      </c>
      <c r="AD63" s="232" t="e">
        <f t="shared" si="110"/>
        <v>#NAME?</v>
      </c>
      <c r="AE63" s="232" t="e">
        <f t="shared" si="111"/>
        <v>#NAME?</v>
      </c>
      <c r="AF63">
        <v>20</v>
      </c>
      <c r="AG63" s="505" t="e">
        <f t="shared" si="82"/>
        <v>#NAME?</v>
      </c>
      <c r="AH63" s="232" t="e">
        <f t="shared" si="83"/>
        <v>#NAME?</v>
      </c>
      <c r="AI63" s="232" t="e">
        <f t="shared" si="84"/>
        <v>#NAME?</v>
      </c>
      <c r="AJ63" s="232" t="e">
        <f t="shared" si="85"/>
        <v>#NAME?</v>
      </c>
      <c r="AK63" s="232" t="e">
        <f t="shared" si="86"/>
        <v>#NAME?</v>
      </c>
      <c r="AL63" s="232" t="e">
        <f t="shared" si="112"/>
        <v>#NAME?</v>
      </c>
      <c r="AM63" s="232" t="e">
        <f t="shared" si="87"/>
        <v>#NAME?</v>
      </c>
      <c r="AN63" s="232" t="e">
        <f t="shared" si="88"/>
        <v>#NAME?</v>
      </c>
      <c r="AO63" s="232" t="e">
        <f t="shared" si="89"/>
        <v>#NAME?</v>
      </c>
      <c r="AP63" s="232" t="e">
        <f t="shared" si="66"/>
        <v>#NAME?</v>
      </c>
      <c r="AQ63" s="232" t="e">
        <f t="shared" si="90"/>
        <v>#NAME?</v>
      </c>
      <c r="AR63" s="232" t="e">
        <f t="shared" si="91"/>
        <v>#NAME?</v>
      </c>
      <c r="AS63" s="232" t="e">
        <f t="shared" si="92"/>
        <v>#NAME?</v>
      </c>
      <c r="AT63" s="232" t="e">
        <f t="shared" si="67"/>
        <v>#NAME?</v>
      </c>
      <c r="AU63" s="232" t="e">
        <f t="shared" si="93"/>
        <v>#NAME?</v>
      </c>
      <c r="AV63" s="232">
        <f t="shared" si="94"/>
        <v>0.42749999999999999</v>
      </c>
      <c r="AW63" s="292" t="e">
        <f t="shared" si="75"/>
        <v>#NAME?</v>
      </c>
      <c r="AX63" s="358" t="e">
        <f t="shared" si="95"/>
        <v>#NAME?</v>
      </c>
      <c r="AY63" s="358" t="e">
        <f t="shared" si="68"/>
        <v>#NAME?</v>
      </c>
      <c r="AZ63" s="358" t="e">
        <f t="shared" si="96"/>
        <v>#NAME?</v>
      </c>
      <c r="BA63" s="358" t="e">
        <f t="shared" si="35"/>
        <v>#NAME?</v>
      </c>
      <c r="BB63" s="358" t="e">
        <f t="shared" si="36"/>
        <v>#NAME?</v>
      </c>
      <c r="BC63" s="358" t="e">
        <f t="shared" si="37"/>
        <v>#NAME?</v>
      </c>
      <c r="BD63" s="358" t="e">
        <f t="shared" si="97"/>
        <v>#NAME?</v>
      </c>
      <c r="BE63" s="358" t="e">
        <f t="shared" si="98"/>
        <v>#NAME?</v>
      </c>
      <c r="BF63" s="358" t="e">
        <f t="shared" si="99"/>
        <v>#NAME?</v>
      </c>
      <c r="BG63" s="235" t="e">
        <f t="shared" si="69"/>
        <v>#NAME?</v>
      </c>
      <c r="BH63" s="235" t="e">
        <f t="shared" si="60"/>
        <v>#NAME?</v>
      </c>
      <c r="BI63" s="235" t="e">
        <f t="shared" si="70"/>
        <v>#NAME?</v>
      </c>
      <c r="BJ63" s="175" t="e">
        <f t="shared" si="71"/>
        <v>#NAME?</v>
      </c>
      <c r="BK63" s="233">
        <f>CHOOSE(MODE, I63*1000, 'PFM Efficiency'!BI63)</f>
        <v>85.499999999999986</v>
      </c>
      <c r="BL63" s="175">
        <v>87.759911725729523</v>
      </c>
      <c r="BM63" s="235">
        <f t="shared" si="61"/>
        <v>0.87759911725729522</v>
      </c>
      <c r="BN63" s="293" t="e">
        <f t="shared" si="41"/>
        <v>#NAME?</v>
      </c>
      <c r="BO63" s="294"/>
      <c r="BP63" s="235" t="e">
        <f t="shared" si="72"/>
        <v>#NAME?</v>
      </c>
      <c r="BQ63" s="294"/>
      <c r="BR63" s="175" t="e">
        <f t="shared" si="73"/>
        <v>#NAME?</v>
      </c>
      <c r="BS63" s="175" t="e">
        <f t="shared" si="74"/>
        <v>#NAME?</v>
      </c>
      <c r="BT63" s="175" t="e">
        <f t="shared" si="100"/>
        <v>#NAME?</v>
      </c>
      <c r="BU63" s="235"/>
      <c r="BV63" s="235"/>
      <c r="BW63" s="175" t="e">
        <f>IF(MODE=1, BJ63, 'PFM Efficiency'!BH63)</f>
        <v>#NAME?</v>
      </c>
      <c r="BX63" s="175" t="e">
        <f>IF(MODE=1, BR63, 'PFM Efficiency'!BN63)</f>
        <v>#NAME?</v>
      </c>
      <c r="BY63" s="175" t="e">
        <f>IF(MODE=1, BS63, 'PFM Efficiency'!BO63)</f>
        <v>#NAME?</v>
      </c>
      <c r="BZ63" s="175" t="e">
        <f>IF(MODE=1, BT63, 'PFM Efficiency'!BP63)</f>
        <v>#NAME?</v>
      </c>
    </row>
    <row r="64" spans="1:78" x14ac:dyDescent="0.2">
      <c r="F64" s="340" t="e">
        <f>BJ56</f>
        <v>#NAME?</v>
      </c>
      <c r="G64" s="341">
        <f>I56*1000</f>
        <v>75</v>
      </c>
      <c r="H64" s="173">
        <v>58</v>
      </c>
      <c r="I64" s="522">
        <f t="shared" si="76"/>
        <v>8.6999999999999994E-2</v>
      </c>
      <c r="J64" s="233" t="e">
        <f t="shared" si="77"/>
        <v>#NAME?</v>
      </c>
      <c r="K64" s="233" t="e">
        <f t="shared" si="78"/>
        <v>#NAME?</v>
      </c>
      <c r="L64" s="233" t="e">
        <f t="shared" si="79"/>
        <v>#NAME?</v>
      </c>
      <c r="M64" s="290" t="e">
        <f t="shared" si="80"/>
        <v>#NAME?</v>
      </c>
      <c r="N64" s="232" t="e">
        <f t="shared" si="62"/>
        <v>#NAME?</v>
      </c>
      <c r="O64" s="208" t="e">
        <f t="shared" si="81"/>
        <v>#NAME?</v>
      </c>
      <c r="P64" s="291" t="e">
        <f t="shared" si="101"/>
        <v>#NAME?</v>
      </c>
      <c r="Q64" s="291" t="e">
        <f t="shared" si="102"/>
        <v>#NAME?</v>
      </c>
      <c r="R64" s="291" t="e">
        <f t="shared" si="103"/>
        <v>#NAME?</v>
      </c>
      <c r="S64" s="232" t="e">
        <f t="shared" si="104"/>
        <v>#NAME?</v>
      </c>
      <c r="T64" s="232" t="e">
        <f t="shared" si="105"/>
        <v>#NAME?</v>
      </c>
      <c r="U64" s="173" t="e">
        <f t="shared" si="106"/>
        <v>#NAME?</v>
      </c>
      <c r="V64" s="232" t="e">
        <f t="shared" si="63"/>
        <v>#NAME?</v>
      </c>
      <c r="W64" s="233" t="e">
        <f t="shared" si="107"/>
        <v>#NAME?</v>
      </c>
      <c r="X64" s="232" t="e">
        <f t="shared" si="13"/>
        <v>#NAME?</v>
      </c>
      <c r="Y64" s="232" t="e">
        <f t="shared" si="64"/>
        <v>#NAME?</v>
      </c>
      <c r="Z64" s="232" t="e">
        <f t="shared" si="108"/>
        <v>#NAME?</v>
      </c>
      <c r="AA64" s="234" t="e">
        <f t="shared" si="15"/>
        <v>#NAME?</v>
      </c>
      <c r="AB64" s="234" t="e">
        <f t="shared" si="65"/>
        <v>#NAME?</v>
      </c>
      <c r="AC64" s="232" t="e">
        <f t="shared" si="109"/>
        <v>#NAME?</v>
      </c>
      <c r="AD64" s="232" t="e">
        <f t="shared" si="110"/>
        <v>#NAME?</v>
      </c>
      <c r="AE64" s="232" t="e">
        <f t="shared" si="111"/>
        <v>#NAME?</v>
      </c>
      <c r="AF64">
        <v>20</v>
      </c>
      <c r="AG64" s="505" t="e">
        <f t="shared" si="82"/>
        <v>#NAME?</v>
      </c>
      <c r="AH64" s="232" t="e">
        <f t="shared" si="83"/>
        <v>#NAME?</v>
      </c>
      <c r="AI64" s="232" t="e">
        <f t="shared" si="84"/>
        <v>#NAME?</v>
      </c>
      <c r="AJ64" s="232" t="e">
        <f t="shared" si="85"/>
        <v>#NAME?</v>
      </c>
      <c r="AK64" s="232" t="e">
        <f t="shared" si="86"/>
        <v>#NAME?</v>
      </c>
      <c r="AL64" s="232" t="e">
        <f t="shared" si="112"/>
        <v>#NAME?</v>
      </c>
      <c r="AM64" s="232" t="e">
        <f t="shared" si="87"/>
        <v>#NAME?</v>
      </c>
      <c r="AN64" s="232" t="e">
        <f t="shared" si="88"/>
        <v>#NAME?</v>
      </c>
      <c r="AO64" s="232" t="e">
        <f t="shared" si="89"/>
        <v>#NAME?</v>
      </c>
      <c r="AP64" s="232" t="e">
        <f t="shared" si="66"/>
        <v>#NAME?</v>
      </c>
      <c r="AQ64" s="232" t="e">
        <f t="shared" si="90"/>
        <v>#NAME?</v>
      </c>
      <c r="AR64" s="232" t="e">
        <f t="shared" si="91"/>
        <v>#NAME?</v>
      </c>
      <c r="AS64" s="232" t="e">
        <f t="shared" si="92"/>
        <v>#NAME?</v>
      </c>
      <c r="AT64" s="232" t="e">
        <f t="shared" si="67"/>
        <v>#NAME?</v>
      </c>
      <c r="AU64" s="232" t="e">
        <f t="shared" si="93"/>
        <v>#NAME?</v>
      </c>
      <c r="AV64" s="232">
        <f t="shared" si="94"/>
        <v>0.43499999999999994</v>
      </c>
      <c r="AW64" s="292" t="e">
        <f t="shared" si="75"/>
        <v>#NAME?</v>
      </c>
      <c r="AX64" s="358" t="e">
        <f t="shared" si="95"/>
        <v>#NAME?</v>
      </c>
      <c r="AY64" s="358" t="e">
        <f t="shared" si="68"/>
        <v>#NAME?</v>
      </c>
      <c r="AZ64" s="358" t="e">
        <f t="shared" si="96"/>
        <v>#NAME?</v>
      </c>
      <c r="BA64" s="358" t="e">
        <f t="shared" si="35"/>
        <v>#NAME?</v>
      </c>
      <c r="BB64" s="358" t="e">
        <f t="shared" si="36"/>
        <v>#NAME?</v>
      </c>
      <c r="BC64" s="358" t="e">
        <f t="shared" si="37"/>
        <v>#NAME?</v>
      </c>
      <c r="BD64" s="358" t="e">
        <f t="shared" si="97"/>
        <v>#NAME?</v>
      </c>
      <c r="BE64" s="358" t="e">
        <f t="shared" si="98"/>
        <v>#NAME?</v>
      </c>
      <c r="BF64" s="358" t="e">
        <f t="shared" si="99"/>
        <v>#NAME?</v>
      </c>
      <c r="BG64" s="235" t="e">
        <f t="shared" si="69"/>
        <v>#NAME?</v>
      </c>
      <c r="BH64" s="235" t="e">
        <f t="shared" si="60"/>
        <v>#NAME?</v>
      </c>
      <c r="BI64" s="235" t="e">
        <f t="shared" si="70"/>
        <v>#NAME?</v>
      </c>
      <c r="BJ64" s="175" t="e">
        <f t="shared" si="71"/>
        <v>#NAME?</v>
      </c>
      <c r="BK64" s="233">
        <f>CHOOSE(MODE, I64*1000, 'PFM Efficiency'!BI64)</f>
        <v>87</v>
      </c>
      <c r="BL64" s="175">
        <v>87.787139394322296</v>
      </c>
      <c r="BM64" s="235">
        <f t="shared" si="61"/>
        <v>0.877871393943223</v>
      </c>
      <c r="BN64" s="293" t="e">
        <f t="shared" si="41"/>
        <v>#NAME?</v>
      </c>
      <c r="BO64" s="294"/>
      <c r="BP64" s="235" t="e">
        <f t="shared" si="72"/>
        <v>#NAME?</v>
      </c>
      <c r="BQ64" s="294"/>
      <c r="BR64" s="175" t="e">
        <f t="shared" si="73"/>
        <v>#NAME?</v>
      </c>
      <c r="BS64" s="175" t="e">
        <f t="shared" si="74"/>
        <v>#NAME?</v>
      </c>
      <c r="BT64" s="175" t="e">
        <f t="shared" si="100"/>
        <v>#NAME?</v>
      </c>
      <c r="BU64" s="235"/>
      <c r="BV64" s="235"/>
      <c r="BW64" s="175" t="e">
        <f>IF(MODE=1, BJ64, 'PFM Efficiency'!BH64)</f>
        <v>#NAME?</v>
      </c>
      <c r="BX64" s="175" t="e">
        <f>IF(MODE=1, BR64, 'PFM Efficiency'!BN64)</f>
        <v>#NAME?</v>
      </c>
      <c r="BY64" s="175" t="e">
        <f>IF(MODE=1, BS64, 'PFM Efficiency'!BO64)</f>
        <v>#NAME?</v>
      </c>
      <c r="BZ64" s="175" t="e">
        <f>IF(MODE=1, BT64, 'PFM Efficiency'!BP64)</f>
        <v>#NAME?</v>
      </c>
    </row>
    <row r="65" spans="6:78" x14ac:dyDescent="0.2">
      <c r="F65" s="340" t="e">
        <f>BJ81</f>
        <v>#NAME?</v>
      </c>
      <c r="G65" s="341">
        <f>I81*1000</f>
        <v>112.49999999999999</v>
      </c>
      <c r="H65" s="173">
        <v>59</v>
      </c>
      <c r="I65" s="522">
        <f t="shared" si="76"/>
        <v>8.8499999999999995E-2</v>
      </c>
      <c r="J65" s="233" t="e">
        <f t="shared" si="77"/>
        <v>#NAME?</v>
      </c>
      <c r="K65" s="233" t="e">
        <f t="shared" si="78"/>
        <v>#NAME?</v>
      </c>
      <c r="L65" s="233" t="e">
        <f t="shared" si="79"/>
        <v>#NAME?</v>
      </c>
      <c r="M65" s="290" t="e">
        <f t="shared" si="80"/>
        <v>#NAME?</v>
      </c>
      <c r="N65" s="232" t="e">
        <f t="shared" si="62"/>
        <v>#NAME?</v>
      </c>
      <c r="O65" s="208" t="e">
        <f t="shared" si="81"/>
        <v>#NAME?</v>
      </c>
      <c r="P65" s="291" t="e">
        <f t="shared" si="101"/>
        <v>#NAME?</v>
      </c>
      <c r="Q65" s="291" t="e">
        <f t="shared" si="102"/>
        <v>#NAME?</v>
      </c>
      <c r="R65" s="291" t="e">
        <f t="shared" si="103"/>
        <v>#NAME?</v>
      </c>
      <c r="S65" s="232" t="e">
        <f t="shared" si="104"/>
        <v>#NAME?</v>
      </c>
      <c r="T65" s="232" t="e">
        <f t="shared" si="105"/>
        <v>#NAME?</v>
      </c>
      <c r="U65" s="173" t="e">
        <f t="shared" si="106"/>
        <v>#NAME?</v>
      </c>
      <c r="V65" s="232" t="e">
        <f t="shared" si="63"/>
        <v>#NAME?</v>
      </c>
      <c r="W65" s="233" t="e">
        <f t="shared" si="107"/>
        <v>#NAME?</v>
      </c>
      <c r="X65" s="232" t="e">
        <f t="shared" si="13"/>
        <v>#NAME?</v>
      </c>
      <c r="Y65" s="232" t="e">
        <f t="shared" si="64"/>
        <v>#NAME?</v>
      </c>
      <c r="Z65" s="232" t="e">
        <f t="shared" si="108"/>
        <v>#NAME?</v>
      </c>
      <c r="AA65" s="234" t="e">
        <f t="shared" si="15"/>
        <v>#NAME?</v>
      </c>
      <c r="AB65" s="234" t="e">
        <f t="shared" si="65"/>
        <v>#NAME?</v>
      </c>
      <c r="AC65" s="232" t="e">
        <f t="shared" si="109"/>
        <v>#NAME?</v>
      </c>
      <c r="AD65" s="232" t="e">
        <f t="shared" si="110"/>
        <v>#NAME?</v>
      </c>
      <c r="AE65" s="232" t="e">
        <f t="shared" si="111"/>
        <v>#NAME?</v>
      </c>
      <c r="AF65">
        <v>20</v>
      </c>
      <c r="AG65" s="505" t="e">
        <f t="shared" si="82"/>
        <v>#NAME?</v>
      </c>
      <c r="AH65" s="232" t="e">
        <f t="shared" si="83"/>
        <v>#NAME?</v>
      </c>
      <c r="AI65" s="232" t="e">
        <f t="shared" si="84"/>
        <v>#NAME?</v>
      </c>
      <c r="AJ65" s="232" t="e">
        <f t="shared" si="85"/>
        <v>#NAME?</v>
      </c>
      <c r="AK65" s="232" t="e">
        <f t="shared" si="86"/>
        <v>#NAME?</v>
      </c>
      <c r="AL65" s="232" t="e">
        <f t="shared" si="112"/>
        <v>#NAME?</v>
      </c>
      <c r="AM65" s="232" t="e">
        <f t="shared" si="87"/>
        <v>#NAME?</v>
      </c>
      <c r="AN65" s="232" t="e">
        <f t="shared" si="88"/>
        <v>#NAME?</v>
      </c>
      <c r="AO65" s="232" t="e">
        <f t="shared" si="89"/>
        <v>#NAME?</v>
      </c>
      <c r="AP65" s="232" t="e">
        <f t="shared" si="66"/>
        <v>#NAME?</v>
      </c>
      <c r="AQ65" s="232" t="e">
        <f t="shared" si="90"/>
        <v>#NAME?</v>
      </c>
      <c r="AR65" s="232" t="e">
        <f t="shared" si="91"/>
        <v>#NAME?</v>
      </c>
      <c r="AS65" s="232" t="e">
        <f t="shared" si="92"/>
        <v>#NAME?</v>
      </c>
      <c r="AT65" s="232" t="e">
        <f t="shared" si="67"/>
        <v>#NAME?</v>
      </c>
      <c r="AU65" s="232" t="e">
        <f t="shared" si="93"/>
        <v>#NAME?</v>
      </c>
      <c r="AV65" s="232">
        <f t="shared" si="94"/>
        <v>0.4425</v>
      </c>
      <c r="AW65" s="292" t="e">
        <f t="shared" si="75"/>
        <v>#NAME?</v>
      </c>
      <c r="AX65" s="358" t="e">
        <f t="shared" si="95"/>
        <v>#NAME?</v>
      </c>
      <c r="AY65" s="358" t="e">
        <f t="shared" si="68"/>
        <v>#NAME?</v>
      </c>
      <c r="AZ65" s="358" t="e">
        <f t="shared" si="96"/>
        <v>#NAME?</v>
      </c>
      <c r="BA65" s="358" t="e">
        <f t="shared" si="35"/>
        <v>#NAME?</v>
      </c>
      <c r="BB65" s="358" t="e">
        <f t="shared" si="36"/>
        <v>#NAME?</v>
      </c>
      <c r="BC65" s="358" t="e">
        <f t="shared" si="37"/>
        <v>#NAME?</v>
      </c>
      <c r="BD65" s="358" t="e">
        <f t="shared" si="97"/>
        <v>#NAME?</v>
      </c>
      <c r="BE65" s="358" t="e">
        <f t="shared" si="98"/>
        <v>#NAME?</v>
      </c>
      <c r="BF65" s="358" t="e">
        <f t="shared" si="99"/>
        <v>#NAME?</v>
      </c>
      <c r="BG65" s="235" t="e">
        <f t="shared" si="69"/>
        <v>#NAME?</v>
      </c>
      <c r="BH65" s="235" t="e">
        <f t="shared" si="60"/>
        <v>#NAME?</v>
      </c>
      <c r="BI65" s="235" t="e">
        <f t="shared" si="70"/>
        <v>#NAME?</v>
      </c>
      <c r="BJ65" s="175" t="e">
        <f t="shared" si="71"/>
        <v>#NAME?</v>
      </c>
      <c r="BK65" s="233">
        <f>CHOOSE(MODE, I65*1000, 'PFM Efficiency'!BI65)</f>
        <v>88.5</v>
      </c>
      <c r="BL65" s="175">
        <v>87.752210991841338</v>
      </c>
      <c r="BM65" s="235">
        <f t="shared" si="61"/>
        <v>0.8775221099184134</v>
      </c>
      <c r="BN65" s="293" t="e">
        <f t="shared" si="41"/>
        <v>#NAME?</v>
      </c>
      <c r="BO65" s="294"/>
      <c r="BP65" s="235" t="e">
        <f t="shared" si="72"/>
        <v>#NAME?</v>
      </c>
      <c r="BQ65" s="294"/>
      <c r="BR65" s="175" t="e">
        <f t="shared" si="73"/>
        <v>#NAME?</v>
      </c>
      <c r="BS65" s="175" t="e">
        <f t="shared" si="74"/>
        <v>#NAME?</v>
      </c>
      <c r="BT65" s="175" t="e">
        <f t="shared" si="100"/>
        <v>#NAME?</v>
      </c>
      <c r="BU65" s="235"/>
      <c r="BV65" s="235"/>
      <c r="BW65" s="175" t="e">
        <f>IF(MODE=1, BJ65, 'PFM Efficiency'!BH65)</f>
        <v>#NAME?</v>
      </c>
      <c r="BX65" s="175" t="e">
        <f>IF(MODE=1, BR65, 'PFM Efficiency'!BN65)</f>
        <v>#NAME?</v>
      </c>
      <c r="BY65" s="175" t="e">
        <f>IF(MODE=1, BS65, 'PFM Efficiency'!BO65)</f>
        <v>#NAME?</v>
      </c>
      <c r="BZ65" s="175" t="e">
        <f>IF(MODE=1, BT65, 'PFM Efficiency'!BP65)</f>
        <v>#NAME?</v>
      </c>
    </row>
    <row r="66" spans="6:78" x14ac:dyDescent="0.2">
      <c r="F66" s="340" t="e">
        <f>BJ106</f>
        <v>#NAME?</v>
      </c>
      <c r="G66" s="341">
        <f>I106*1000</f>
        <v>150</v>
      </c>
      <c r="H66" s="173">
        <v>60</v>
      </c>
      <c r="I66" s="522">
        <f t="shared" si="76"/>
        <v>0.09</v>
      </c>
      <c r="J66" s="233" t="e">
        <f t="shared" si="77"/>
        <v>#NAME?</v>
      </c>
      <c r="K66" s="233" t="e">
        <f t="shared" si="78"/>
        <v>#NAME?</v>
      </c>
      <c r="L66" s="233" t="e">
        <f t="shared" si="79"/>
        <v>#NAME?</v>
      </c>
      <c r="M66" s="290" t="e">
        <f t="shared" si="80"/>
        <v>#NAME?</v>
      </c>
      <c r="N66" s="232" t="e">
        <f t="shared" si="62"/>
        <v>#NAME?</v>
      </c>
      <c r="O66" s="208" t="e">
        <f t="shared" si="81"/>
        <v>#NAME?</v>
      </c>
      <c r="P66" s="291" t="e">
        <f t="shared" si="101"/>
        <v>#NAME?</v>
      </c>
      <c r="Q66" s="291" t="e">
        <f t="shared" si="102"/>
        <v>#NAME?</v>
      </c>
      <c r="R66" s="291" t="e">
        <f t="shared" si="103"/>
        <v>#NAME?</v>
      </c>
      <c r="S66" s="232" t="e">
        <f t="shared" si="104"/>
        <v>#NAME?</v>
      </c>
      <c r="T66" s="232" t="e">
        <f t="shared" si="105"/>
        <v>#NAME?</v>
      </c>
      <c r="U66" s="173" t="e">
        <f t="shared" si="106"/>
        <v>#NAME?</v>
      </c>
      <c r="V66" s="232" t="e">
        <f t="shared" si="63"/>
        <v>#NAME?</v>
      </c>
      <c r="W66" s="233" t="e">
        <f t="shared" si="107"/>
        <v>#NAME?</v>
      </c>
      <c r="X66" s="232" t="e">
        <f t="shared" si="13"/>
        <v>#NAME?</v>
      </c>
      <c r="Y66" s="232" t="e">
        <f t="shared" si="64"/>
        <v>#NAME?</v>
      </c>
      <c r="Z66" s="232" t="e">
        <f t="shared" si="108"/>
        <v>#NAME?</v>
      </c>
      <c r="AA66" s="234" t="e">
        <f t="shared" si="15"/>
        <v>#NAME?</v>
      </c>
      <c r="AB66" s="234" t="e">
        <f t="shared" si="65"/>
        <v>#NAME?</v>
      </c>
      <c r="AC66" s="232" t="e">
        <f t="shared" si="109"/>
        <v>#NAME?</v>
      </c>
      <c r="AD66" s="232" t="e">
        <f t="shared" si="110"/>
        <v>#NAME?</v>
      </c>
      <c r="AE66" s="232" t="e">
        <f t="shared" si="111"/>
        <v>#NAME?</v>
      </c>
      <c r="AF66">
        <v>20</v>
      </c>
      <c r="AG66" s="505" t="e">
        <f t="shared" si="82"/>
        <v>#NAME?</v>
      </c>
      <c r="AH66" s="232" t="e">
        <f t="shared" si="83"/>
        <v>#NAME?</v>
      </c>
      <c r="AI66" s="232" t="e">
        <f t="shared" si="84"/>
        <v>#NAME?</v>
      </c>
      <c r="AJ66" s="232" t="e">
        <f t="shared" si="85"/>
        <v>#NAME?</v>
      </c>
      <c r="AK66" s="232" t="e">
        <f t="shared" si="86"/>
        <v>#NAME?</v>
      </c>
      <c r="AL66" s="232" t="e">
        <f t="shared" si="112"/>
        <v>#NAME?</v>
      </c>
      <c r="AM66" s="232" t="e">
        <f t="shared" si="87"/>
        <v>#NAME?</v>
      </c>
      <c r="AN66" s="232" t="e">
        <f t="shared" si="88"/>
        <v>#NAME?</v>
      </c>
      <c r="AO66" s="232" t="e">
        <f t="shared" si="89"/>
        <v>#NAME?</v>
      </c>
      <c r="AP66" s="232" t="e">
        <f t="shared" si="66"/>
        <v>#NAME?</v>
      </c>
      <c r="AQ66" s="232" t="e">
        <f t="shared" si="90"/>
        <v>#NAME?</v>
      </c>
      <c r="AR66" s="232" t="e">
        <f t="shared" si="91"/>
        <v>#NAME?</v>
      </c>
      <c r="AS66" s="232" t="e">
        <f t="shared" si="92"/>
        <v>#NAME?</v>
      </c>
      <c r="AT66" s="232" t="e">
        <f t="shared" si="67"/>
        <v>#NAME?</v>
      </c>
      <c r="AU66" s="232" t="e">
        <f t="shared" si="93"/>
        <v>#NAME?</v>
      </c>
      <c r="AV66" s="232">
        <f t="shared" si="94"/>
        <v>0.44999999999999996</v>
      </c>
      <c r="AW66" s="292" t="e">
        <f t="shared" si="75"/>
        <v>#NAME?</v>
      </c>
      <c r="AX66" s="358" t="e">
        <f t="shared" si="95"/>
        <v>#NAME?</v>
      </c>
      <c r="AY66" s="358" t="e">
        <f t="shared" si="68"/>
        <v>#NAME?</v>
      </c>
      <c r="AZ66" s="358" t="e">
        <f t="shared" si="96"/>
        <v>#NAME?</v>
      </c>
      <c r="BA66" s="358" t="e">
        <f t="shared" si="35"/>
        <v>#NAME?</v>
      </c>
      <c r="BB66" s="358" t="e">
        <f t="shared" si="36"/>
        <v>#NAME?</v>
      </c>
      <c r="BC66" s="358" t="e">
        <f t="shared" si="37"/>
        <v>#NAME?</v>
      </c>
      <c r="BD66" s="358" t="e">
        <f t="shared" si="97"/>
        <v>#NAME?</v>
      </c>
      <c r="BE66" s="358" t="e">
        <f t="shared" si="98"/>
        <v>#NAME?</v>
      </c>
      <c r="BF66" s="358" t="e">
        <f t="shared" si="99"/>
        <v>#NAME?</v>
      </c>
      <c r="BG66" s="235" t="e">
        <f t="shared" si="69"/>
        <v>#NAME?</v>
      </c>
      <c r="BH66" s="235" t="e">
        <f t="shared" si="60"/>
        <v>#NAME?</v>
      </c>
      <c r="BI66" s="235" t="e">
        <f t="shared" si="70"/>
        <v>#NAME?</v>
      </c>
      <c r="BJ66" s="175" t="e">
        <f t="shared" si="71"/>
        <v>#NAME?</v>
      </c>
      <c r="BK66" s="233">
        <f>CHOOSE(MODE, I66*1000, 'PFM Efficiency'!BI66)</f>
        <v>90</v>
      </c>
      <c r="BL66" s="175">
        <v>87.806983051998316</v>
      </c>
      <c r="BM66" s="235">
        <f t="shared" si="61"/>
        <v>0.87806983051998311</v>
      </c>
      <c r="BN66" s="293" t="e">
        <f t="shared" si="41"/>
        <v>#NAME?</v>
      </c>
      <c r="BO66" s="294"/>
      <c r="BP66" s="235" t="e">
        <f t="shared" si="72"/>
        <v>#NAME?</v>
      </c>
      <c r="BQ66" s="294"/>
      <c r="BR66" s="175" t="e">
        <f t="shared" si="73"/>
        <v>#NAME?</v>
      </c>
      <c r="BS66" s="175" t="e">
        <f t="shared" si="74"/>
        <v>#NAME?</v>
      </c>
      <c r="BT66" s="175" t="e">
        <f t="shared" si="100"/>
        <v>#NAME?</v>
      </c>
      <c r="BU66" s="235"/>
      <c r="BV66" s="235"/>
      <c r="BW66" s="175" t="e">
        <f>IF(MODE=1, BJ66, 'PFM Efficiency'!BH66)</f>
        <v>#NAME?</v>
      </c>
      <c r="BX66" s="175" t="e">
        <f>IF(MODE=1, BR66, 'PFM Efficiency'!BN66)</f>
        <v>#NAME?</v>
      </c>
      <c r="BY66" s="175" t="e">
        <f>IF(MODE=1, BS66, 'PFM Efficiency'!BO66)</f>
        <v>#NAME?</v>
      </c>
      <c r="BZ66" s="175" t="e">
        <f>IF(MODE=1, BT66, 'PFM Efficiency'!BP66)</f>
        <v>#NAME?</v>
      </c>
    </row>
    <row r="67" spans="6:78" x14ac:dyDescent="0.2">
      <c r="H67" s="173">
        <v>61</v>
      </c>
      <c r="I67" s="522">
        <f t="shared" si="76"/>
        <v>9.1499999999999998E-2</v>
      </c>
      <c r="J67" s="233" t="e">
        <f t="shared" si="77"/>
        <v>#NAME?</v>
      </c>
      <c r="K67" s="233" t="e">
        <f t="shared" si="78"/>
        <v>#NAME?</v>
      </c>
      <c r="L67" s="233" t="e">
        <f t="shared" si="79"/>
        <v>#NAME?</v>
      </c>
      <c r="M67" s="290" t="e">
        <f t="shared" si="80"/>
        <v>#NAME?</v>
      </c>
      <c r="N67" s="232" t="e">
        <f t="shared" si="62"/>
        <v>#NAME?</v>
      </c>
      <c r="O67" s="208" t="e">
        <f t="shared" si="81"/>
        <v>#NAME?</v>
      </c>
      <c r="P67" s="291" t="e">
        <f t="shared" si="101"/>
        <v>#NAME?</v>
      </c>
      <c r="Q67" s="291" t="e">
        <f t="shared" si="102"/>
        <v>#NAME?</v>
      </c>
      <c r="R67" s="291" t="e">
        <f t="shared" si="103"/>
        <v>#NAME?</v>
      </c>
      <c r="S67" s="232" t="e">
        <f t="shared" si="104"/>
        <v>#NAME?</v>
      </c>
      <c r="T67" s="232" t="e">
        <f t="shared" si="105"/>
        <v>#NAME?</v>
      </c>
      <c r="U67" s="173" t="e">
        <f t="shared" si="106"/>
        <v>#NAME?</v>
      </c>
      <c r="V67" s="232" t="e">
        <f t="shared" si="63"/>
        <v>#NAME?</v>
      </c>
      <c r="W67" s="233" t="e">
        <f t="shared" si="107"/>
        <v>#NAME?</v>
      </c>
      <c r="X67" s="232" t="e">
        <f t="shared" si="13"/>
        <v>#NAME?</v>
      </c>
      <c r="Y67" s="232" t="e">
        <f t="shared" si="64"/>
        <v>#NAME?</v>
      </c>
      <c r="Z67" s="232" t="e">
        <f t="shared" si="108"/>
        <v>#NAME?</v>
      </c>
      <c r="AA67" s="234" t="e">
        <f t="shared" si="15"/>
        <v>#NAME?</v>
      </c>
      <c r="AB67" s="234" t="e">
        <f t="shared" si="65"/>
        <v>#NAME?</v>
      </c>
      <c r="AC67" s="232" t="e">
        <f t="shared" si="109"/>
        <v>#NAME?</v>
      </c>
      <c r="AD67" s="232" t="e">
        <f t="shared" si="110"/>
        <v>#NAME?</v>
      </c>
      <c r="AE67" s="232" t="e">
        <f t="shared" si="111"/>
        <v>#NAME?</v>
      </c>
      <c r="AF67">
        <v>20</v>
      </c>
      <c r="AG67" s="505" t="e">
        <f t="shared" si="82"/>
        <v>#NAME?</v>
      </c>
      <c r="AH67" s="232" t="e">
        <f t="shared" si="83"/>
        <v>#NAME?</v>
      </c>
      <c r="AI67" s="232" t="e">
        <f t="shared" si="84"/>
        <v>#NAME?</v>
      </c>
      <c r="AJ67" s="232" t="e">
        <f t="shared" si="85"/>
        <v>#NAME?</v>
      </c>
      <c r="AK67" s="232" t="e">
        <f t="shared" si="86"/>
        <v>#NAME?</v>
      </c>
      <c r="AL67" s="232" t="e">
        <f t="shared" si="112"/>
        <v>#NAME?</v>
      </c>
      <c r="AM67" s="232" t="e">
        <f t="shared" si="87"/>
        <v>#NAME?</v>
      </c>
      <c r="AN67" s="232" t="e">
        <f t="shared" si="88"/>
        <v>#NAME?</v>
      </c>
      <c r="AO67" s="232" t="e">
        <f t="shared" si="89"/>
        <v>#NAME?</v>
      </c>
      <c r="AP67" s="232" t="e">
        <f t="shared" si="66"/>
        <v>#NAME?</v>
      </c>
      <c r="AQ67" s="232" t="e">
        <f t="shared" si="90"/>
        <v>#NAME?</v>
      </c>
      <c r="AR67" s="232" t="e">
        <f t="shared" si="91"/>
        <v>#NAME?</v>
      </c>
      <c r="AS67" s="232" t="e">
        <f t="shared" si="92"/>
        <v>#NAME?</v>
      </c>
      <c r="AT67" s="232" t="e">
        <f t="shared" si="67"/>
        <v>#NAME?</v>
      </c>
      <c r="AU67" s="232" t="e">
        <f t="shared" si="93"/>
        <v>#NAME?</v>
      </c>
      <c r="AV67" s="232">
        <f t="shared" si="94"/>
        <v>0.45750000000000002</v>
      </c>
      <c r="AW67" s="292" t="e">
        <f t="shared" si="75"/>
        <v>#NAME?</v>
      </c>
      <c r="AX67" s="358" t="e">
        <f t="shared" si="95"/>
        <v>#NAME?</v>
      </c>
      <c r="AY67" s="358" t="e">
        <f t="shared" si="68"/>
        <v>#NAME?</v>
      </c>
      <c r="AZ67" s="358" t="e">
        <f t="shared" si="96"/>
        <v>#NAME?</v>
      </c>
      <c r="BA67" s="358" t="e">
        <f t="shared" si="35"/>
        <v>#NAME?</v>
      </c>
      <c r="BB67" s="358" t="e">
        <f t="shared" si="36"/>
        <v>#NAME?</v>
      </c>
      <c r="BC67" s="358" t="e">
        <f t="shared" si="37"/>
        <v>#NAME?</v>
      </c>
      <c r="BD67" s="358" t="e">
        <f t="shared" si="97"/>
        <v>#NAME?</v>
      </c>
      <c r="BE67" s="358" t="e">
        <f t="shared" si="98"/>
        <v>#NAME?</v>
      </c>
      <c r="BF67" s="358" t="e">
        <f t="shared" si="99"/>
        <v>#NAME?</v>
      </c>
      <c r="BG67" s="235" t="e">
        <f t="shared" si="69"/>
        <v>#NAME?</v>
      </c>
      <c r="BH67" s="235" t="e">
        <f t="shared" si="60"/>
        <v>#NAME?</v>
      </c>
      <c r="BI67" s="235" t="e">
        <f t="shared" si="70"/>
        <v>#NAME?</v>
      </c>
      <c r="BJ67" s="175" t="e">
        <f t="shared" si="71"/>
        <v>#NAME?</v>
      </c>
      <c r="BK67" s="233">
        <f>CHOOSE(MODE, I67*1000, 'PFM Efficiency'!BI67)</f>
        <v>91.5</v>
      </c>
      <c r="BL67" s="175">
        <v>87.859261931365808</v>
      </c>
      <c r="BM67" s="235">
        <f t="shared" si="61"/>
        <v>0.87859261931365806</v>
      </c>
      <c r="BN67" s="293" t="e">
        <f t="shared" si="41"/>
        <v>#NAME?</v>
      </c>
      <c r="BO67" s="294"/>
      <c r="BP67" s="235" t="e">
        <f t="shared" si="72"/>
        <v>#NAME?</v>
      </c>
      <c r="BQ67" s="294"/>
      <c r="BR67" s="175" t="e">
        <f t="shared" si="73"/>
        <v>#NAME?</v>
      </c>
      <c r="BS67" s="175" t="e">
        <f t="shared" si="74"/>
        <v>#NAME?</v>
      </c>
      <c r="BT67" s="175" t="e">
        <f t="shared" si="100"/>
        <v>#NAME?</v>
      </c>
      <c r="BU67" s="235"/>
      <c r="BV67" s="235"/>
      <c r="BW67" s="175" t="e">
        <f>IF(MODE=1, BJ67, 'PFM Efficiency'!BH67)</f>
        <v>#NAME?</v>
      </c>
      <c r="BX67" s="175" t="e">
        <f>IF(MODE=1, BR67, 'PFM Efficiency'!BN67)</f>
        <v>#NAME?</v>
      </c>
      <c r="BY67" s="175" t="e">
        <f>IF(MODE=1, BS67, 'PFM Efficiency'!BO67)</f>
        <v>#NAME?</v>
      </c>
      <c r="BZ67" s="175" t="e">
        <f>IF(MODE=1, BT67, 'PFM Efficiency'!BP67)</f>
        <v>#NAME?</v>
      </c>
    </row>
    <row r="68" spans="6:78" x14ac:dyDescent="0.2">
      <c r="H68" s="173">
        <v>62</v>
      </c>
      <c r="I68" s="522">
        <f t="shared" si="76"/>
        <v>9.2999999999999999E-2</v>
      </c>
      <c r="J68" s="233" t="e">
        <f t="shared" si="77"/>
        <v>#NAME?</v>
      </c>
      <c r="K68" s="233" t="e">
        <f t="shared" si="78"/>
        <v>#NAME?</v>
      </c>
      <c r="L68" s="233" t="e">
        <f t="shared" si="79"/>
        <v>#NAME?</v>
      </c>
      <c r="M68" s="290" t="e">
        <f t="shared" si="80"/>
        <v>#NAME?</v>
      </c>
      <c r="N68" s="232" t="e">
        <f t="shared" si="62"/>
        <v>#NAME?</v>
      </c>
      <c r="O68" s="208" t="e">
        <f t="shared" si="81"/>
        <v>#NAME?</v>
      </c>
      <c r="P68" s="291" t="e">
        <f t="shared" si="101"/>
        <v>#NAME?</v>
      </c>
      <c r="Q68" s="291" t="e">
        <f t="shared" si="102"/>
        <v>#NAME?</v>
      </c>
      <c r="R68" s="291" t="e">
        <f t="shared" si="103"/>
        <v>#NAME?</v>
      </c>
      <c r="S68" s="232" t="e">
        <f t="shared" si="104"/>
        <v>#NAME?</v>
      </c>
      <c r="T68" s="232" t="e">
        <f t="shared" si="105"/>
        <v>#NAME?</v>
      </c>
      <c r="U68" s="173" t="e">
        <f t="shared" si="106"/>
        <v>#NAME?</v>
      </c>
      <c r="V68" s="232" t="e">
        <f t="shared" si="63"/>
        <v>#NAME?</v>
      </c>
      <c r="W68" s="233" t="e">
        <f t="shared" si="107"/>
        <v>#NAME?</v>
      </c>
      <c r="X68" s="232" t="e">
        <f t="shared" si="13"/>
        <v>#NAME?</v>
      </c>
      <c r="Y68" s="232" t="e">
        <f t="shared" si="64"/>
        <v>#NAME?</v>
      </c>
      <c r="Z68" s="232" t="e">
        <f t="shared" si="108"/>
        <v>#NAME?</v>
      </c>
      <c r="AA68" s="234" t="e">
        <f t="shared" si="15"/>
        <v>#NAME?</v>
      </c>
      <c r="AB68" s="234" t="e">
        <f t="shared" si="65"/>
        <v>#NAME?</v>
      </c>
      <c r="AC68" s="232" t="e">
        <f t="shared" si="109"/>
        <v>#NAME?</v>
      </c>
      <c r="AD68" s="232" t="e">
        <f t="shared" si="110"/>
        <v>#NAME?</v>
      </c>
      <c r="AE68" s="232" t="e">
        <f t="shared" si="111"/>
        <v>#NAME?</v>
      </c>
      <c r="AF68">
        <v>20</v>
      </c>
      <c r="AG68" s="505" t="e">
        <f t="shared" si="82"/>
        <v>#NAME?</v>
      </c>
      <c r="AH68" s="232" t="e">
        <f t="shared" si="83"/>
        <v>#NAME?</v>
      </c>
      <c r="AI68" s="232" t="e">
        <f t="shared" si="84"/>
        <v>#NAME?</v>
      </c>
      <c r="AJ68" s="232" t="e">
        <f t="shared" si="85"/>
        <v>#NAME?</v>
      </c>
      <c r="AK68" s="232" t="e">
        <f t="shared" si="86"/>
        <v>#NAME?</v>
      </c>
      <c r="AL68" s="232" t="e">
        <f t="shared" si="112"/>
        <v>#NAME?</v>
      </c>
      <c r="AM68" s="232" t="e">
        <f t="shared" si="87"/>
        <v>#NAME?</v>
      </c>
      <c r="AN68" s="232" t="e">
        <f t="shared" si="88"/>
        <v>#NAME?</v>
      </c>
      <c r="AO68" s="232" t="e">
        <f t="shared" si="89"/>
        <v>#NAME?</v>
      </c>
      <c r="AP68" s="232" t="e">
        <f t="shared" si="66"/>
        <v>#NAME?</v>
      </c>
      <c r="AQ68" s="232" t="e">
        <f t="shared" si="90"/>
        <v>#NAME?</v>
      </c>
      <c r="AR68" s="232" t="e">
        <f t="shared" si="91"/>
        <v>#NAME?</v>
      </c>
      <c r="AS68" s="232" t="e">
        <f t="shared" si="92"/>
        <v>#NAME?</v>
      </c>
      <c r="AT68" s="232" t="e">
        <f t="shared" si="67"/>
        <v>#NAME?</v>
      </c>
      <c r="AU68" s="232" t="e">
        <f t="shared" si="93"/>
        <v>#NAME?</v>
      </c>
      <c r="AV68" s="232">
        <f t="shared" si="94"/>
        <v>0.46499999999999997</v>
      </c>
      <c r="AW68" s="292" t="e">
        <f t="shared" si="75"/>
        <v>#NAME?</v>
      </c>
      <c r="AX68" s="358" t="e">
        <f t="shared" si="95"/>
        <v>#NAME?</v>
      </c>
      <c r="AY68" s="358" t="e">
        <f t="shared" si="68"/>
        <v>#NAME?</v>
      </c>
      <c r="AZ68" s="358" t="e">
        <f t="shared" si="96"/>
        <v>#NAME?</v>
      </c>
      <c r="BA68" s="358" t="e">
        <f t="shared" si="35"/>
        <v>#NAME?</v>
      </c>
      <c r="BB68" s="358" t="e">
        <f t="shared" si="36"/>
        <v>#NAME?</v>
      </c>
      <c r="BC68" s="358" t="e">
        <f t="shared" si="37"/>
        <v>#NAME?</v>
      </c>
      <c r="BD68" s="358" t="e">
        <f t="shared" si="97"/>
        <v>#NAME?</v>
      </c>
      <c r="BE68" s="358" t="e">
        <f t="shared" si="98"/>
        <v>#NAME?</v>
      </c>
      <c r="BF68" s="358" t="e">
        <f t="shared" si="99"/>
        <v>#NAME?</v>
      </c>
      <c r="BG68" s="235" t="e">
        <f t="shared" si="69"/>
        <v>#NAME?</v>
      </c>
      <c r="BH68" s="235" t="e">
        <f t="shared" si="60"/>
        <v>#NAME?</v>
      </c>
      <c r="BI68" s="235" t="e">
        <f t="shared" si="70"/>
        <v>#NAME?</v>
      </c>
      <c r="BJ68" s="175" t="e">
        <f t="shared" si="71"/>
        <v>#NAME?</v>
      </c>
      <c r="BK68" s="233">
        <f>CHOOSE(MODE, I68*1000, 'PFM Efficiency'!BI68)</f>
        <v>93</v>
      </c>
      <c r="BL68" s="175">
        <v>87.909156839141303</v>
      </c>
      <c r="BM68" s="235">
        <f t="shared" si="61"/>
        <v>0.879091568391413</v>
      </c>
      <c r="BN68" s="293" t="e">
        <f t="shared" si="41"/>
        <v>#NAME?</v>
      </c>
      <c r="BO68" s="294"/>
      <c r="BP68" s="235" t="e">
        <f t="shared" si="72"/>
        <v>#NAME?</v>
      </c>
      <c r="BQ68" s="294"/>
      <c r="BR68" s="175" t="e">
        <f t="shared" si="73"/>
        <v>#NAME?</v>
      </c>
      <c r="BS68" s="175" t="e">
        <f t="shared" si="74"/>
        <v>#NAME?</v>
      </c>
      <c r="BT68" s="175" t="e">
        <f t="shared" si="100"/>
        <v>#NAME?</v>
      </c>
      <c r="BU68" s="235"/>
      <c r="BV68" s="235"/>
      <c r="BW68" s="175" t="e">
        <f>IF(MODE=1, BJ68, 'PFM Efficiency'!BH68)</f>
        <v>#NAME?</v>
      </c>
      <c r="BX68" s="175" t="e">
        <f>IF(MODE=1, BR68, 'PFM Efficiency'!BN68)</f>
        <v>#NAME?</v>
      </c>
      <c r="BY68" s="175" t="e">
        <f>IF(MODE=1, BS68, 'PFM Efficiency'!BO68)</f>
        <v>#NAME?</v>
      </c>
      <c r="BZ68" s="175" t="e">
        <f>IF(MODE=1, BT68, 'PFM Efficiency'!BP68)</f>
        <v>#NAME?</v>
      </c>
    </row>
    <row r="69" spans="6:78" x14ac:dyDescent="0.2">
      <c r="H69" s="173">
        <v>63</v>
      </c>
      <c r="I69" s="522">
        <f t="shared" si="76"/>
        <v>9.4500000000000001E-2</v>
      </c>
      <c r="J69" s="233" t="e">
        <f t="shared" si="77"/>
        <v>#NAME?</v>
      </c>
      <c r="K69" s="233" t="e">
        <f t="shared" si="78"/>
        <v>#NAME?</v>
      </c>
      <c r="L69" s="233" t="e">
        <f t="shared" si="79"/>
        <v>#NAME?</v>
      </c>
      <c r="M69" s="290" t="e">
        <f t="shared" si="80"/>
        <v>#NAME?</v>
      </c>
      <c r="N69" s="232" t="e">
        <f t="shared" si="62"/>
        <v>#NAME?</v>
      </c>
      <c r="O69" s="208" t="e">
        <f t="shared" si="81"/>
        <v>#NAME?</v>
      </c>
      <c r="P69" s="291" t="e">
        <f t="shared" si="101"/>
        <v>#NAME?</v>
      </c>
      <c r="Q69" s="291" t="e">
        <f t="shared" si="102"/>
        <v>#NAME?</v>
      </c>
      <c r="R69" s="291" t="e">
        <f t="shared" si="103"/>
        <v>#NAME?</v>
      </c>
      <c r="S69" s="232" t="e">
        <f t="shared" si="104"/>
        <v>#NAME?</v>
      </c>
      <c r="T69" s="232" t="e">
        <f t="shared" si="105"/>
        <v>#NAME?</v>
      </c>
      <c r="U69" s="173" t="e">
        <f t="shared" si="106"/>
        <v>#NAME?</v>
      </c>
      <c r="V69" s="232" t="e">
        <f t="shared" si="63"/>
        <v>#NAME?</v>
      </c>
      <c r="W69" s="233" t="e">
        <f t="shared" si="107"/>
        <v>#NAME?</v>
      </c>
      <c r="X69" s="232" t="e">
        <f t="shared" si="13"/>
        <v>#NAME?</v>
      </c>
      <c r="Y69" s="232" t="e">
        <f t="shared" si="64"/>
        <v>#NAME?</v>
      </c>
      <c r="Z69" s="232" t="e">
        <f t="shared" si="108"/>
        <v>#NAME?</v>
      </c>
      <c r="AA69" s="234" t="e">
        <f t="shared" si="15"/>
        <v>#NAME?</v>
      </c>
      <c r="AB69" s="234" t="e">
        <f t="shared" si="65"/>
        <v>#NAME?</v>
      </c>
      <c r="AC69" s="232" t="e">
        <f t="shared" si="109"/>
        <v>#NAME?</v>
      </c>
      <c r="AD69" s="232" t="e">
        <f t="shared" si="110"/>
        <v>#NAME?</v>
      </c>
      <c r="AE69" s="232" t="e">
        <f t="shared" si="111"/>
        <v>#NAME?</v>
      </c>
      <c r="AF69">
        <v>20</v>
      </c>
      <c r="AG69" s="505" t="e">
        <f t="shared" si="82"/>
        <v>#NAME?</v>
      </c>
      <c r="AH69" s="232" t="e">
        <f t="shared" si="83"/>
        <v>#NAME?</v>
      </c>
      <c r="AI69" s="232" t="e">
        <f t="shared" si="84"/>
        <v>#NAME?</v>
      </c>
      <c r="AJ69" s="232" t="e">
        <f t="shared" si="85"/>
        <v>#NAME?</v>
      </c>
      <c r="AK69" s="232" t="e">
        <f t="shared" si="86"/>
        <v>#NAME?</v>
      </c>
      <c r="AL69" s="232" t="e">
        <f t="shared" si="112"/>
        <v>#NAME?</v>
      </c>
      <c r="AM69" s="232" t="e">
        <f t="shared" si="87"/>
        <v>#NAME?</v>
      </c>
      <c r="AN69" s="232" t="e">
        <f t="shared" si="88"/>
        <v>#NAME?</v>
      </c>
      <c r="AO69" s="232" t="e">
        <f t="shared" si="89"/>
        <v>#NAME?</v>
      </c>
      <c r="AP69" s="232" t="e">
        <f t="shared" si="66"/>
        <v>#NAME?</v>
      </c>
      <c r="AQ69" s="232" t="e">
        <f t="shared" si="90"/>
        <v>#NAME?</v>
      </c>
      <c r="AR69" s="232" t="e">
        <f t="shared" si="91"/>
        <v>#NAME?</v>
      </c>
      <c r="AS69" s="232" t="e">
        <f t="shared" si="92"/>
        <v>#NAME?</v>
      </c>
      <c r="AT69" s="232" t="e">
        <f t="shared" si="67"/>
        <v>#NAME?</v>
      </c>
      <c r="AU69" s="232" t="e">
        <f t="shared" si="93"/>
        <v>#NAME?</v>
      </c>
      <c r="AV69" s="232">
        <f t="shared" si="94"/>
        <v>0.47250000000000003</v>
      </c>
      <c r="AW69" s="292" t="e">
        <f t="shared" si="75"/>
        <v>#NAME?</v>
      </c>
      <c r="AX69" s="358" t="e">
        <f t="shared" si="95"/>
        <v>#NAME?</v>
      </c>
      <c r="AY69" s="358" t="e">
        <f t="shared" si="68"/>
        <v>#NAME?</v>
      </c>
      <c r="AZ69" s="358" t="e">
        <f t="shared" si="96"/>
        <v>#NAME?</v>
      </c>
      <c r="BA69" s="358" t="e">
        <f t="shared" si="35"/>
        <v>#NAME?</v>
      </c>
      <c r="BB69" s="358" t="e">
        <f t="shared" si="36"/>
        <v>#NAME?</v>
      </c>
      <c r="BC69" s="358" t="e">
        <f t="shared" si="37"/>
        <v>#NAME?</v>
      </c>
      <c r="BD69" s="358" t="e">
        <f t="shared" si="97"/>
        <v>#NAME?</v>
      </c>
      <c r="BE69" s="358" t="e">
        <f t="shared" si="98"/>
        <v>#NAME?</v>
      </c>
      <c r="BF69" s="358" t="e">
        <f t="shared" si="99"/>
        <v>#NAME?</v>
      </c>
      <c r="BG69" s="235" t="e">
        <f t="shared" si="69"/>
        <v>#NAME?</v>
      </c>
      <c r="BH69" s="235" t="e">
        <f t="shared" si="60"/>
        <v>#NAME?</v>
      </c>
      <c r="BI69" s="235" t="e">
        <f t="shared" si="70"/>
        <v>#NAME?</v>
      </c>
      <c r="BJ69" s="175" t="e">
        <f t="shared" si="71"/>
        <v>#NAME?</v>
      </c>
      <c r="BK69" s="233">
        <f>CHOOSE(MODE, I69*1000, 'PFM Efficiency'!BI69)</f>
        <v>94.5</v>
      </c>
      <c r="BL69" s="175">
        <v>87.956770566861337</v>
      </c>
      <c r="BM69" s="235">
        <f t="shared" si="61"/>
        <v>0.87956770566861342</v>
      </c>
      <c r="BN69" s="293" t="e">
        <f t="shared" si="41"/>
        <v>#NAME?</v>
      </c>
      <c r="BO69" s="294"/>
      <c r="BP69" s="235" t="e">
        <f t="shared" si="72"/>
        <v>#NAME?</v>
      </c>
      <c r="BQ69" s="294"/>
      <c r="BR69" s="175" t="e">
        <f t="shared" si="73"/>
        <v>#NAME?</v>
      </c>
      <c r="BS69" s="175" t="e">
        <f t="shared" si="74"/>
        <v>#NAME?</v>
      </c>
      <c r="BT69" s="175" t="e">
        <f t="shared" si="100"/>
        <v>#NAME?</v>
      </c>
      <c r="BU69" s="235"/>
      <c r="BV69" s="235"/>
      <c r="BW69" s="175" t="e">
        <f>IF(MODE=1, BJ69, 'PFM Efficiency'!BH69)</f>
        <v>#NAME?</v>
      </c>
      <c r="BX69" s="175" t="e">
        <f>IF(MODE=1, BR69, 'PFM Efficiency'!BN69)</f>
        <v>#NAME?</v>
      </c>
      <c r="BY69" s="175" t="e">
        <f>IF(MODE=1, BS69, 'PFM Efficiency'!BO69)</f>
        <v>#NAME?</v>
      </c>
      <c r="BZ69" s="175" t="e">
        <f>IF(MODE=1, BT69, 'PFM Efficiency'!BP69)</f>
        <v>#NAME?</v>
      </c>
    </row>
    <row r="70" spans="6:78" x14ac:dyDescent="0.2">
      <c r="H70" s="173">
        <v>64</v>
      </c>
      <c r="I70" s="522">
        <f t="shared" ref="I70:I101" si="113">IF(PLOT_TYPE=1, H70/100*Iout_maxload_COT, min_I*EXP(H70*rr/100))</f>
        <v>9.6000000000000002E-2</v>
      </c>
      <c r="J70" s="233" t="e">
        <f t="shared" ref="J70:J101" si="114">IF(I70&lt;Icrit, (Vin-(Rdcr+RdsonTop)*Iripple/2-Vout)/L*OnTime, (Vin-(Rdcr+RdsonTop)*I70-Vout)/L*OnTime)</f>
        <v>#NAME?</v>
      </c>
      <c r="K70" s="233" t="e">
        <f t="shared" ref="K70:K101" si="115">IF(I70&lt;Icrit, (Vin-(Rdcr+RdsonTop)*Iripple/2-Vout)/L*OnTime, I70+((Vin-(Rdcr+RdsonTop)*J70-Vout)/L*OnTime)/2)</f>
        <v>#NAME?</v>
      </c>
      <c r="L70" s="233" t="e">
        <f t="shared" ref="L70:L101" si="116">IF(I70&lt;Icrit, 0, I70-((Vin-(Rdcr+RdsonTop)*K70-Vout)/L*OnTime)/2)</f>
        <v>#NAME?</v>
      </c>
      <c r="M70" s="290" t="e">
        <f t="shared" ref="M70:M106" si="117">IF(I70&lt;Icrit, L*J70/(Vout+J70/2*(RdsonBot+Rdcr)), L*J70/(Vout+I70*(RdsonBot+Rdcr)))</f>
        <v>#NAME?</v>
      </c>
      <c r="N70" s="232" t="e">
        <f t="shared" si="62"/>
        <v>#NAME?</v>
      </c>
      <c r="O70" s="208" t="e">
        <f t="shared" ref="O70:O106" si="118">IF(I70&lt;Icrit,I70/((OnTime+M70)*J70/2),1/(OnTime+M70))</f>
        <v>#NAME?</v>
      </c>
      <c r="P70" s="291" t="e">
        <f t="shared" si="101"/>
        <v>#NAME?</v>
      </c>
      <c r="Q70" s="291" t="e">
        <f t="shared" si="102"/>
        <v>#NAME?</v>
      </c>
      <c r="R70" s="291" t="e">
        <f t="shared" si="103"/>
        <v>#NAME?</v>
      </c>
      <c r="S70" s="232" t="e">
        <f t="shared" si="104"/>
        <v>#NAME?</v>
      </c>
      <c r="T70" s="232" t="e">
        <f t="shared" si="105"/>
        <v>#NAME?</v>
      </c>
      <c r="U70" s="173" t="e">
        <f t="shared" si="106"/>
        <v>#NAME?</v>
      </c>
      <c r="V70" s="232" t="e">
        <f t="shared" si="63"/>
        <v>#NAME?</v>
      </c>
      <c r="W70" s="233" t="e">
        <f t="shared" si="107"/>
        <v>#NAME?</v>
      </c>
      <c r="X70" s="232" t="e">
        <f t="shared" si="13"/>
        <v>#NAME?</v>
      </c>
      <c r="Y70" s="232" t="e">
        <f t="shared" si="64"/>
        <v>#NAME?</v>
      </c>
      <c r="Z70" s="232" t="e">
        <f t="shared" si="108"/>
        <v>#NAME?</v>
      </c>
      <c r="AA70" s="234" t="e">
        <f t="shared" si="15"/>
        <v>#NAME?</v>
      </c>
      <c r="AB70" s="234" t="e">
        <f t="shared" si="65"/>
        <v>#NAME?</v>
      </c>
      <c r="AC70" s="232" t="e">
        <f t="shared" si="109"/>
        <v>#NAME?</v>
      </c>
      <c r="AD70" s="232" t="e">
        <f t="shared" si="110"/>
        <v>#NAME?</v>
      </c>
      <c r="AE70" s="232" t="e">
        <f t="shared" si="111"/>
        <v>#NAME?</v>
      </c>
      <c r="AF70">
        <v>20</v>
      </c>
      <c r="AG70" s="505" t="e">
        <f t="shared" ref="AG70:AG106" si="119">IF(I70&lt;Icrit, Csw*Vin/Iripple*1000000000, Csw*Vin/(I70+Iripple/2)*1000000000)</f>
        <v>#NAME?</v>
      </c>
      <c r="AH70" s="232" t="e">
        <f t="shared" ref="AH70:AH101" si="120">IF(I70&lt;Icrit, Vin*(I70+Iripple/2)*AG70/1000000000/2*O70, Vin*(I70-Iripple/2)*AF70/1000000000/2*O70+Vin*(I70+Iripple/2)*AG70/1000000000/2*O70)</f>
        <v>#NAME?</v>
      </c>
      <c r="AI70" s="232" t="e">
        <f t="shared" ref="AI70:AI106" si="121">IF(I70&lt;Icrit, Csw*(Vin)^2*O70/2, Csw*Vin^2*O70/2)</f>
        <v>#NAME?</v>
      </c>
      <c r="AJ70" s="232" t="e">
        <f t="shared" ref="AJ70:AJ101" si="122">AD70+AH70+AI70</f>
        <v>#NAME?</v>
      </c>
      <c r="AK70" s="232" t="e">
        <f t="shared" ref="AK70:AK106" si="123">IF(I70&lt;Icrit,Iripple*SQRT((OffTime)*O70/3), SQRT(OffTime*O70*(I70^2+Iripple^2/12)))</f>
        <v>#NAME?</v>
      </c>
      <c r="AL70" s="232" t="e">
        <f t="shared" si="112"/>
        <v>#NAME?</v>
      </c>
      <c r="AM70" s="232" t="e">
        <f t="shared" ref="AM70:AM106" si="124">QgBot*O70*Vdd</f>
        <v>#NAME?</v>
      </c>
      <c r="AN70" s="232" t="e">
        <f t="shared" ref="AN70:AN106" si="125">IF(I70&lt;Icrit, Vin*Idss*N70, QrrBot*(I70-Iripple/2)/0.1*O70*Vin+Vin*Idss*N70)</f>
        <v>#NAME?</v>
      </c>
      <c r="AO70" s="232" t="e">
        <f t="shared" ref="AO70:AO106" si="126">IF(I70&lt;Icrit, dead1*O70*(I70+Iripple/2)*((I70+Iripple/2)*BDserR+VSD), dead1*O70*(I70+Iripple/2)*((I70+Iripple/2)*BDserR+VSD)+dead2*O70*(I70-Iripple/2)*((I70-Iripple/2)*BDserR+VSD))</f>
        <v>#NAME?</v>
      </c>
      <c r="AP70" s="232" t="e">
        <f t="shared" si="66"/>
        <v>#NAME?</v>
      </c>
      <c r="AQ70" s="232" t="e">
        <f t="shared" ref="AQ70:AQ106" si="127">Vin*R70+Vout*Ifb/0.7</f>
        <v>#NAME?</v>
      </c>
      <c r="AR70" s="232" t="e">
        <f t="shared" ref="AR70:AR101" si="128">(Vin-Vdd)*(O70*QgBot+O70*QgTop)+AQ70</f>
        <v>#NAME?</v>
      </c>
      <c r="AS70" s="232" t="e">
        <f t="shared" ref="AS70:AS106" si="129">AE70+AM70</f>
        <v>#NAME?</v>
      </c>
      <c r="AT70" s="232" t="e">
        <f t="shared" si="67"/>
        <v>#NAME?</v>
      </c>
      <c r="AU70" s="232" t="e">
        <f t="shared" ref="AU70:AU101" si="130">SUM(V70,Y70,AB70,AT70)</f>
        <v>#NAME?</v>
      </c>
      <c r="AV70" s="232">
        <f t="shared" ref="AV70:AV106" si="131">Vout*I70</f>
        <v>0.48</v>
      </c>
      <c r="AW70" s="292" t="e">
        <f t="shared" si="75"/>
        <v>#NAME?</v>
      </c>
      <c r="AX70" s="358" t="e">
        <f t="shared" ref="AX70:AX106" si="132">AD70/($AV70+$AU70)</f>
        <v>#NAME?</v>
      </c>
      <c r="AY70" s="358" t="e">
        <f t="shared" si="68"/>
        <v>#NAME?</v>
      </c>
      <c r="AZ70" s="358" t="e">
        <f t="shared" ref="AZ70:AZ106" si="133">Vin*O70*(QgBot+QgTop)/($AV70+$AU70)</f>
        <v>#NAME?</v>
      </c>
      <c r="BA70" s="358" t="e">
        <f t="shared" si="35"/>
        <v>#NAME?</v>
      </c>
      <c r="BB70" s="358" t="e">
        <f t="shared" si="36"/>
        <v>#NAME?</v>
      </c>
      <c r="BC70" s="358" t="e">
        <f t="shared" si="37"/>
        <v>#NAME?</v>
      </c>
      <c r="BD70" s="358" t="e">
        <f t="shared" ref="BD70:BD106" si="134">T70/($AV70+$AU70)</f>
        <v>#NAME?</v>
      </c>
      <c r="BE70" s="358" t="e">
        <f t="shared" ref="BE70:BE106" si="135">U70/($AV70+$AU70)</f>
        <v>#NAME?</v>
      </c>
      <c r="BF70" s="358" t="e">
        <f t="shared" ref="BF70:BF106" si="136">(Y70+AB70)/($AV70+$AU70)</f>
        <v>#NAME?</v>
      </c>
      <c r="BG70" s="235" t="e">
        <f t="shared" si="69"/>
        <v>#NAME?</v>
      </c>
      <c r="BH70" s="235" t="e">
        <f t="shared" si="60"/>
        <v>#NAME?</v>
      </c>
      <c r="BI70" s="235" t="e">
        <f t="shared" si="70"/>
        <v>#NAME?</v>
      </c>
      <c r="BJ70" s="175" t="e">
        <f t="shared" si="71"/>
        <v>#NAME?</v>
      </c>
      <c r="BK70" s="233">
        <f>CHOOSE(MODE, I70*1000, 'PFM Efficiency'!BI70)</f>
        <v>96</v>
      </c>
      <c r="BL70" s="175">
        <v>88.002199959420324</v>
      </c>
      <c r="BM70" s="235">
        <f t="shared" si="61"/>
        <v>0.88002199959420324</v>
      </c>
      <c r="BN70" s="293" t="e">
        <f t="shared" ref="BN70:BN106" si="137">O70/1000</f>
        <v>#NAME?</v>
      </c>
      <c r="BO70" s="294"/>
      <c r="BP70" s="235" t="e">
        <f t="shared" si="72"/>
        <v>#NAME?</v>
      </c>
      <c r="BQ70" s="294"/>
      <c r="BR70" s="175" t="e">
        <f t="shared" si="73"/>
        <v>#NAME?</v>
      </c>
      <c r="BS70" s="175" t="e">
        <f t="shared" si="74"/>
        <v>#NAME?</v>
      </c>
      <c r="BT70" s="175" t="e">
        <f t="shared" ref="BT70:BT106" si="138">1000*V70</f>
        <v>#NAME?</v>
      </c>
      <c r="BU70" s="235"/>
      <c r="BV70" s="235"/>
      <c r="BW70" s="175" t="e">
        <f>IF(MODE=1, BJ70, 'PFM Efficiency'!BH70)</f>
        <v>#NAME?</v>
      </c>
      <c r="BX70" s="175" t="e">
        <f>IF(MODE=1, BR70, 'PFM Efficiency'!BN70)</f>
        <v>#NAME?</v>
      </c>
      <c r="BY70" s="175" t="e">
        <f>IF(MODE=1, BS70, 'PFM Efficiency'!BO70)</f>
        <v>#NAME?</v>
      </c>
      <c r="BZ70" s="175" t="e">
        <f>IF(MODE=1, BT70, 'PFM Efficiency'!BP70)</f>
        <v>#NAME?</v>
      </c>
    </row>
    <row r="71" spans="6:78" x14ac:dyDescent="0.2">
      <c r="H71" s="173">
        <v>65</v>
      </c>
      <c r="I71" s="522">
        <f t="shared" si="113"/>
        <v>9.7500000000000003E-2</v>
      </c>
      <c r="J71" s="233" t="e">
        <f t="shared" si="114"/>
        <v>#NAME?</v>
      </c>
      <c r="K71" s="233" t="e">
        <f t="shared" si="115"/>
        <v>#NAME?</v>
      </c>
      <c r="L71" s="233" t="e">
        <f t="shared" si="116"/>
        <v>#NAME?</v>
      </c>
      <c r="M71" s="290" t="e">
        <f t="shared" si="117"/>
        <v>#NAME?</v>
      </c>
      <c r="N71" s="232" t="e">
        <f t="shared" si="62"/>
        <v>#NAME?</v>
      </c>
      <c r="O71" s="208" t="e">
        <f t="shared" si="118"/>
        <v>#NAME?</v>
      </c>
      <c r="P71" s="291" t="e">
        <f t="shared" ref="P71:P102" si="139">IF(1/O71-OnTime-M71&gt;Tsleep, OnTime+M71+Tsleep, 1/O71)</f>
        <v>#NAME?</v>
      </c>
      <c r="Q71" s="291" t="e">
        <f t="shared" ref="Q71:Q106" si="140">IF(1/O71-OnTime-M71&gt;Tsleep, 1/O71-OnTime-M71-Tsleep, 0)</f>
        <v>#NAME?</v>
      </c>
      <c r="R71" s="291" t="e">
        <f t="shared" ref="R71:R102" si="141">P71*O71*Iq_active+Q71*O71*Iq_sleep</f>
        <v>#NAME?</v>
      </c>
      <c r="S71" s="232" t="e">
        <f t="shared" ref="S71:S106" si="142">IF(I71&lt;Icrit,Iripple*SQRT((OnTime+OffTime)*O71/3), SQRT(I71^2+Iripple^2/12))</f>
        <v>#NAME?</v>
      </c>
      <c r="T71" s="232" t="e">
        <f t="shared" ref="T71:T106" si="143">S71^2*Rdcr</f>
        <v>#NAME?</v>
      </c>
      <c r="U71" s="173" t="e">
        <f t="shared" ref="U71:U106" si="144">(O71/Fsw)*Fsw^2.5*(Iripple/2)^2.5*k_core</f>
        <v>#NAME?</v>
      </c>
      <c r="V71" s="232" t="e">
        <f t="shared" si="63"/>
        <v>#NAME?</v>
      </c>
      <c r="W71" s="233" t="e">
        <f t="shared" ref="W71:W106" si="145">Iripple/SQRT(12)*SQRT((OnTime+M71)*O71)</f>
        <v>#NAME?</v>
      </c>
      <c r="X71" s="232" t="e">
        <f t="shared" ref="X71:X106" si="146">RCoutEsr*W71^2</f>
        <v>#NAME?</v>
      </c>
      <c r="Y71" s="232" t="e">
        <f t="shared" si="64"/>
        <v>#NAME?</v>
      </c>
      <c r="Z71" s="232" t="e">
        <f t="shared" ref="Z71:Z106" si="147">SQRT($N71)*SQRT($I71^2*(1-N71)+(Iripple^2)/12)</f>
        <v>#NAME?</v>
      </c>
      <c r="AA71" s="234" t="e">
        <f t="shared" ref="AA71:AA106" si="148">RCinEsr*Z71^2</f>
        <v>#NAME?</v>
      </c>
      <c r="AB71" s="234" t="e">
        <f t="shared" si="65"/>
        <v>#NAME?</v>
      </c>
      <c r="AC71" s="232" t="e">
        <f t="shared" ref="AC71:AC106" si="149">IF(I71&lt;Icrit,Iripple*SQRT((OnTime)*O71/3), SQRT(OnTime*O71*(I71^2+Iripple^2/12)))</f>
        <v>#NAME?</v>
      </c>
      <c r="AD71" s="232" t="e">
        <f t="shared" ref="AD71:AD102" si="150">RdsonTop*AC71^2</f>
        <v>#NAME?</v>
      </c>
      <c r="AE71" s="232" t="e">
        <f t="shared" ref="AE71:AE106" si="151">QgTop*O71*Vdd</f>
        <v>#NAME?</v>
      </c>
      <c r="AF71">
        <v>20</v>
      </c>
      <c r="AG71" s="505" t="e">
        <f t="shared" si="119"/>
        <v>#NAME?</v>
      </c>
      <c r="AH71" s="232" t="e">
        <f t="shared" si="120"/>
        <v>#NAME?</v>
      </c>
      <c r="AI71" s="232" t="e">
        <f t="shared" si="121"/>
        <v>#NAME?</v>
      </c>
      <c r="AJ71" s="232" t="e">
        <f t="shared" si="122"/>
        <v>#NAME?</v>
      </c>
      <c r="AK71" s="232" t="e">
        <f t="shared" si="123"/>
        <v>#NAME?</v>
      </c>
      <c r="AL71" s="232" t="e">
        <f t="shared" ref="AL71:AL102" si="152">RdsonBot*AK71^2</f>
        <v>#NAME?</v>
      </c>
      <c r="AM71" s="232" t="e">
        <f t="shared" si="124"/>
        <v>#NAME?</v>
      </c>
      <c r="AN71" s="232" t="e">
        <f t="shared" si="125"/>
        <v>#NAME?</v>
      </c>
      <c r="AO71" s="232" t="e">
        <f t="shared" si="126"/>
        <v>#NAME?</v>
      </c>
      <c r="AP71" s="232" t="e">
        <f t="shared" si="66"/>
        <v>#NAME?</v>
      </c>
      <c r="AQ71" s="232" t="e">
        <f t="shared" si="127"/>
        <v>#NAME?</v>
      </c>
      <c r="AR71" s="232" t="e">
        <f t="shared" si="128"/>
        <v>#NAME?</v>
      </c>
      <c r="AS71" s="232" t="e">
        <f t="shared" si="129"/>
        <v>#NAME?</v>
      </c>
      <c r="AT71" s="232" t="e">
        <f t="shared" si="67"/>
        <v>#NAME?</v>
      </c>
      <c r="AU71" s="232" t="e">
        <f t="shared" si="130"/>
        <v>#NAME?</v>
      </c>
      <c r="AV71" s="232">
        <f t="shared" si="131"/>
        <v>0.48750000000000004</v>
      </c>
      <c r="AW71" s="292" t="e">
        <f t="shared" si="75"/>
        <v>#NAME?</v>
      </c>
      <c r="AX71" s="358" t="e">
        <f t="shared" si="132"/>
        <v>#NAME?</v>
      </c>
      <c r="AY71" s="358" t="e">
        <f t="shared" si="68"/>
        <v>#NAME?</v>
      </c>
      <c r="AZ71" s="358" t="e">
        <f t="shared" si="133"/>
        <v>#NAME?</v>
      </c>
      <c r="BA71" s="358" t="e">
        <f t="shared" ref="BA71:BA106" si="153">AH71/($AV71+$AU71)</f>
        <v>#NAME?</v>
      </c>
      <c r="BB71" s="358" t="e">
        <f t="shared" ref="BB71:BB106" si="154">AN71/(AU71+AV71)</f>
        <v>#NAME?</v>
      </c>
      <c r="BC71" s="358" t="e">
        <f t="shared" ref="BC71:BC106" si="155">AO71/($AV71+$AU71)</f>
        <v>#NAME?</v>
      </c>
      <c r="BD71" s="358" t="e">
        <f t="shared" si="134"/>
        <v>#NAME?</v>
      </c>
      <c r="BE71" s="358" t="e">
        <f t="shared" si="135"/>
        <v>#NAME?</v>
      </c>
      <c r="BF71" s="358" t="e">
        <f t="shared" si="136"/>
        <v>#NAME?</v>
      </c>
      <c r="BG71" s="235" t="e">
        <f t="shared" si="69"/>
        <v>#NAME?</v>
      </c>
      <c r="BH71" s="235" t="e">
        <f t="shared" ref="BH71:BH106" si="156">AU71/($AV71+$AU71)</f>
        <v>#NAME?</v>
      </c>
      <c r="BI71" s="235" t="e">
        <f t="shared" si="70"/>
        <v>#NAME?</v>
      </c>
      <c r="BJ71" s="175" t="e">
        <f t="shared" si="71"/>
        <v>#NAME?</v>
      </c>
      <c r="BK71" s="233">
        <f>CHOOSE(MODE, I71*1000, 'PFM Efficiency'!BI71)</f>
        <v>97.5</v>
      </c>
      <c r="BL71" s="175">
        <v>88.045536344900114</v>
      </c>
      <c r="BM71" s="235">
        <f t="shared" ref="BM71:BM106" si="157">BL71/100</f>
        <v>0.8804553634490011</v>
      </c>
      <c r="BN71" s="293" t="e">
        <f t="shared" si="137"/>
        <v>#NAME?</v>
      </c>
      <c r="BO71" s="294"/>
      <c r="BP71" s="235" t="e">
        <f t="shared" si="72"/>
        <v>#NAME?</v>
      </c>
      <c r="BQ71" s="294"/>
      <c r="BR71" s="175" t="e">
        <f t="shared" si="73"/>
        <v>#NAME?</v>
      </c>
      <c r="BS71" s="175" t="e">
        <f t="shared" si="74"/>
        <v>#NAME?</v>
      </c>
      <c r="BT71" s="175" t="e">
        <f t="shared" si="138"/>
        <v>#NAME?</v>
      </c>
      <c r="BU71" s="235"/>
      <c r="BV71" s="235"/>
      <c r="BW71" s="175" t="e">
        <f>IF(MODE=1, BJ71, 'PFM Efficiency'!BH71)</f>
        <v>#NAME?</v>
      </c>
      <c r="BX71" s="175" t="e">
        <f>IF(MODE=1, BR71, 'PFM Efficiency'!BN71)</f>
        <v>#NAME?</v>
      </c>
      <c r="BY71" s="175" t="e">
        <f>IF(MODE=1, BS71, 'PFM Efficiency'!BO71)</f>
        <v>#NAME?</v>
      </c>
      <c r="BZ71" s="175" t="e">
        <f>IF(MODE=1, BT71, 'PFM Efficiency'!BP71)</f>
        <v>#NAME?</v>
      </c>
    </row>
    <row r="72" spans="6:78" x14ac:dyDescent="0.2">
      <c r="H72" s="173">
        <v>66</v>
      </c>
      <c r="I72" s="522">
        <f t="shared" si="113"/>
        <v>9.9000000000000005E-2</v>
      </c>
      <c r="J72" s="233" t="e">
        <f t="shared" si="114"/>
        <v>#NAME?</v>
      </c>
      <c r="K72" s="233" t="e">
        <f t="shared" si="115"/>
        <v>#NAME?</v>
      </c>
      <c r="L72" s="233" t="e">
        <f t="shared" si="116"/>
        <v>#NAME?</v>
      </c>
      <c r="M72" s="290" t="e">
        <f t="shared" si="117"/>
        <v>#NAME?</v>
      </c>
      <c r="N72" s="232" t="e">
        <f t="shared" ref="N72:N106" si="158">OnTime*O72</f>
        <v>#NAME?</v>
      </c>
      <c r="O72" s="208" t="e">
        <f t="shared" si="118"/>
        <v>#NAME?</v>
      </c>
      <c r="P72" s="291" t="e">
        <f t="shared" si="139"/>
        <v>#NAME?</v>
      </c>
      <c r="Q72" s="291" t="e">
        <f t="shared" si="140"/>
        <v>#NAME?</v>
      </c>
      <c r="R72" s="291" t="e">
        <f t="shared" si="141"/>
        <v>#NAME?</v>
      </c>
      <c r="S72" s="232" t="e">
        <f t="shared" si="142"/>
        <v>#NAME?</v>
      </c>
      <c r="T72" s="232" t="e">
        <f t="shared" si="143"/>
        <v>#NAME?</v>
      </c>
      <c r="U72" s="173" t="e">
        <f t="shared" si="144"/>
        <v>#NAME?</v>
      </c>
      <c r="V72" s="232" t="e">
        <f t="shared" ref="V72:V106" si="159">T72+U72</f>
        <v>#NAME?</v>
      </c>
      <c r="W72" s="233" t="e">
        <f t="shared" si="145"/>
        <v>#NAME?</v>
      </c>
      <c r="X72" s="232" t="e">
        <f t="shared" si="146"/>
        <v>#NAME?</v>
      </c>
      <c r="Y72" s="232" t="e">
        <f t="shared" ref="Y72:Y106" si="160">X72</f>
        <v>#NAME?</v>
      </c>
      <c r="Z72" s="232" t="e">
        <f t="shared" si="147"/>
        <v>#NAME?</v>
      </c>
      <c r="AA72" s="234" t="e">
        <f t="shared" si="148"/>
        <v>#NAME?</v>
      </c>
      <c r="AB72" s="234" t="e">
        <f t="shared" ref="AB72:AB106" si="161">AA72</f>
        <v>#NAME?</v>
      </c>
      <c r="AC72" s="232" t="e">
        <f t="shared" si="149"/>
        <v>#NAME?</v>
      </c>
      <c r="AD72" s="232" t="e">
        <f t="shared" si="150"/>
        <v>#NAME?</v>
      </c>
      <c r="AE72" s="232" t="e">
        <f t="shared" si="151"/>
        <v>#NAME?</v>
      </c>
      <c r="AF72">
        <v>20</v>
      </c>
      <c r="AG72" s="505" t="e">
        <f t="shared" si="119"/>
        <v>#NAME?</v>
      </c>
      <c r="AH72" s="232" t="e">
        <f t="shared" si="120"/>
        <v>#NAME?</v>
      </c>
      <c r="AI72" s="232" t="e">
        <f t="shared" si="121"/>
        <v>#NAME?</v>
      </c>
      <c r="AJ72" s="232" t="e">
        <f t="shared" si="122"/>
        <v>#NAME?</v>
      </c>
      <c r="AK72" s="232" t="e">
        <f t="shared" si="123"/>
        <v>#NAME?</v>
      </c>
      <c r="AL72" s="232" t="e">
        <f t="shared" si="152"/>
        <v>#NAME?</v>
      </c>
      <c r="AM72" s="232" t="e">
        <f t="shared" si="124"/>
        <v>#NAME?</v>
      </c>
      <c r="AN72" s="232" t="e">
        <f t="shared" si="125"/>
        <v>#NAME?</v>
      </c>
      <c r="AO72" s="232" t="e">
        <f t="shared" si="126"/>
        <v>#NAME?</v>
      </c>
      <c r="AP72" s="232" t="e">
        <f t="shared" ref="AP72:AP106" si="162">AL72+AN72+AO72</f>
        <v>#NAME?</v>
      </c>
      <c r="AQ72" s="232" t="e">
        <f t="shared" si="127"/>
        <v>#NAME?</v>
      </c>
      <c r="AR72" s="232" t="e">
        <f t="shared" si="128"/>
        <v>#NAME?</v>
      </c>
      <c r="AS72" s="232" t="e">
        <f t="shared" si="129"/>
        <v>#NAME?</v>
      </c>
      <c r="AT72" s="232" t="e">
        <f t="shared" ref="AT72:AT106" si="163">AJ72+AP72+AR72+AS72</f>
        <v>#NAME?</v>
      </c>
      <c r="AU72" s="232" t="e">
        <f t="shared" si="130"/>
        <v>#NAME?</v>
      </c>
      <c r="AV72" s="232">
        <f t="shared" si="131"/>
        <v>0.495</v>
      </c>
      <c r="AW72" s="292" t="e">
        <f t="shared" si="75"/>
        <v>#NAME?</v>
      </c>
      <c r="AX72" s="358" t="e">
        <f t="shared" si="132"/>
        <v>#NAME?</v>
      </c>
      <c r="AY72" s="358" t="e">
        <f t="shared" ref="AY72:AY106" si="164">AL72/($AV72+$AU72)</f>
        <v>#NAME?</v>
      </c>
      <c r="AZ72" s="358" t="e">
        <f t="shared" si="133"/>
        <v>#NAME?</v>
      </c>
      <c r="BA72" s="358" t="e">
        <f t="shared" si="153"/>
        <v>#NAME?</v>
      </c>
      <c r="BB72" s="358" t="e">
        <f t="shared" si="154"/>
        <v>#NAME?</v>
      </c>
      <c r="BC72" s="358" t="e">
        <f t="shared" si="155"/>
        <v>#NAME?</v>
      </c>
      <c r="BD72" s="358" t="e">
        <f t="shared" si="134"/>
        <v>#NAME?</v>
      </c>
      <c r="BE72" s="358" t="e">
        <f t="shared" si="135"/>
        <v>#NAME?</v>
      </c>
      <c r="BF72" s="358" t="e">
        <f t="shared" si="136"/>
        <v>#NAME?</v>
      </c>
      <c r="BG72" s="235" t="e">
        <f t="shared" ref="BG72:BG106" si="165">AQ72/($AV72+$AU72)</f>
        <v>#NAME?</v>
      </c>
      <c r="BH72" s="235" t="e">
        <f t="shared" si="156"/>
        <v>#NAME?</v>
      </c>
      <c r="BI72" s="235" t="e">
        <f t="shared" ref="BI72:BI106" si="166">AW72</f>
        <v>#NAME?</v>
      </c>
      <c r="BJ72" s="175" t="e">
        <f t="shared" ref="BJ72:BJ106" si="167">100*BI72</f>
        <v>#NAME?</v>
      </c>
      <c r="BK72" s="233">
        <f>CHOOSE(MODE, I72*1000, 'PFM Efficiency'!BI72)</f>
        <v>99</v>
      </c>
      <c r="BL72" s="175">
        <v>88.086865927368436</v>
      </c>
      <c r="BM72" s="235">
        <f t="shared" si="157"/>
        <v>0.88086865927368441</v>
      </c>
      <c r="BN72" s="293" t="e">
        <f t="shared" si="137"/>
        <v>#NAME?</v>
      </c>
      <c r="BO72" s="294"/>
      <c r="BP72" s="235" t="e">
        <f t="shared" ref="BP72:BP106" si="168">AI72/($AV72+$AU72)</f>
        <v>#NAME?</v>
      </c>
      <c r="BQ72" s="294"/>
      <c r="BR72" s="175" t="e">
        <f t="shared" ref="BR72:BR106" si="169">1000*AT72</f>
        <v>#NAME?</v>
      </c>
      <c r="BS72" s="175" t="e">
        <f t="shared" ref="BS72:BS106" si="170">1000*AR72</f>
        <v>#NAME?</v>
      </c>
      <c r="BT72" s="175" t="e">
        <f t="shared" si="138"/>
        <v>#NAME?</v>
      </c>
      <c r="BU72" s="235"/>
      <c r="BV72" s="235"/>
      <c r="BW72" s="175" t="e">
        <f>IF(MODE=1, BJ72, 'PFM Efficiency'!BH72)</f>
        <v>#NAME?</v>
      </c>
      <c r="BX72" s="175" t="e">
        <f>IF(MODE=1, BR72, 'PFM Efficiency'!BN72)</f>
        <v>#NAME?</v>
      </c>
      <c r="BY72" s="175" t="e">
        <f>IF(MODE=1, BS72, 'PFM Efficiency'!BO72)</f>
        <v>#NAME?</v>
      </c>
      <c r="BZ72" s="175" t="e">
        <f>IF(MODE=1, BT72, 'PFM Efficiency'!BP72)</f>
        <v>#NAME?</v>
      </c>
    </row>
    <row r="73" spans="6:78" x14ac:dyDescent="0.2">
      <c r="H73" s="173">
        <v>67</v>
      </c>
      <c r="I73" s="522">
        <f t="shared" si="113"/>
        <v>0.10050000000000001</v>
      </c>
      <c r="J73" s="233" t="e">
        <f t="shared" si="114"/>
        <v>#NAME?</v>
      </c>
      <c r="K73" s="233" t="e">
        <f t="shared" si="115"/>
        <v>#NAME?</v>
      </c>
      <c r="L73" s="233" t="e">
        <f t="shared" si="116"/>
        <v>#NAME?</v>
      </c>
      <c r="M73" s="290" t="e">
        <f t="shared" si="117"/>
        <v>#NAME?</v>
      </c>
      <c r="N73" s="232" t="e">
        <f t="shared" si="158"/>
        <v>#NAME?</v>
      </c>
      <c r="O73" s="208" t="e">
        <f t="shared" si="118"/>
        <v>#NAME?</v>
      </c>
      <c r="P73" s="291" t="e">
        <f t="shared" si="139"/>
        <v>#NAME?</v>
      </c>
      <c r="Q73" s="291" t="e">
        <f t="shared" si="140"/>
        <v>#NAME?</v>
      </c>
      <c r="R73" s="291" t="e">
        <f t="shared" si="141"/>
        <v>#NAME?</v>
      </c>
      <c r="S73" s="232" t="e">
        <f t="shared" si="142"/>
        <v>#NAME?</v>
      </c>
      <c r="T73" s="232" t="e">
        <f t="shared" si="143"/>
        <v>#NAME?</v>
      </c>
      <c r="U73" s="173" t="e">
        <f t="shared" si="144"/>
        <v>#NAME?</v>
      </c>
      <c r="V73" s="232" t="e">
        <f t="shared" si="159"/>
        <v>#NAME?</v>
      </c>
      <c r="W73" s="233" t="e">
        <f t="shared" si="145"/>
        <v>#NAME?</v>
      </c>
      <c r="X73" s="232" t="e">
        <f t="shared" si="146"/>
        <v>#NAME?</v>
      </c>
      <c r="Y73" s="232" t="e">
        <f t="shared" si="160"/>
        <v>#NAME?</v>
      </c>
      <c r="Z73" s="232" t="e">
        <f t="shared" si="147"/>
        <v>#NAME?</v>
      </c>
      <c r="AA73" s="234" t="e">
        <f t="shared" si="148"/>
        <v>#NAME?</v>
      </c>
      <c r="AB73" s="234" t="e">
        <f t="shared" si="161"/>
        <v>#NAME?</v>
      </c>
      <c r="AC73" s="232" t="e">
        <f t="shared" si="149"/>
        <v>#NAME?</v>
      </c>
      <c r="AD73" s="232" t="e">
        <f t="shared" si="150"/>
        <v>#NAME?</v>
      </c>
      <c r="AE73" s="232" t="e">
        <f t="shared" si="151"/>
        <v>#NAME?</v>
      </c>
      <c r="AF73">
        <v>20</v>
      </c>
      <c r="AG73" s="505" t="e">
        <f t="shared" si="119"/>
        <v>#NAME?</v>
      </c>
      <c r="AH73" s="232" t="e">
        <f t="shared" si="120"/>
        <v>#NAME?</v>
      </c>
      <c r="AI73" s="232" t="e">
        <f t="shared" si="121"/>
        <v>#NAME?</v>
      </c>
      <c r="AJ73" s="232" t="e">
        <f t="shared" si="122"/>
        <v>#NAME?</v>
      </c>
      <c r="AK73" s="232" t="e">
        <f t="shared" si="123"/>
        <v>#NAME?</v>
      </c>
      <c r="AL73" s="232" t="e">
        <f t="shared" si="152"/>
        <v>#NAME?</v>
      </c>
      <c r="AM73" s="232" t="e">
        <f t="shared" si="124"/>
        <v>#NAME?</v>
      </c>
      <c r="AN73" s="232" t="e">
        <f t="shared" si="125"/>
        <v>#NAME?</v>
      </c>
      <c r="AO73" s="232" t="e">
        <f t="shared" si="126"/>
        <v>#NAME?</v>
      </c>
      <c r="AP73" s="232" t="e">
        <f t="shared" si="162"/>
        <v>#NAME?</v>
      </c>
      <c r="AQ73" s="232" t="e">
        <f t="shared" si="127"/>
        <v>#NAME?</v>
      </c>
      <c r="AR73" s="232" t="e">
        <f t="shared" si="128"/>
        <v>#NAME?</v>
      </c>
      <c r="AS73" s="232" t="e">
        <f t="shared" si="129"/>
        <v>#NAME?</v>
      </c>
      <c r="AT73" s="232" t="e">
        <f t="shared" si="163"/>
        <v>#NAME?</v>
      </c>
      <c r="AU73" s="232" t="e">
        <f t="shared" si="130"/>
        <v>#NAME?</v>
      </c>
      <c r="AV73" s="232">
        <f t="shared" si="131"/>
        <v>0.50250000000000006</v>
      </c>
      <c r="AW73" s="292" t="e">
        <f t="shared" ref="AW73:AW106" si="171">AV73/(AV73+AU73)</f>
        <v>#NAME?</v>
      </c>
      <c r="AX73" s="358" t="e">
        <f t="shared" si="132"/>
        <v>#NAME?</v>
      </c>
      <c r="AY73" s="358" t="e">
        <f t="shared" si="164"/>
        <v>#NAME?</v>
      </c>
      <c r="AZ73" s="358" t="e">
        <f t="shared" si="133"/>
        <v>#NAME?</v>
      </c>
      <c r="BA73" s="358" t="e">
        <f t="shared" si="153"/>
        <v>#NAME?</v>
      </c>
      <c r="BB73" s="358" t="e">
        <f t="shared" si="154"/>
        <v>#NAME?</v>
      </c>
      <c r="BC73" s="358" t="e">
        <f t="shared" si="155"/>
        <v>#NAME?</v>
      </c>
      <c r="BD73" s="358" t="e">
        <f t="shared" si="134"/>
        <v>#NAME?</v>
      </c>
      <c r="BE73" s="358" t="e">
        <f t="shared" si="135"/>
        <v>#NAME?</v>
      </c>
      <c r="BF73" s="358" t="e">
        <f t="shared" si="136"/>
        <v>#NAME?</v>
      </c>
      <c r="BG73" s="235" t="e">
        <f t="shared" si="165"/>
        <v>#NAME?</v>
      </c>
      <c r="BH73" s="235" t="e">
        <f t="shared" si="156"/>
        <v>#NAME?</v>
      </c>
      <c r="BI73" s="235" t="e">
        <f t="shared" si="166"/>
        <v>#NAME?</v>
      </c>
      <c r="BJ73" s="175" t="e">
        <f t="shared" si="167"/>
        <v>#NAME?</v>
      </c>
      <c r="BK73" s="233">
        <f>CHOOSE(MODE, I73*1000, 'PFM Efficiency'!BI73)</f>
        <v>100.5</v>
      </c>
      <c r="BL73" s="175">
        <v>88.126270146331038</v>
      </c>
      <c r="BM73" s="235">
        <f t="shared" si="157"/>
        <v>0.88126270146331043</v>
      </c>
      <c r="BN73" s="293" t="e">
        <f t="shared" si="137"/>
        <v>#NAME?</v>
      </c>
      <c r="BO73" s="294"/>
      <c r="BP73" s="235" t="e">
        <f t="shared" si="168"/>
        <v>#NAME?</v>
      </c>
      <c r="BQ73" s="294"/>
      <c r="BR73" s="175" t="e">
        <f t="shared" si="169"/>
        <v>#NAME?</v>
      </c>
      <c r="BS73" s="175" t="e">
        <f t="shared" si="170"/>
        <v>#NAME?</v>
      </c>
      <c r="BT73" s="175" t="e">
        <f t="shared" si="138"/>
        <v>#NAME?</v>
      </c>
      <c r="BU73" s="235"/>
      <c r="BV73" s="235"/>
      <c r="BW73" s="175" t="e">
        <f>IF(MODE=1, BJ73, 'PFM Efficiency'!BH73)</f>
        <v>#NAME?</v>
      </c>
      <c r="BX73" s="175" t="e">
        <f>IF(MODE=1, BR73, 'PFM Efficiency'!BN73)</f>
        <v>#NAME?</v>
      </c>
      <c r="BY73" s="175" t="e">
        <f>IF(MODE=1, BS73, 'PFM Efficiency'!BO73)</f>
        <v>#NAME?</v>
      </c>
      <c r="BZ73" s="175" t="e">
        <f>IF(MODE=1, BT73, 'PFM Efficiency'!BP73)</f>
        <v>#NAME?</v>
      </c>
    </row>
    <row r="74" spans="6:78" x14ac:dyDescent="0.2">
      <c r="H74" s="173">
        <v>68</v>
      </c>
      <c r="I74" s="522">
        <f t="shared" si="113"/>
        <v>0.10200000000000001</v>
      </c>
      <c r="J74" s="233" t="e">
        <f t="shared" si="114"/>
        <v>#NAME?</v>
      </c>
      <c r="K74" s="233" t="e">
        <f t="shared" si="115"/>
        <v>#NAME?</v>
      </c>
      <c r="L74" s="233" t="e">
        <f t="shared" si="116"/>
        <v>#NAME?</v>
      </c>
      <c r="M74" s="290" t="e">
        <f t="shared" si="117"/>
        <v>#NAME?</v>
      </c>
      <c r="N74" s="232" t="e">
        <f t="shared" si="158"/>
        <v>#NAME?</v>
      </c>
      <c r="O74" s="208" t="e">
        <f t="shared" si="118"/>
        <v>#NAME?</v>
      </c>
      <c r="P74" s="291" t="e">
        <f t="shared" si="139"/>
        <v>#NAME?</v>
      </c>
      <c r="Q74" s="291" t="e">
        <f t="shared" si="140"/>
        <v>#NAME?</v>
      </c>
      <c r="R74" s="291" t="e">
        <f t="shared" si="141"/>
        <v>#NAME?</v>
      </c>
      <c r="S74" s="232" t="e">
        <f t="shared" si="142"/>
        <v>#NAME?</v>
      </c>
      <c r="T74" s="232" t="e">
        <f t="shared" si="143"/>
        <v>#NAME?</v>
      </c>
      <c r="U74" s="173" t="e">
        <f t="shared" si="144"/>
        <v>#NAME?</v>
      </c>
      <c r="V74" s="232" t="e">
        <f t="shared" si="159"/>
        <v>#NAME?</v>
      </c>
      <c r="W74" s="233" t="e">
        <f t="shared" si="145"/>
        <v>#NAME?</v>
      </c>
      <c r="X74" s="232" t="e">
        <f t="shared" si="146"/>
        <v>#NAME?</v>
      </c>
      <c r="Y74" s="232" t="e">
        <f t="shared" si="160"/>
        <v>#NAME?</v>
      </c>
      <c r="Z74" s="232" t="e">
        <f t="shared" si="147"/>
        <v>#NAME?</v>
      </c>
      <c r="AA74" s="234" t="e">
        <f t="shared" si="148"/>
        <v>#NAME?</v>
      </c>
      <c r="AB74" s="234" t="e">
        <f t="shared" si="161"/>
        <v>#NAME?</v>
      </c>
      <c r="AC74" s="232" t="e">
        <f t="shared" si="149"/>
        <v>#NAME?</v>
      </c>
      <c r="AD74" s="232" t="e">
        <f t="shared" si="150"/>
        <v>#NAME?</v>
      </c>
      <c r="AE74" s="232" t="e">
        <f t="shared" si="151"/>
        <v>#NAME?</v>
      </c>
      <c r="AF74">
        <v>20</v>
      </c>
      <c r="AG74" s="505" t="e">
        <f t="shared" si="119"/>
        <v>#NAME?</v>
      </c>
      <c r="AH74" s="232" t="e">
        <f t="shared" si="120"/>
        <v>#NAME?</v>
      </c>
      <c r="AI74" s="232" t="e">
        <f t="shared" si="121"/>
        <v>#NAME?</v>
      </c>
      <c r="AJ74" s="232" t="e">
        <f t="shared" si="122"/>
        <v>#NAME?</v>
      </c>
      <c r="AK74" s="232" t="e">
        <f t="shared" si="123"/>
        <v>#NAME?</v>
      </c>
      <c r="AL74" s="232" t="e">
        <f t="shared" si="152"/>
        <v>#NAME?</v>
      </c>
      <c r="AM74" s="232" t="e">
        <f t="shared" si="124"/>
        <v>#NAME?</v>
      </c>
      <c r="AN74" s="232" t="e">
        <f t="shared" si="125"/>
        <v>#NAME?</v>
      </c>
      <c r="AO74" s="232" t="e">
        <f t="shared" si="126"/>
        <v>#NAME?</v>
      </c>
      <c r="AP74" s="232" t="e">
        <f t="shared" si="162"/>
        <v>#NAME?</v>
      </c>
      <c r="AQ74" s="232" t="e">
        <f t="shared" si="127"/>
        <v>#NAME?</v>
      </c>
      <c r="AR74" s="232" t="e">
        <f t="shared" si="128"/>
        <v>#NAME?</v>
      </c>
      <c r="AS74" s="232" t="e">
        <f t="shared" si="129"/>
        <v>#NAME?</v>
      </c>
      <c r="AT74" s="232" t="e">
        <f t="shared" si="163"/>
        <v>#NAME?</v>
      </c>
      <c r="AU74" s="232" t="e">
        <f t="shared" si="130"/>
        <v>#NAME?</v>
      </c>
      <c r="AV74" s="232">
        <f t="shared" si="131"/>
        <v>0.51</v>
      </c>
      <c r="AW74" s="292" t="e">
        <f t="shared" si="171"/>
        <v>#NAME?</v>
      </c>
      <c r="AX74" s="358" t="e">
        <f t="shared" si="132"/>
        <v>#NAME?</v>
      </c>
      <c r="AY74" s="358" t="e">
        <f t="shared" si="164"/>
        <v>#NAME?</v>
      </c>
      <c r="AZ74" s="358" t="e">
        <f t="shared" si="133"/>
        <v>#NAME?</v>
      </c>
      <c r="BA74" s="358" t="e">
        <f t="shared" si="153"/>
        <v>#NAME?</v>
      </c>
      <c r="BB74" s="358" t="e">
        <f t="shared" si="154"/>
        <v>#NAME?</v>
      </c>
      <c r="BC74" s="358" t="e">
        <f t="shared" si="155"/>
        <v>#NAME?</v>
      </c>
      <c r="BD74" s="358" t="e">
        <f t="shared" si="134"/>
        <v>#NAME?</v>
      </c>
      <c r="BE74" s="358" t="e">
        <f t="shared" si="135"/>
        <v>#NAME?</v>
      </c>
      <c r="BF74" s="358" t="e">
        <f t="shared" si="136"/>
        <v>#NAME?</v>
      </c>
      <c r="BG74" s="235" t="e">
        <f t="shared" si="165"/>
        <v>#NAME?</v>
      </c>
      <c r="BH74" s="235" t="e">
        <f t="shared" si="156"/>
        <v>#NAME?</v>
      </c>
      <c r="BI74" s="235" t="e">
        <f t="shared" si="166"/>
        <v>#NAME?</v>
      </c>
      <c r="BJ74" s="175" t="e">
        <f t="shared" si="167"/>
        <v>#NAME?</v>
      </c>
      <c r="BK74" s="233">
        <f>CHOOSE(MODE, I74*1000, 'PFM Efficiency'!BI74)</f>
        <v>102.00000000000001</v>
      </c>
      <c r="BL74" s="175">
        <v>88.1638260061073</v>
      </c>
      <c r="BM74" s="235">
        <f t="shared" si="157"/>
        <v>0.88163826006107304</v>
      </c>
      <c r="BN74" s="293" t="e">
        <f t="shared" si="137"/>
        <v>#NAME?</v>
      </c>
      <c r="BO74" s="294"/>
      <c r="BP74" s="235" t="e">
        <f t="shared" si="168"/>
        <v>#NAME?</v>
      </c>
      <c r="BQ74" s="294"/>
      <c r="BR74" s="175" t="e">
        <f t="shared" si="169"/>
        <v>#NAME?</v>
      </c>
      <c r="BS74" s="175" t="e">
        <f t="shared" si="170"/>
        <v>#NAME?</v>
      </c>
      <c r="BT74" s="175" t="e">
        <f t="shared" si="138"/>
        <v>#NAME?</v>
      </c>
      <c r="BU74" s="235"/>
      <c r="BV74" s="235"/>
      <c r="BW74" s="175" t="e">
        <f>IF(MODE=1, BJ74, 'PFM Efficiency'!BH74)</f>
        <v>#NAME?</v>
      </c>
      <c r="BX74" s="175" t="e">
        <f>IF(MODE=1, BR74, 'PFM Efficiency'!BN74)</f>
        <v>#NAME?</v>
      </c>
      <c r="BY74" s="175" t="e">
        <f>IF(MODE=1, BS74, 'PFM Efficiency'!BO74)</f>
        <v>#NAME?</v>
      </c>
      <c r="BZ74" s="175" t="e">
        <f>IF(MODE=1, BT74, 'PFM Efficiency'!BP74)</f>
        <v>#NAME?</v>
      </c>
    </row>
    <row r="75" spans="6:78" x14ac:dyDescent="0.2">
      <c r="H75" s="173">
        <v>69</v>
      </c>
      <c r="I75" s="522">
        <f t="shared" si="113"/>
        <v>0.10349999999999999</v>
      </c>
      <c r="J75" s="233" t="e">
        <f t="shared" si="114"/>
        <v>#NAME?</v>
      </c>
      <c r="K75" s="233" t="e">
        <f t="shared" si="115"/>
        <v>#NAME?</v>
      </c>
      <c r="L75" s="233" t="e">
        <f t="shared" si="116"/>
        <v>#NAME?</v>
      </c>
      <c r="M75" s="290" t="e">
        <f t="shared" si="117"/>
        <v>#NAME?</v>
      </c>
      <c r="N75" s="232" t="e">
        <f t="shared" si="158"/>
        <v>#NAME?</v>
      </c>
      <c r="O75" s="208" t="e">
        <f t="shared" si="118"/>
        <v>#NAME?</v>
      </c>
      <c r="P75" s="291" t="e">
        <f t="shared" si="139"/>
        <v>#NAME?</v>
      </c>
      <c r="Q75" s="291" t="e">
        <f t="shared" si="140"/>
        <v>#NAME?</v>
      </c>
      <c r="R75" s="291" t="e">
        <f t="shared" si="141"/>
        <v>#NAME?</v>
      </c>
      <c r="S75" s="232" t="e">
        <f t="shared" si="142"/>
        <v>#NAME?</v>
      </c>
      <c r="T75" s="232" t="e">
        <f t="shared" si="143"/>
        <v>#NAME?</v>
      </c>
      <c r="U75" s="173" t="e">
        <f t="shared" si="144"/>
        <v>#NAME?</v>
      </c>
      <c r="V75" s="232" t="e">
        <f t="shared" si="159"/>
        <v>#NAME?</v>
      </c>
      <c r="W75" s="233" t="e">
        <f t="shared" si="145"/>
        <v>#NAME?</v>
      </c>
      <c r="X75" s="232" t="e">
        <f t="shared" si="146"/>
        <v>#NAME?</v>
      </c>
      <c r="Y75" s="232" t="e">
        <f t="shared" si="160"/>
        <v>#NAME?</v>
      </c>
      <c r="Z75" s="232" t="e">
        <f t="shared" si="147"/>
        <v>#NAME?</v>
      </c>
      <c r="AA75" s="234" t="e">
        <f t="shared" si="148"/>
        <v>#NAME?</v>
      </c>
      <c r="AB75" s="234" t="e">
        <f t="shared" si="161"/>
        <v>#NAME?</v>
      </c>
      <c r="AC75" s="232" t="e">
        <f t="shared" si="149"/>
        <v>#NAME?</v>
      </c>
      <c r="AD75" s="232" t="e">
        <f t="shared" si="150"/>
        <v>#NAME?</v>
      </c>
      <c r="AE75" s="232" t="e">
        <f t="shared" si="151"/>
        <v>#NAME?</v>
      </c>
      <c r="AF75">
        <v>20</v>
      </c>
      <c r="AG75" s="505" t="e">
        <f t="shared" si="119"/>
        <v>#NAME?</v>
      </c>
      <c r="AH75" s="232" t="e">
        <f t="shared" si="120"/>
        <v>#NAME?</v>
      </c>
      <c r="AI75" s="232" t="e">
        <f t="shared" si="121"/>
        <v>#NAME?</v>
      </c>
      <c r="AJ75" s="232" t="e">
        <f t="shared" si="122"/>
        <v>#NAME?</v>
      </c>
      <c r="AK75" s="232" t="e">
        <f t="shared" si="123"/>
        <v>#NAME?</v>
      </c>
      <c r="AL75" s="232" t="e">
        <f t="shared" si="152"/>
        <v>#NAME?</v>
      </c>
      <c r="AM75" s="232" t="e">
        <f t="shared" si="124"/>
        <v>#NAME?</v>
      </c>
      <c r="AN75" s="232" t="e">
        <f t="shared" si="125"/>
        <v>#NAME?</v>
      </c>
      <c r="AO75" s="232" t="e">
        <f t="shared" si="126"/>
        <v>#NAME?</v>
      </c>
      <c r="AP75" s="232" t="e">
        <f t="shared" si="162"/>
        <v>#NAME?</v>
      </c>
      <c r="AQ75" s="232" t="e">
        <f t="shared" si="127"/>
        <v>#NAME?</v>
      </c>
      <c r="AR75" s="232" t="e">
        <f t="shared" si="128"/>
        <v>#NAME?</v>
      </c>
      <c r="AS75" s="232" t="e">
        <f t="shared" si="129"/>
        <v>#NAME?</v>
      </c>
      <c r="AT75" s="232" t="e">
        <f t="shared" si="163"/>
        <v>#NAME?</v>
      </c>
      <c r="AU75" s="232" t="e">
        <f t="shared" si="130"/>
        <v>#NAME?</v>
      </c>
      <c r="AV75" s="232">
        <f t="shared" si="131"/>
        <v>0.51749999999999996</v>
      </c>
      <c r="AW75" s="292" t="e">
        <f t="shared" si="171"/>
        <v>#NAME?</v>
      </c>
      <c r="AX75" s="358" t="e">
        <f t="shared" si="132"/>
        <v>#NAME?</v>
      </c>
      <c r="AY75" s="358" t="e">
        <f t="shared" si="164"/>
        <v>#NAME?</v>
      </c>
      <c r="AZ75" s="358" t="e">
        <f t="shared" si="133"/>
        <v>#NAME?</v>
      </c>
      <c r="BA75" s="358" t="e">
        <f t="shared" si="153"/>
        <v>#NAME?</v>
      </c>
      <c r="BB75" s="358" t="e">
        <f t="shared" si="154"/>
        <v>#NAME?</v>
      </c>
      <c r="BC75" s="358" t="e">
        <f t="shared" si="155"/>
        <v>#NAME?</v>
      </c>
      <c r="BD75" s="358" t="e">
        <f t="shared" si="134"/>
        <v>#NAME?</v>
      </c>
      <c r="BE75" s="358" t="e">
        <f t="shared" si="135"/>
        <v>#NAME?</v>
      </c>
      <c r="BF75" s="358" t="e">
        <f t="shared" si="136"/>
        <v>#NAME?</v>
      </c>
      <c r="BG75" s="235" t="e">
        <f t="shared" si="165"/>
        <v>#NAME?</v>
      </c>
      <c r="BH75" s="235" t="e">
        <f t="shared" si="156"/>
        <v>#NAME?</v>
      </c>
      <c r="BI75" s="235" t="e">
        <f t="shared" si="166"/>
        <v>#NAME?</v>
      </c>
      <c r="BJ75" s="175" t="e">
        <f t="shared" si="167"/>
        <v>#NAME?</v>
      </c>
      <c r="BK75" s="233">
        <f>CHOOSE(MODE, I75*1000, 'PFM Efficiency'!BI75)</f>
        <v>103.5</v>
      </c>
      <c r="BL75" s="175">
        <v>88.199606378038467</v>
      </c>
      <c r="BM75" s="235">
        <f t="shared" si="157"/>
        <v>0.88199606378038464</v>
      </c>
      <c r="BN75" s="293" t="e">
        <f t="shared" si="137"/>
        <v>#NAME?</v>
      </c>
      <c r="BO75" s="294"/>
      <c r="BP75" s="235" t="e">
        <f t="shared" si="168"/>
        <v>#NAME?</v>
      </c>
      <c r="BQ75" s="294"/>
      <c r="BR75" s="175" t="e">
        <f t="shared" si="169"/>
        <v>#NAME?</v>
      </c>
      <c r="BS75" s="175" t="e">
        <f t="shared" si="170"/>
        <v>#NAME?</v>
      </c>
      <c r="BT75" s="175" t="e">
        <f t="shared" si="138"/>
        <v>#NAME?</v>
      </c>
      <c r="BU75" s="235"/>
      <c r="BV75" s="235"/>
      <c r="BW75" s="175" t="e">
        <f>IF(MODE=1, BJ75, 'PFM Efficiency'!BH75)</f>
        <v>#NAME?</v>
      </c>
      <c r="BX75" s="175" t="e">
        <f>IF(MODE=1, BR75, 'PFM Efficiency'!BN75)</f>
        <v>#NAME?</v>
      </c>
      <c r="BY75" s="175" t="e">
        <f>IF(MODE=1, BS75, 'PFM Efficiency'!BO75)</f>
        <v>#NAME?</v>
      </c>
      <c r="BZ75" s="175" t="e">
        <f>IF(MODE=1, BT75, 'PFM Efficiency'!BP75)</f>
        <v>#NAME?</v>
      </c>
    </row>
    <row r="76" spans="6:78" x14ac:dyDescent="0.2">
      <c r="H76" s="173">
        <v>70</v>
      </c>
      <c r="I76" s="522">
        <f t="shared" si="113"/>
        <v>0.105</v>
      </c>
      <c r="J76" s="233" t="e">
        <f t="shared" si="114"/>
        <v>#NAME?</v>
      </c>
      <c r="K76" s="233" t="e">
        <f t="shared" si="115"/>
        <v>#NAME?</v>
      </c>
      <c r="L76" s="233" t="e">
        <f t="shared" si="116"/>
        <v>#NAME?</v>
      </c>
      <c r="M76" s="290" t="e">
        <f t="shared" si="117"/>
        <v>#NAME?</v>
      </c>
      <c r="N76" s="232" t="e">
        <f t="shared" si="158"/>
        <v>#NAME?</v>
      </c>
      <c r="O76" s="208" t="e">
        <f t="shared" si="118"/>
        <v>#NAME?</v>
      </c>
      <c r="P76" s="291" t="e">
        <f t="shared" si="139"/>
        <v>#NAME?</v>
      </c>
      <c r="Q76" s="291" t="e">
        <f t="shared" si="140"/>
        <v>#NAME?</v>
      </c>
      <c r="R76" s="291" t="e">
        <f t="shared" si="141"/>
        <v>#NAME?</v>
      </c>
      <c r="S76" s="232" t="e">
        <f t="shared" si="142"/>
        <v>#NAME?</v>
      </c>
      <c r="T76" s="232" t="e">
        <f t="shared" si="143"/>
        <v>#NAME?</v>
      </c>
      <c r="U76" s="173" t="e">
        <f t="shared" si="144"/>
        <v>#NAME?</v>
      </c>
      <c r="V76" s="232" t="e">
        <f t="shared" si="159"/>
        <v>#NAME?</v>
      </c>
      <c r="W76" s="233" t="e">
        <f t="shared" si="145"/>
        <v>#NAME?</v>
      </c>
      <c r="X76" s="232" t="e">
        <f t="shared" si="146"/>
        <v>#NAME?</v>
      </c>
      <c r="Y76" s="232" t="e">
        <f t="shared" si="160"/>
        <v>#NAME?</v>
      </c>
      <c r="Z76" s="232" t="e">
        <f t="shared" si="147"/>
        <v>#NAME?</v>
      </c>
      <c r="AA76" s="234" t="e">
        <f t="shared" si="148"/>
        <v>#NAME?</v>
      </c>
      <c r="AB76" s="234" t="e">
        <f t="shared" si="161"/>
        <v>#NAME?</v>
      </c>
      <c r="AC76" s="232" t="e">
        <f t="shared" si="149"/>
        <v>#NAME?</v>
      </c>
      <c r="AD76" s="232" t="e">
        <f t="shared" si="150"/>
        <v>#NAME?</v>
      </c>
      <c r="AE76" s="232" t="e">
        <f t="shared" si="151"/>
        <v>#NAME?</v>
      </c>
      <c r="AF76">
        <v>20</v>
      </c>
      <c r="AG76" s="505" t="e">
        <f t="shared" si="119"/>
        <v>#NAME?</v>
      </c>
      <c r="AH76" s="232" t="e">
        <f t="shared" si="120"/>
        <v>#NAME?</v>
      </c>
      <c r="AI76" s="232" t="e">
        <f t="shared" si="121"/>
        <v>#NAME?</v>
      </c>
      <c r="AJ76" s="232" t="e">
        <f t="shared" si="122"/>
        <v>#NAME?</v>
      </c>
      <c r="AK76" s="232" t="e">
        <f t="shared" si="123"/>
        <v>#NAME?</v>
      </c>
      <c r="AL76" s="232" t="e">
        <f t="shared" si="152"/>
        <v>#NAME?</v>
      </c>
      <c r="AM76" s="232" t="e">
        <f t="shared" si="124"/>
        <v>#NAME?</v>
      </c>
      <c r="AN76" s="232" t="e">
        <f t="shared" si="125"/>
        <v>#NAME?</v>
      </c>
      <c r="AO76" s="232" t="e">
        <f t="shared" si="126"/>
        <v>#NAME?</v>
      </c>
      <c r="AP76" s="232" t="e">
        <f t="shared" si="162"/>
        <v>#NAME?</v>
      </c>
      <c r="AQ76" s="232" t="e">
        <f t="shared" si="127"/>
        <v>#NAME?</v>
      </c>
      <c r="AR76" s="232" t="e">
        <f t="shared" si="128"/>
        <v>#NAME?</v>
      </c>
      <c r="AS76" s="232" t="e">
        <f t="shared" si="129"/>
        <v>#NAME?</v>
      </c>
      <c r="AT76" s="232" t="e">
        <f t="shared" si="163"/>
        <v>#NAME?</v>
      </c>
      <c r="AU76" s="232" t="e">
        <f t="shared" si="130"/>
        <v>#NAME?</v>
      </c>
      <c r="AV76" s="232">
        <f t="shared" si="131"/>
        <v>0.52500000000000002</v>
      </c>
      <c r="AW76" s="292" t="e">
        <f t="shared" si="171"/>
        <v>#NAME?</v>
      </c>
      <c r="AX76" s="358" t="e">
        <f t="shared" si="132"/>
        <v>#NAME?</v>
      </c>
      <c r="AY76" s="358" t="e">
        <f t="shared" si="164"/>
        <v>#NAME?</v>
      </c>
      <c r="AZ76" s="358" t="e">
        <f t="shared" si="133"/>
        <v>#NAME?</v>
      </c>
      <c r="BA76" s="358" t="e">
        <f t="shared" si="153"/>
        <v>#NAME?</v>
      </c>
      <c r="BB76" s="358" t="e">
        <f t="shared" si="154"/>
        <v>#NAME?</v>
      </c>
      <c r="BC76" s="358" t="e">
        <f t="shared" si="155"/>
        <v>#NAME?</v>
      </c>
      <c r="BD76" s="358" t="e">
        <f t="shared" si="134"/>
        <v>#NAME?</v>
      </c>
      <c r="BE76" s="358" t="e">
        <f t="shared" si="135"/>
        <v>#NAME?</v>
      </c>
      <c r="BF76" s="358" t="e">
        <f t="shared" si="136"/>
        <v>#NAME?</v>
      </c>
      <c r="BG76" s="235" t="e">
        <f t="shared" si="165"/>
        <v>#NAME?</v>
      </c>
      <c r="BH76" s="235" t="e">
        <f t="shared" si="156"/>
        <v>#NAME?</v>
      </c>
      <c r="BI76" s="235" t="e">
        <f t="shared" si="166"/>
        <v>#NAME?</v>
      </c>
      <c r="BJ76" s="175" t="e">
        <f t="shared" si="167"/>
        <v>#NAME?</v>
      </c>
      <c r="BK76" s="233">
        <f>CHOOSE(MODE, I76*1000, 'PFM Efficiency'!BI76)</f>
        <v>105</v>
      </c>
      <c r="BL76" s="175">
        <v>88.233680278117845</v>
      </c>
      <c r="BM76" s="235">
        <f t="shared" si="157"/>
        <v>0.88233680278117843</v>
      </c>
      <c r="BN76" s="293" t="e">
        <f t="shared" si="137"/>
        <v>#NAME?</v>
      </c>
      <c r="BO76" s="294"/>
      <c r="BP76" s="235" t="e">
        <f t="shared" si="168"/>
        <v>#NAME?</v>
      </c>
      <c r="BQ76" s="294"/>
      <c r="BR76" s="175" t="e">
        <f t="shared" si="169"/>
        <v>#NAME?</v>
      </c>
      <c r="BS76" s="175" t="e">
        <f t="shared" si="170"/>
        <v>#NAME?</v>
      </c>
      <c r="BT76" s="175" t="e">
        <f t="shared" si="138"/>
        <v>#NAME?</v>
      </c>
      <c r="BU76" s="235"/>
      <c r="BV76" s="235"/>
      <c r="BW76" s="175" t="e">
        <f>IF(MODE=1, BJ76, 'PFM Efficiency'!BH76)</f>
        <v>#NAME?</v>
      </c>
      <c r="BX76" s="175" t="e">
        <f>IF(MODE=1, BR76, 'PFM Efficiency'!BN76)</f>
        <v>#NAME?</v>
      </c>
      <c r="BY76" s="175" t="e">
        <f>IF(MODE=1, BS76, 'PFM Efficiency'!BO76)</f>
        <v>#NAME?</v>
      </c>
      <c r="BZ76" s="175" t="e">
        <f>IF(MODE=1, BT76, 'PFM Efficiency'!BP76)</f>
        <v>#NAME?</v>
      </c>
    </row>
    <row r="77" spans="6:78" x14ac:dyDescent="0.2">
      <c r="H77" s="173">
        <v>71</v>
      </c>
      <c r="I77" s="522">
        <f t="shared" si="113"/>
        <v>0.1065</v>
      </c>
      <c r="J77" s="233" t="e">
        <f t="shared" si="114"/>
        <v>#NAME?</v>
      </c>
      <c r="K77" s="233" t="e">
        <f t="shared" si="115"/>
        <v>#NAME?</v>
      </c>
      <c r="L77" s="233" t="e">
        <f t="shared" si="116"/>
        <v>#NAME?</v>
      </c>
      <c r="M77" s="290" t="e">
        <f t="shared" si="117"/>
        <v>#NAME?</v>
      </c>
      <c r="N77" s="232" t="e">
        <f t="shared" si="158"/>
        <v>#NAME?</v>
      </c>
      <c r="O77" s="208" t="e">
        <f t="shared" si="118"/>
        <v>#NAME?</v>
      </c>
      <c r="P77" s="291" t="e">
        <f t="shared" si="139"/>
        <v>#NAME?</v>
      </c>
      <c r="Q77" s="291" t="e">
        <f t="shared" si="140"/>
        <v>#NAME?</v>
      </c>
      <c r="R77" s="291" t="e">
        <f t="shared" si="141"/>
        <v>#NAME?</v>
      </c>
      <c r="S77" s="232" t="e">
        <f t="shared" si="142"/>
        <v>#NAME?</v>
      </c>
      <c r="T77" s="232" t="e">
        <f t="shared" si="143"/>
        <v>#NAME?</v>
      </c>
      <c r="U77" s="173" t="e">
        <f t="shared" si="144"/>
        <v>#NAME?</v>
      </c>
      <c r="V77" s="232" t="e">
        <f t="shared" si="159"/>
        <v>#NAME?</v>
      </c>
      <c r="W77" s="233" t="e">
        <f t="shared" si="145"/>
        <v>#NAME?</v>
      </c>
      <c r="X77" s="232" t="e">
        <f t="shared" si="146"/>
        <v>#NAME?</v>
      </c>
      <c r="Y77" s="232" t="e">
        <f t="shared" si="160"/>
        <v>#NAME?</v>
      </c>
      <c r="Z77" s="232" t="e">
        <f t="shared" si="147"/>
        <v>#NAME?</v>
      </c>
      <c r="AA77" s="234" t="e">
        <f t="shared" si="148"/>
        <v>#NAME?</v>
      </c>
      <c r="AB77" s="234" t="e">
        <f t="shared" si="161"/>
        <v>#NAME?</v>
      </c>
      <c r="AC77" s="232" t="e">
        <f t="shared" si="149"/>
        <v>#NAME?</v>
      </c>
      <c r="AD77" s="232" t="e">
        <f t="shared" si="150"/>
        <v>#NAME?</v>
      </c>
      <c r="AE77" s="232" t="e">
        <f t="shared" si="151"/>
        <v>#NAME?</v>
      </c>
      <c r="AF77">
        <v>20</v>
      </c>
      <c r="AG77" s="505" t="e">
        <f t="shared" si="119"/>
        <v>#NAME?</v>
      </c>
      <c r="AH77" s="232" t="e">
        <f t="shared" si="120"/>
        <v>#NAME?</v>
      </c>
      <c r="AI77" s="232" t="e">
        <f t="shared" si="121"/>
        <v>#NAME?</v>
      </c>
      <c r="AJ77" s="232" t="e">
        <f t="shared" si="122"/>
        <v>#NAME?</v>
      </c>
      <c r="AK77" s="232" t="e">
        <f t="shared" si="123"/>
        <v>#NAME?</v>
      </c>
      <c r="AL77" s="232" t="e">
        <f t="shared" si="152"/>
        <v>#NAME?</v>
      </c>
      <c r="AM77" s="232" t="e">
        <f t="shared" si="124"/>
        <v>#NAME?</v>
      </c>
      <c r="AN77" s="232" t="e">
        <f t="shared" si="125"/>
        <v>#NAME?</v>
      </c>
      <c r="AO77" s="232" t="e">
        <f t="shared" si="126"/>
        <v>#NAME?</v>
      </c>
      <c r="AP77" s="232" t="e">
        <f t="shared" si="162"/>
        <v>#NAME?</v>
      </c>
      <c r="AQ77" s="232" t="e">
        <f t="shared" si="127"/>
        <v>#NAME?</v>
      </c>
      <c r="AR77" s="232" t="e">
        <f t="shared" si="128"/>
        <v>#NAME?</v>
      </c>
      <c r="AS77" s="232" t="e">
        <f t="shared" si="129"/>
        <v>#NAME?</v>
      </c>
      <c r="AT77" s="232" t="e">
        <f t="shared" si="163"/>
        <v>#NAME?</v>
      </c>
      <c r="AU77" s="232" t="e">
        <f t="shared" si="130"/>
        <v>#NAME?</v>
      </c>
      <c r="AV77" s="232">
        <f t="shared" si="131"/>
        <v>0.53249999999999997</v>
      </c>
      <c r="AW77" s="292" t="e">
        <f t="shared" si="171"/>
        <v>#NAME?</v>
      </c>
      <c r="AX77" s="358" t="e">
        <f t="shared" si="132"/>
        <v>#NAME?</v>
      </c>
      <c r="AY77" s="358" t="e">
        <f t="shared" si="164"/>
        <v>#NAME?</v>
      </c>
      <c r="AZ77" s="358" t="e">
        <f t="shared" si="133"/>
        <v>#NAME?</v>
      </c>
      <c r="BA77" s="358" t="e">
        <f t="shared" si="153"/>
        <v>#NAME?</v>
      </c>
      <c r="BB77" s="358" t="e">
        <f t="shared" si="154"/>
        <v>#NAME?</v>
      </c>
      <c r="BC77" s="358" t="e">
        <f t="shared" si="155"/>
        <v>#NAME?</v>
      </c>
      <c r="BD77" s="358" t="e">
        <f t="shared" si="134"/>
        <v>#NAME?</v>
      </c>
      <c r="BE77" s="358" t="e">
        <f t="shared" si="135"/>
        <v>#NAME?</v>
      </c>
      <c r="BF77" s="358" t="e">
        <f t="shared" si="136"/>
        <v>#NAME?</v>
      </c>
      <c r="BG77" s="235" t="e">
        <f t="shared" si="165"/>
        <v>#NAME?</v>
      </c>
      <c r="BH77" s="235" t="e">
        <f t="shared" si="156"/>
        <v>#NAME?</v>
      </c>
      <c r="BI77" s="235" t="e">
        <f t="shared" si="166"/>
        <v>#NAME?</v>
      </c>
      <c r="BJ77" s="175" t="e">
        <f t="shared" si="167"/>
        <v>#NAME?</v>
      </c>
      <c r="BK77" s="233">
        <f>CHOOSE(MODE, I77*1000, 'PFM Efficiency'!BI77)</f>
        <v>106.5</v>
      </c>
      <c r="BL77" s="175">
        <v>88.266113122354795</v>
      </c>
      <c r="BM77" s="235">
        <f t="shared" si="157"/>
        <v>0.88266113122354795</v>
      </c>
      <c r="BN77" s="293" t="e">
        <f t="shared" si="137"/>
        <v>#NAME?</v>
      </c>
      <c r="BO77" s="294"/>
      <c r="BP77" s="235" t="e">
        <f t="shared" si="168"/>
        <v>#NAME?</v>
      </c>
      <c r="BQ77" s="294"/>
      <c r="BR77" s="175" t="e">
        <f t="shared" si="169"/>
        <v>#NAME?</v>
      </c>
      <c r="BS77" s="175" t="e">
        <f t="shared" si="170"/>
        <v>#NAME?</v>
      </c>
      <c r="BT77" s="175" t="e">
        <f t="shared" si="138"/>
        <v>#NAME?</v>
      </c>
      <c r="BU77" s="235"/>
      <c r="BV77" s="235"/>
      <c r="BW77" s="175" t="e">
        <f>IF(MODE=1, BJ77, 'PFM Efficiency'!BH77)</f>
        <v>#NAME?</v>
      </c>
      <c r="BX77" s="175" t="e">
        <f>IF(MODE=1, BR77, 'PFM Efficiency'!BN77)</f>
        <v>#NAME?</v>
      </c>
      <c r="BY77" s="175" t="e">
        <f>IF(MODE=1, BS77, 'PFM Efficiency'!BO77)</f>
        <v>#NAME?</v>
      </c>
      <c r="BZ77" s="175" t="e">
        <f>IF(MODE=1, BT77, 'PFM Efficiency'!BP77)</f>
        <v>#NAME?</v>
      </c>
    </row>
    <row r="78" spans="6:78" x14ac:dyDescent="0.2">
      <c r="H78" s="173">
        <v>72</v>
      </c>
      <c r="I78" s="522">
        <f t="shared" si="113"/>
        <v>0.108</v>
      </c>
      <c r="J78" s="233" t="e">
        <f t="shared" si="114"/>
        <v>#NAME?</v>
      </c>
      <c r="K78" s="233" t="e">
        <f t="shared" si="115"/>
        <v>#NAME?</v>
      </c>
      <c r="L78" s="233" t="e">
        <f t="shared" si="116"/>
        <v>#NAME?</v>
      </c>
      <c r="M78" s="290" t="e">
        <f t="shared" si="117"/>
        <v>#NAME?</v>
      </c>
      <c r="N78" s="232" t="e">
        <f t="shared" si="158"/>
        <v>#NAME?</v>
      </c>
      <c r="O78" s="208" t="e">
        <f t="shared" si="118"/>
        <v>#NAME?</v>
      </c>
      <c r="P78" s="291" t="e">
        <f t="shared" si="139"/>
        <v>#NAME?</v>
      </c>
      <c r="Q78" s="291" t="e">
        <f t="shared" si="140"/>
        <v>#NAME?</v>
      </c>
      <c r="R78" s="291" t="e">
        <f t="shared" si="141"/>
        <v>#NAME?</v>
      </c>
      <c r="S78" s="232" t="e">
        <f t="shared" si="142"/>
        <v>#NAME?</v>
      </c>
      <c r="T78" s="232" t="e">
        <f t="shared" si="143"/>
        <v>#NAME?</v>
      </c>
      <c r="U78" s="173" t="e">
        <f t="shared" si="144"/>
        <v>#NAME?</v>
      </c>
      <c r="V78" s="232" t="e">
        <f t="shared" si="159"/>
        <v>#NAME?</v>
      </c>
      <c r="W78" s="233" t="e">
        <f t="shared" si="145"/>
        <v>#NAME?</v>
      </c>
      <c r="X78" s="232" t="e">
        <f t="shared" si="146"/>
        <v>#NAME?</v>
      </c>
      <c r="Y78" s="232" t="e">
        <f t="shared" si="160"/>
        <v>#NAME?</v>
      </c>
      <c r="Z78" s="232" t="e">
        <f t="shared" si="147"/>
        <v>#NAME?</v>
      </c>
      <c r="AA78" s="234" t="e">
        <f t="shared" si="148"/>
        <v>#NAME?</v>
      </c>
      <c r="AB78" s="234" t="e">
        <f t="shared" si="161"/>
        <v>#NAME?</v>
      </c>
      <c r="AC78" s="232" t="e">
        <f t="shared" si="149"/>
        <v>#NAME?</v>
      </c>
      <c r="AD78" s="232" t="e">
        <f t="shared" si="150"/>
        <v>#NAME?</v>
      </c>
      <c r="AE78" s="232" t="e">
        <f t="shared" si="151"/>
        <v>#NAME?</v>
      </c>
      <c r="AF78">
        <v>20</v>
      </c>
      <c r="AG78" s="505" t="e">
        <f t="shared" si="119"/>
        <v>#NAME?</v>
      </c>
      <c r="AH78" s="232" t="e">
        <f t="shared" si="120"/>
        <v>#NAME?</v>
      </c>
      <c r="AI78" s="232" t="e">
        <f t="shared" si="121"/>
        <v>#NAME?</v>
      </c>
      <c r="AJ78" s="232" t="e">
        <f t="shared" si="122"/>
        <v>#NAME?</v>
      </c>
      <c r="AK78" s="232" t="e">
        <f t="shared" si="123"/>
        <v>#NAME?</v>
      </c>
      <c r="AL78" s="232" t="e">
        <f t="shared" si="152"/>
        <v>#NAME?</v>
      </c>
      <c r="AM78" s="232" t="e">
        <f t="shared" si="124"/>
        <v>#NAME?</v>
      </c>
      <c r="AN78" s="232" t="e">
        <f t="shared" si="125"/>
        <v>#NAME?</v>
      </c>
      <c r="AO78" s="232" t="e">
        <f t="shared" si="126"/>
        <v>#NAME?</v>
      </c>
      <c r="AP78" s="232" t="e">
        <f t="shared" si="162"/>
        <v>#NAME?</v>
      </c>
      <c r="AQ78" s="232" t="e">
        <f t="shared" si="127"/>
        <v>#NAME?</v>
      </c>
      <c r="AR78" s="232" t="e">
        <f t="shared" si="128"/>
        <v>#NAME?</v>
      </c>
      <c r="AS78" s="232" t="e">
        <f t="shared" si="129"/>
        <v>#NAME?</v>
      </c>
      <c r="AT78" s="232" t="e">
        <f t="shared" si="163"/>
        <v>#NAME?</v>
      </c>
      <c r="AU78" s="232" t="e">
        <f t="shared" si="130"/>
        <v>#NAME?</v>
      </c>
      <c r="AV78" s="232">
        <f t="shared" si="131"/>
        <v>0.54</v>
      </c>
      <c r="AW78" s="292" t="e">
        <f t="shared" si="171"/>
        <v>#NAME?</v>
      </c>
      <c r="AX78" s="358" t="e">
        <f t="shared" si="132"/>
        <v>#NAME?</v>
      </c>
      <c r="AY78" s="358" t="e">
        <f t="shared" si="164"/>
        <v>#NAME?</v>
      </c>
      <c r="AZ78" s="358" t="e">
        <f t="shared" si="133"/>
        <v>#NAME?</v>
      </c>
      <c r="BA78" s="358" t="e">
        <f t="shared" si="153"/>
        <v>#NAME?</v>
      </c>
      <c r="BB78" s="358" t="e">
        <f t="shared" si="154"/>
        <v>#NAME?</v>
      </c>
      <c r="BC78" s="358" t="e">
        <f t="shared" si="155"/>
        <v>#NAME?</v>
      </c>
      <c r="BD78" s="358" t="e">
        <f t="shared" si="134"/>
        <v>#NAME?</v>
      </c>
      <c r="BE78" s="358" t="e">
        <f t="shared" si="135"/>
        <v>#NAME?</v>
      </c>
      <c r="BF78" s="358" t="e">
        <f t="shared" si="136"/>
        <v>#NAME?</v>
      </c>
      <c r="BG78" s="235" t="e">
        <f t="shared" si="165"/>
        <v>#NAME?</v>
      </c>
      <c r="BH78" s="235" t="e">
        <f t="shared" si="156"/>
        <v>#NAME?</v>
      </c>
      <c r="BI78" s="235" t="e">
        <f t="shared" si="166"/>
        <v>#NAME?</v>
      </c>
      <c r="BJ78" s="175" t="e">
        <f t="shared" si="167"/>
        <v>#NAME?</v>
      </c>
      <c r="BK78" s="233">
        <f>CHOOSE(MODE, I78*1000, 'PFM Efficiency'!BI78)</f>
        <v>108</v>
      </c>
      <c r="BL78" s="175">
        <v>88.296966961937997</v>
      </c>
      <c r="BM78" s="235">
        <f t="shared" si="157"/>
        <v>0.88296966961937995</v>
      </c>
      <c r="BN78" s="293" t="e">
        <f t="shared" si="137"/>
        <v>#NAME?</v>
      </c>
      <c r="BO78" s="294"/>
      <c r="BP78" s="235" t="e">
        <f t="shared" si="168"/>
        <v>#NAME?</v>
      </c>
      <c r="BQ78" s="294"/>
      <c r="BR78" s="175" t="e">
        <f t="shared" si="169"/>
        <v>#NAME?</v>
      </c>
      <c r="BS78" s="175" t="e">
        <f t="shared" si="170"/>
        <v>#NAME?</v>
      </c>
      <c r="BT78" s="175" t="e">
        <f t="shared" si="138"/>
        <v>#NAME?</v>
      </c>
      <c r="BU78" s="235"/>
      <c r="BV78" s="235"/>
      <c r="BW78" s="175" t="e">
        <f>IF(MODE=1, BJ78, 'PFM Efficiency'!BH78)</f>
        <v>#NAME?</v>
      </c>
      <c r="BX78" s="175" t="e">
        <f>IF(MODE=1, BR78, 'PFM Efficiency'!BN78)</f>
        <v>#NAME?</v>
      </c>
      <c r="BY78" s="175" t="e">
        <f>IF(MODE=1, BS78, 'PFM Efficiency'!BO78)</f>
        <v>#NAME?</v>
      </c>
      <c r="BZ78" s="175" t="e">
        <f>IF(MODE=1, BT78, 'PFM Efficiency'!BP78)</f>
        <v>#NAME?</v>
      </c>
    </row>
    <row r="79" spans="6:78" x14ac:dyDescent="0.2">
      <c r="H79" s="173">
        <v>73</v>
      </c>
      <c r="I79" s="522">
        <f t="shared" si="113"/>
        <v>0.1095</v>
      </c>
      <c r="J79" s="233" t="e">
        <f t="shared" si="114"/>
        <v>#NAME?</v>
      </c>
      <c r="K79" s="233" t="e">
        <f t="shared" si="115"/>
        <v>#NAME?</v>
      </c>
      <c r="L79" s="233" t="e">
        <f t="shared" si="116"/>
        <v>#NAME?</v>
      </c>
      <c r="M79" s="290" t="e">
        <f t="shared" si="117"/>
        <v>#NAME?</v>
      </c>
      <c r="N79" s="232" t="e">
        <f t="shared" si="158"/>
        <v>#NAME?</v>
      </c>
      <c r="O79" s="208" t="e">
        <f t="shared" si="118"/>
        <v>#NAME?</v>
      </c>
      <c r="P79" s="291" t="e">
        <f t="shared" si="139"/>
        <v>#NAME?</v>
      </c>
      <c r="Q79" s="291" t="e">
        <f t="shared" si="140"/>
        <v>#NAME?</v>
      </c>
      <c r="R79" s="291" t="e">
        <f t="shared" si="141"/>
        <v>#NAME?</v>
      </c>
      <c r="S79" s="232" t="e">
        <f t="shared" si="142"/>
        <v>#NAME?</v>
      </c>
      <c r="T79" s="232" t="e">
        <f t="shared" si="143"/>
        <v>#NAME?</v>
      </c>
      <c r="U79" s="173" t="e">
        <f t="shared" si="144"/>
        <v>#NAME?</v>
      </c>
      <c r="V79" s="232" t="e">
        <f t="shared" si="159"/>
        <v>#NAME?</v>
      </c>
      <c r="W79" s="233" t="e">
        <f t="shared" si="145"/>
        <v>#NAME?</v>
      </c>
      <c r="X79" s="232" t="e">
        <f t="shared" si="146"/>
        <v>#NAME?</v>
      </c>
      <c r="Y79" s="232" t="e">
        <f t="shared" si="160"/>
        <v>#NAME?</v>
      </c>
      <c r="Z79" s="232" t="e">
        <f t="shared" si="147"/>
        <v>#NAME?</v>
      </c>
      <c r="AA79" s="234" t="e">
        <f t="shared" si="148"/>
        <v>#NAME?</v>
      </c>
      <c r="AB79" s="234" t="e">
        <f t="shared" si="161"/>
        <v>#NAME?</v>
      </c>
      <c r="AC79" s="232" t="e">
        <f t="shared" si="149"/>
        <v>#NAME?</v>
      </c>
      <c r="AD79" s="232" t="e">
        <f t="shared" si="150"/>
        <v>#NAME?</v>
      </c>
      <c r="AE79" s="232" t="e">
        <f t="shared" si="151"/>
        <v>#NAME?</v>
      </c>
      <c r="AF79">
        <v>20</v>
      </c>
      <c r="AG79" s="505" t="e">
        <f t="shared" si="119"/>
        <v>#NAME?</v>
      </c>
      <c r="AH79" s="232" t="e">
        <f t="shared" si="120"/>
        <v>#NAME?</v>
      </c>
      <c r="AI79" s="232" t="e">
        <f t="shared" si="121"/>
        <v>#NAME?</v>
      </c>
      <c r="AJ79" s="232" t="e">
        <f t="shared" si="122"/>
        <v>#NAME?</v>
      </c>
      <c r="AK79" s="232" t="e">
        <f t="shared" si="123"/>
        <v>#NAME?</v>
      </c>
      <c r="AL79" s="232" t="e">
        <f t="shared" si="152"/>
        <v>#NAME?</v>
      </c>
      <c r="AM79" s="232" t="e">
        <f t="shared" si="124"/>
        <v>#NAME?</v>
      </c>
      <c r="AN79" s="232" t="e">
        <f t="shared" si="125"/>
        <v>#NAME?</v>
      </c>
      <c r="AO79" s="232" t="e">
        <f t="shared" si="126"/>
        <v>#NAME?</v>
      </c>
      <c r="AP79" s="232" t="e">
        <f t="shared" si="162"/>
        <v>#NAME?</v>
      </c>
      <c r="AQ79" s="232" t="e">
        <f t="shared" si="127"/>
        <v>#NAME?</v>
      </c>
      <c r="AR79" s="232" t="e">
        <f t="shared" si="128"/>
        <v>#NAME?</v>
      </c>
      <c r="AS79" s="232" t="e">
        <f t="shared" si="129"/>
        <v>#NAME?</v>
      </c>
      <c r="AT79" s="232" t="e">
        <f t="shared" si="163"/>
        <v>#NAME?</v>
      </c>
      <c r="AU79" s="232" t="e">
        <f t="shared" si="130"/>
        <v>#NAME?</v>
      </c>
      <c r="AV79" s="232">
        <f t="shared" si="131"/>
        <v>0.54749999999999999</v>
      </c>
      <c r="AW79" s="292" t="e">
        <f t="shared" si="171"/>
        <v>#NAME?</v>
      </c>
      <c r="AX79" s="358" t="e">
        <f t="shared" si="132"/>
        <v>#NAME?</v>
      </c>
      <c r="AY79" s="358" t="e">
        <f t="shared" si="164"/>
        <v>#NAME?</v>
      </c>
      <c r="AZ79" s="358" t="e">
        <f t="shared" si="133"/>
        <v>#NAME?</v>
      </c>
      <c r="BA79" s="358" t="e">
        <f t="shared" si="153"/>
        <v>#NAME?</v>
      </c>
      <c r="BB79" s="358" t="e">
        <f t="shared" si="154"/>
        <v>#NAME?</v>
      </c>
      <c r="BC79" s="358" t="e">
        <f t="shared" si="155"/>
        <v>#NAME?</v>
      </c>
      <c r="BD79" s="358" t="e">
        <f t="shared" si="134"/>
        <v>#NAME?</v>
      </c>
      <c r="BE79" s="358" t="e">
        <f t="shared" si="135"/>
        <v>#NAME?</v>
      </c>
      <c r="BF79" s="358" t="e">
        <f t="shared" si="136"/>
        <v>#NAME?</v>
      </c>
      <c r="BG79" s="235" t="e">
        <f t="shared" si="165"/>
        <v>#NAME?</v>
      </c>
      <c r="BH79" s="235" t="e">
        <f t="shared" si="156"/>
        <v>#NAME?</v>
      </c>
      <c r="BI79" s="235" t="e">
        <f t="shared" si="166"/>
        <v>#NAME?</v>
      </c>
      <c r="BJ79" s="175" t="e">
        <f t="shared" si="167"/>
        <v>#NAME?</v>
      </c>
      <c r="BK79" s="233">
        <f>CHOOSE(MODE, I79*1000, 'PFM Efficiency'!BI79)</f>
        <v>109.5</v>
      </c>
      <c r="BL79" s="175">
        <v>88.326300700046502</v>
      </c>
      <c r="BM79" s="235">
        <f t="shared" si="157"/>
        <v>0.88326300700046501</v>
      </c>
      <c r="BN79" s="293" t="e">
        <f t="shared" si="137"/>
        <v>#NAME?</v>
      </c>
      <c r="BO79" s="294"/>
      <c r="BP79" s="235" t="e">
        <f t="shared" si="168"/>
        <v>#NAME?</v>
      </c>
      <c r="BQ79" s="294"/>
      <c r="BR79" s="175" t="e">
        <f t="shared" si="169"/>
        <v>#NAME?</v>
      </c>
      <c r="BS79" s="175" t="e">
        <f t="shared" si="170"/>
        <v>#NAME?</v>
      </c>
      <c r="BT79" s="175" t="e">
        <f t="shared" si="138"/>
        <v>#NAME?</v>
      </c>
      <c r="BU79" s="235"/>
      <c r="BV79" s="235"/>
      <c r="BW79" s="175" t="e">
        <f>IF(MODE=1, BJ79, 'PFM Efficiency'!BH79)</f>
        <v>#NAME?</v>
      </c>
      <c r="BX79" s="175" t="e">
        <f>IF(MODE=1, BR79, 'PFM Efficiency'!BN79)</f>
        <v>#NAME?</v>
      </c>
      <c r="BY79" s="175" t="e">
        <f>IF(MODE=1, BS79, 'PFM Efficiency'!BO79)</f>
        <v>#NAME?</v>
      </c>
      <c r="BZ79" s="175" t="e">
        <f>IF(MODE=1, BT79, 'PFM Efficiency'!BP79)</f>
        <v>#NAME?</v>
      </c>
    </row>
    <row r="80" spans="6:78" x14ac:dyDescent="0.2">
      <c r="H80" s="173">
        <v>74</v>
      </c>
      <c r="I80" s="522">
        <f t="shared" si="113"/>
        <v>0.111</v>
      </c>
      <c r="J80" s="233" t="e">
        <f t="shared" si="114"/>
        <v>#NAME?</v>
      </c>
      <c r="K80" s="233" t="e">
        <f t="shared" si="115"/>
        <v>#NAME?</v>
      </c>
      <c r="L80" s="233" t="e">
        <f t="shared" si="116"/>
        <v>#NAME?</v>
      </c>
      <c r="M80" s="290" t="e">
        <f t="shared" si="117"/>
        <v>#NAME?</v>
      </c>
      <c r="N80" s="232" t="e">
        <f t="shared" si="158"/>
        <v>#NAME?</v>
      </c>
      <c r="O80" s="208" t="e">
        <f t="shared" si="118"/>
        <v>#NAME?</v>
      </c>
      <c r="P80" s="291" t="e">
        <f t="shared" si="139"/>
        <v>#NAME?</v>
      </c>
      <c r="Q80" s="291" t="e">
        <f t="shared" si="140"/>
        <v>#NAME?</v>
      </c>
      <c r="R80" s="291" t="e">
        <f t="shared" si="141"/>
        <v>#NAME?</v>
      </c>
      <c r="S80" s="232" t="e">
        <f t="shared" si="142"/>
        <v>#NAME?</v>
      </c>
      <c r="T80" s="232" t="e">
        <f t="shared" si="143"/>
        <v>#NAME?</v>
      </c>
      <c r="U80" s="173" t="e">
        <f t="shared" si="144"/>
        <v>#NAME?</v>
      </c>
      <c r="V80" s="232" t="e">
        <f t="shared" si="159"/>
        <v>#NAME?</v>
      </c>
      <c r="W80" s="233" t="e">
        <f t="shared" si="145"/>
        <v>#NAME?</v>
      </c>
      <c r="X80" s="232" t="e">
        <f t="shared" si="146"/>
        <v>#NAME?</v>
      </c>
      <c r="Y80" s="232" t="e">
        <f t="shared" si="160"/>
        <v>#NAME?</v>
      </c>
      <c r="Z80" s="232" t="e">
        <f t="shared" si="147"/>
        <v>#NAME?</v>
      </c>
      <c r="AA80" s="234" t="e">
        <f t="shared" si="148"/>
        <v>#NAME?</v>
      </c>
      <c r="AB80" s="234" t="e">
        <f t="shared" si="161"/>
        <v>#NAME?</v>
      </c>
      <c r="AC80" s="232" t="e">
        <f t="shared" si="149"/>
        <v>#NAME?</v>
      </c>
      <c r="AD80" s="232" t="e">
        <f t="shared" si="150"/>
        <v>#NAME?</v>
      </c>
      <c r="AE80" s="232" t="e">
        <f t="shared" si="151"/>
        <v>#NAME?</v>
      </c>
      <c r="AF80">
        <v>20</v>
      </c>
      <c r="AG80" s="505" t="e">
        <f t="shared" si="119"/>
        <v>#NAME?</v>
      </c>
      <c r="AH80" s="232" t="e">
        <f t="shared" si="120"/>
        <v>#NAME?</v>
      </c>
      <c r="AI80" s="232" t="e">
        <f t="shared" si="121"/>
        <v>#NAME?</v>
      </c>
      <c r="AJ80" s="232" t="e">
        <f t="shared" si="122"/>
        <v>#NAME?</v>
      </c>
      <c r="AK80" s="232" t="e">
        <f t="shared" si="123"/>
        <v>#NAME?</v>
      </c>
      <c r="AL80" s="232" t="e">
        <f t="shared" si="152"/>
        <v>#NAME?</v>
      </c>
      <c r="AM80" s="232" t="e">
        <f t="shared" si="124"/>
        <v>#NAME?</v>
      </c>
      <c r="AN80" s="232" t="e">
        <f t="shared" si="125"/>
        <v>#NAME?</v>
      </c>
      <c r="AO80" s="232" t="e">
        <f t="shared" si="126"/>
        <v>#NAME?</v>
      </c>
      <c r="AP80" s="232" t="e">
        <f t="shared" si="162"/>
        <v>#NAME?</v>
      </c>
      <c r="AQ80" s="232" t="e">
        <f t="shared" si="127"/>
        <v>#NAME?</v>
      </c>
      <c r="AR80" s="232" t="e">
        <f t="shared" si="128"/>
        <v>#NAME?</v>
      </c>
      <c r="AS80" s="232" t="e">
        <f t="shared" si="129"/>
        <v>#NAME?</v>
      </c>
      <c r="AT80" s="232" t="e">
        <f t="shared" si="163"/>
        <v>#NAME?</v>
      </c>
      <c r="AU80" s="232" t="e">
        <f t="shared" si="130"/>
        <v>#NAME?</v>
      </c>
      <c r="AV80" s="232">
        <f t="shared" si="131"/>
        <v>0.55500000000000005</v>
      </c>
      <c r="AW80" s="292" t="e">
        <f t="shared" si="171"/>
        <v>#NAME?</v>
      </c>
      <c r="AX80" s="358" t="e">
        <f t="shared" si="132"/>
        <v>#NAME?</v>
      </c>
      <c r="AY80" s="358" t="e">
        <f t="shared" si="164"/>
        <v>#NAME?</v>
      </c>
      <c r="AZ80" s="358" t="e">
        <f t="shared" si="133"/>
        <v>#NAME?</v>
      </c>
      <c r="BA80" s="358" t="e">
        <f t="shared" si="153"/>
        <v>#NAME?</v>
      </c>
      <c r="BB80" s="358" t="e">
        <f t="shared" si="154"/>
        <v>#NAME?</v>
      </c>
      <c r="BC80" s="358" t="e">
        <f t="shared" si="155"/>
        <v>#NAME?</v>
      </c>
      <c r="BD80" s="358" t="e">
        <f t="shared" si="134"/>
        <v>#NAME?</v>
      </c>
      <c r="BE80" s="358" t="e">
        <f t="shared" si="135"/>
        <v>#NAME?</v>
      </c>
      <c r="BF80" s="358" t="e">
        <f t="shared" si="136"/>
        <v>#NAME?</v>
      </c>
      <c r="BG80" s="235" t="e">
        <f t="shared" si="165"/>
        <v>#NAME?</v>
      </c>
      <c r="BH80" s="235" t="e">
        <f t="shared" si="156"/>
        <v>#NAME?</v>
      </c>
      <c r="BI80" s="235" t="e">
        <f t="shared" si="166"/>
        <v>#NAME?</v>
      </c>
      <c r="BJ80" s="175" t="e">
        <f t="shared" si="167"/>
        <v>#NAME?</v>
      </c>
      <c r="BK80" s="233">
        <f>CHOOSE(MODE, I80*1000, 'PFM Efficiency'!BI80)</f>
        <v>111</v>
      </c>
      <c r="BL80" s="175">
        <v>88.354170291966327</v>
      </c>
      <c r="BM80" s="235">
        <f t="shared" si="157"/>
        <v>0.88354170291966327</v>
      </c>
      <c r="BN80" s="293" t="e">
        <f t="shared" si="137"/>
        <v>#NAME?</v>
      </c>
      <c r="BO80" s="294"/>
      <c r="BP80" s="235" t="e">
        <f t="shared" si="168"/>
        <v>#NAME?</v>
      </c>
      <c r="BQ80" s="294"/>
      <c r="BR80" s="175" t="e">
        <f t="shared" si="169"/>
        <v>#NAME?</v>
      </c>
      <c r="BS80" s="175" t="e">
        <f t="shared" si="170"/>
        <v>#NAME?</v>
      </c>
      <c r="BT80" s="175" t="e">
        <f t="shared" si="138"/>
        <v>#NAME?</v>
      </c>
      <c r="BU80" s="235"/>
      <c r="BV80" s="235"/>
      <c r="BW80" s="175" t="e">
        <f>IF(MODE=1, BJ80, 'PFM Efficiency'!BH80)</f>
        <v>#NAME?</v>
      </c>
      <c r="BX80" s="175" t="e">
        <f>IF(MODE=1, BR80, 'PFM Efficiency'!BN80)</f>
        <v>#NAME?</v>
      </c>
      <c r="BY80" s="175" t="e">
        <f>IF(MODE=1, BS80, 'PFM Efficiency'!BO80)</f>
        <v>#NAME?</v>
      </c>
      <c r="BZ80" s="175" t="e">
        <f>IF(MODE=1, BT80, 'PFM Efficiency'!BP80)</f>
        <v>#NAME?</v>
      </c>
    </row>
    <row r="81" spans="6:78" x14ac:dyDescent="0.2">
      <c r="H81" s="173">
        <v>75</v>
      </c>
      <c r="I81" s="522">
        <f t="shared" si="113"/>
        <v>0.11249999999999999</v>
      </c>
      <c r="J81" s="233" t="e">
        <f t="shared" si="114"/>
        <v>#NAME?</v>
      </c>
      <c r="K81" s="233" t="e">
        <f t="shared" si="115"/>
        <v>#NAME?</v>
      </c>
      <c r="L81" s="233" t="e">
        <f t="shared" si="116"/>
        <v>#NAME?</v>
      </c>
      <c r="M81" s="290" t="e">
        <f t="shared" si="117"/>
        <v>#NAME?</v>
      </c>
      <c r="N81" s="232" t="e">
        <f t="shared" si="158"/>
        <v>#NAME?</v>
      </c>
      <c r="O81" s="208" t="e">
        <f t="shared" si="118"/>
        <v>#NAME?</v>
      </c>
      <c r="P81" s="291" t="e">
        <f t="shared" si="139"/>
        <v>#NAME?</v>
      </c>
      <c r="Q81" s="291" t="e">
        <f t="shared" si="140"/>
        <v>#NAME?</v>
      </c>
      <c r="R81" s="291" t="e">
        <f t="shared" si="141"/>
        <v>#NAME?</v>
      </c>
      <c r="S81" s="232" t="e">
        <f t="shared" si="142"/>
        <v>#NAME?</v>
      </c>
      <c r="T81" s="232" t="e">
        <f t="shared" si="143"/>
        <v>#NAME?</v>
      </c>
      <c r="U81" s="173" t="e">
        <f t="shared" si="144"/>
        <v>#NAME?</v>
      </c>
      <c r="V81" s="232" t="e">
        <f t="shared" si="159"/>
        <v>#NAME?</v>
      </c>
      <c r="W81" s="233" t="e">
        <f t="shared" si="145"/>
        <v>#NAME?</v>
      </c>
      <c r="X81" s="232" t="e">
        <f t="shared" si="146"/>
        <v>#NAME?</v>
      </c>
      <c r="Y81" s="232" t="e">
        <f t="shared" si="160"/>
        <v>#NAME?</v>
      </c>
      <c r="Z81" s="232" t="e">
        <f t="shared" si="147"/>
        <v>#NAME?</v>
      </c>
      <c r="AA81" s="234" t="e">
        <f t="shared" si="148"/>
        <v>#NAME?</v>
      </c>
      <c r="AB81" s="234" t="e">
        <f t="shared" si="161"/>
        <v>#NAME?</v>
      </c>
      <c r="AC81" s="232" t="e">
        <f t="shared" si="149"/>
        <v>#NAME?</v>
      </c>
      <c r="AD81" s="232" t="e">
        <f t="shared" si="150"/>
        <v>#NAME?</v>
      </c>
      <c r="AE81" s="232" t="e">
        <f t="shared" si="151"/>
        <v>#NAME?</v>
      </c>
      <c r="AF81">
        <v>20</v>
      </c>
      <c r="AG81" s="505" t="e">
        <f t="shared" si="119"/>
        <v>#NAME?</v>
      </c>
      <c r="AH81" s="232" t="e">
        <f t="shared" si="120"/>
        <v>#NAME?</v>
      </c>
      <c r="AI81" s="232" t="e">
        <f t="shared" si="121"/>
        <v>#NAME?</v>
      </c>
      <c r="AJ81" s="232" t="e">
        <f t="shared" si="122"/>
        <v>#NAME?</v>
      </c>
      <c r="AK81" s="232" t="e">
        <f t="shared" si="123"/>
        <v>#NAME?</v>
      </c>
      <c r="AL81" s="232" t="e">
        <f t="shared" si="152"/>
        <v>#NAME?</v>
      </c>
      <c r="AM81" s="232" t="e">
        <f t="shared" si="124"/>
        <v>#NAME?</v>
      </c>
      <c r="AN81" s="232" t="e">
        <f t="shared" si="125"/>
        <v>#NAME?</v>
      </c>
      <c r="AO81" s="232" t="e">
        <f t="shared" si="126"/>
        <v>#NAME?</v>
      </c>
      <c r="AP81" s="232" t="e">
        <f t="shared" si="162"/>
        <v>#NAME?</v>
      </c>
      <c r="AQ81" s="232" t="e">
        <f t="shared" si="127"/>
        <v>#NAME?</v>
      </c>
      <c r="AR81" s="232" t="e">
        <f t="shared" si="128"/>
        <v>#NAME?</v>
      </c>
      <c r="AS81" s="232" t="e">
        <f t="shared" si="129"/>
        <v>#NAME?</v>
      </c>
      <c r="AT81" s="232" t="e">
        <f t="shared" si="163"/>
        <v>#NAME?</v>
      </c>
      <c r="AU81" s="232" t="e">
        <f t="shared" si="130"/>
        <v>#NAME?</v>
      </c>
      <c r="AV81" s="232">
        <f t="shared" si="131"/>
        <v>0.5625</v>
      </c>
      <c r="AW81" s="292" t="e">
        <f t="shared" si="171"/>
        <v>#NAME?</v>
      </c>
      <c r="AX81" s="358" t="e">
        <f t="shared" si="132"/>
        <v>#NAME?</v>
      </c>
      <c r="AY81" s="358" t="e">
        <f t="shared" si="164"/>
        <v>#NAME?</v>
      </c>
      <c r="AZ81" s="358" t="e">
        <f t="shared" si="133"/>
        <v>#NAME?</v>
      </c>
      <c r="BA81" s="358" t="e">
        <f t="shared" si="153"/>
        <v>#NAME?</v>
      </c>
      <c r="BB81" s="358" t="e">
        <f t="shared" si="154"/>
        <v>#NAME?</v>
      </c>
      <c r="BC81" s="358" t="e">
        <f t="shared" si="155"/>
        <v>#NAME?</v>
      </c>
      <c r="BD81" s="358" t="e">
        <f t="shared" si="134"/>
        <v>#NAME?</v>
      </c>
      <c r="BE81" s="358" t="e">
        <f t="shared" si="135"/>
        <v>#NAME?</v>
      </c>
      <c r="BF81" s="358" t="e">
        <f t="shared" si="136"/>
        <v>#NAME?</v>
      </c>
      <c r="BG81" s="235" t="e">
        <f t="shared" si="165"/>
        <v>#NAME?</v>
      </c>
      <c r="BH81" s="235" t="e">
        <f t="shared" si="156"/>
        <v>#NAME?</v>
      </c>
      <c r="BI81" s="235" t="e">
        <f t="shared" si="166"/>
        <v>#NAME?</v>
      </c>
      <c r="BJ81" s="175" t="e">
        <f t="shared" si="167"/>
        <v>#NAME?</v>
      </c>
      <c r="BK81" s="233">
        <f>CHOOSE(MODE, I81*1000, 'PFM Efficiency'!BI81)</f>
        <v>112.49999999999999</v>
      </c>
      <c r="BL81" s="175">
        <v>88.380628930000583</v>
      </c>
      <c r="BM81" s="235">
        <f t="shared" si="157"/>
        <v>0.88380628930000582</v>
      </c>
      <c r="BN81" s="293" t="e">
        <f t="shared" si="137"/>
        <v>#NAME?</v>
      </c>
      <c r="BO81" s="294"/>
      <c r="BP81" s="235" t="e">
        <f t="shared" si="168"/>
        <v>#NAME?</v>
      </c>
      <c r="BQ81" s="294"/>
      <c r="BR81" s="175" t="e">
        <f t="shared" si="169"/>
        <v>#NAME?</v>
      </c>
      <c r="BS81" s="175" t="e">
        <f t="shared" si="170"/>
        <v>#NAME?</v>
      </c>
      <c r="BT81" s="175" t="e">
        <f t="shared" si="138"/>
        <v>#NAME?</v>
      </c>
      <c r="BU81" s="235"/>
      <c r="BV81" s="235"/>
      <c r="BW81" s="175" t="e">
        <f>IF(MODE=1, BJ81, 'PFM Efficiency'!BH81)</f>
        <v>#NAME?</v>
      </c>
      <c r="BX81" s="175" t="e">
        <f>IF(MODE=1, BR81, 'PFM Efficiency'!BN81)</f>
        <v>#NAME?</v>
      </c>
      <c r="BY81" s="175" t="e">
        <f>IF(MODE=1, BS81, 'PFM Efficiency'!BO81)</f>
        <v>#NAME?</v>
      </c>
      <c r="BZ81" s="175" t="e">
        <f>IF(MODE=1, BT81, 'PFM Efficiency'!BP81)</f>
        <v>#NAME?</v>
      </c>
    </row>
    <row r="82" spans="6:78" x14ac:dyDescent="0.2">
      <c r="H82" s="173">
        <v>76</v>
      </c>
      <c r="I82" s="522">
        <f t="shared" si="113"/>
        <v>0.11399999999999999</v>
      </c>
      <c r="J82" s="233" t="e">
        <f t="shared" si="114"/>
        <v>#NAME?</v>
      </c>
      <c r="K82" s="233" t="e">
        <f t="shared" si="115"/>
        <v>#NAME?</v>
      </c>
      <c r="L82" s="233" t="e">
        <f t="shared" si="116"/>
        <v>#NAME?</v>
      </c>
      <c r="M82" s="290" t="e">
        <f t="shared" si="117"/>
        <v>#NAME?</v>
      </c>
      <c r="N82" s="232" t="e">
        <f t="shared" si="158"/>
        <v>#NAME?</v>
      </c>
      <c r="O82" s="208" t="e">
        <f t="shared" si="118"/>
        <v>#NAME?</v>
      </c>
      <c r="P82" s="291" t="e">
        <f t="shared" si="139"/>
        <v>#NAME?</v>
      </c>
      <c r="Q82" s="291" t="e">
        <f t="shared" si="140"/>
        <v>#NAME?</v>
      </c>
      <c r="R82" s="291" t="e">
        <f t="shared" si="141"/>
        <v>#NAME?</v>
      </c>
      <c r="S82" s="232" t="e">
        <f t="shared" si="142"/>
        <v>#NAME?</v>
      </c>
      <c r="T82" s="232" t="e">
        <f t="shared" si="143"/>
        <v>#NAME?</v>
      </c>
      <c r="U82" s="173" t="e">
        <f t="shared" si="144"/>
        <v>#NAME?</v>
      </c>
      <c r="V82" s="232" t="e">
        <f t="shared" si="159"/>
        <v>#NAME?</v>
      </c>
      <c r="W82" s="233" t="e">
        <f t="shared" si="145"/>
        <v>#NAME?</v>
      </c>
      <c r="X82" s="232" t="e">
        <f t="shared" si="146"/>
        <v>#NAME?</v>
      </c>
      <c r="Y82" s="232" t="e">
        <f t="shared" si="160"/>
        <v>#NAME?</v>
      </c>
      <c r="Z82" s="232" t="e">
        <f t="shared" si="147"/>
        <v>#NAME?</v>
      </c>
      <c r="AA82" s="234" t="e">
        <f t="shared" si="148"/>
        <v>#NAME?</v>
      </c>
      <c r="AB82" s="234" t="e">
        <f t="shared" si="161"/>
        <v>#NAME?</v>
      </c>
      <c r="AC82" s="232" t="e">
        <f t="shared" si="149"/>
        <v>#NAME?</v>
      </c>
      <c r="AD82" s="232" t="e">
        <f t="shared" si="150"/>
        <v>#NAME?</v>
      </c>
      <c r="AE82" s="232" t="e">
        <f t="shared" si="151"/>
        <v>#NAME?</v>
      </c>
      <c r="AF82">
        <v>20</v>
      </c>
      <c r="AG82" s="505" t="e">
        <f t="shared" si="119"/>
        <v>#NAME?</v>
      </c>
      <c r="AH82" s="232" t="e">
        <f t="shared" si="120"/>
        <v>#NAME?</v>
      </c>
      <c r="AI82" s="232" t="e">
        <f t="shared" si="121"/>
        <v>#NAME?</v>
      </c>
      <c r="AJ82" s="232" t="e">
        <f t="shared" si="122"/>
        <v>#NAME?</v>
      </c>
      <c r="AK82" s="232" t="e">
        <f t="shared" si="123"/>
        <v>#NAME?</v>
      </c>
      <c r="AL82" s="232" t="e">
        <f t="shared" si="152"/>
        <v>#NAME?</v>
      </c>
      <c r="AM82" s="232" t="e">
        <f t="shared" si="124"/>
        <v>#NAME?</v>
      </c>
      <c r="AN82" s="232" t="e">
        <f t="shared" si="125"/>
        <v>#NAME?</v>
      </c>
      <c r="AO82" s="232" t="e">
        <f t="shared" si="126"/>
        <v>#NAME?</v>
      </c>
      <c r="AP82" s="232" t="e">
        <f t="shared" si="162"/>
        <v>#NAME?</v>
      </c>
      <c r="AQ82" s="232" t="e">
        <f t="shared" si="127"/>
        <v>#NAME?</v>
      </c>
      <c r="AR82" s="232" t="e">
        <f t="shared" si="128"/>
        <v>#NAME?</v>
      </c>
      <c r="AS82" s="232" t="e">
        <f t="shared" si="129"/>
        <v>#NAME?</v>
      </c>
      <c r="AT82" s="232" t="e">
        <f t="shared" si="163"/>
        <v>#NAME?</v>
      </c>
      <c r="AU82" s="232" t="e">
        <f t="shared" si="130"/>
        <v>#NAME?</v>
      </c>
      <c r="AV82" s="232">
        <f t="shared" si="131"/>
        <v>0.56999999999999995</v>
      </c>
      <c r="AW82" s="292" t="e">
        <f t="shared" si="171"/>
        <v>#NAME?</v>
      </c>
      <c r="AX82" s="358" t="e">
        <f t="shared" si="132"/>
        <v>#NAME?</v>
      </c>
      <c r="AY82" s="358" t="e">
        <f t="shared" si="164"/>
        <v>#NAME?</v>
      </c>
      <c r="AZ82" s="358" t="e">
        <f t="shared" si="133"/>
        <v>#NAME?</v>
      </c>
      <c r="BA82" s="358" t="e">
        <f t="shared" si="153"/>
        <v>#NAME?</v>
      </c>
      <c r="BB82" s="358" t="e">
        <f t="shared" si="154"/>
        <v>#NAME?</v>
      </c>
      <c r="BC82" s="358" t="e">
        <f t="shared" si="155"/>
        <v>#NAME?</v>
      </c>
      <c r="BD82" s="358" t="e">
        <f t="shared" si="134"/>
        <v>#NAME?</v>
      </c>
      <c r="BE82" s="358" t="e">
        <f t="shared" si="135"/>
        <v>#NAME?</v>
      </c>
      <c r="BF82" s="358" t="e">
        <f t="shared" si="136"/>
        <v>#NAME?</v>
      </c>
      <c r="BG82" s="235" t="e">
        <f t="shared" si="165"/>
        <v>#NAME?</v>
      </c>
      <c r="BH82" s="235" t="e">
        <f t="shared" si="156"/>
        <v>#NAME?</v>
      </c>
      <c r="BI82" s="235" t="e">
        <f t="shared" si="166"/>
        <v>#NAME?</v>
      </c>
      <c r="BJ82" s="175" t="e">
        <f t="shared" si="167"/>
        <v>#NAME?</v>
      </c>
      <c r="BK82" s="233">
        <f>CHOOSE(MODE, I82*1000, 'PFM Efficiency'!BI82)</f>
        <v>113.99999999999999</v>
      </c>
      <c r="BL82" s="175">
        <v>88.405727214510961</v>
      </c>
      <c r="BM82" s="235">
        <f t="shared" si="157"/>
        <v>0.88405727214510965</v>
      </c>
      <c r="BN82" s="293" t="e">
        <f t="shared" si="137"/>
        <v>#NAME?</v>
      </c>
      <c r="BO82" s="294"/>
      <c r="BP82" s="235" t="e">
        <f t="shared" si="168"/>
        <v>#NAME?</v>
      </c>
      <c r="BQ82" s="294"/>
      <c r="BR82" s="175" t="e">
        <f t="shared" si="169"/>
        <v>#NAME?</v>
      </c>
      <c r="BS82" s="175" t="e">
        <f t="shared" si="170"/>
        <v>#NAME?</v>
      </c>
      <c r="BT82" s="175" t="e">
        <f t="shared" si="138"/>
        <v>#NAME?</v>
      </c>
      <c r="BU82" s="235"/>
      <c r="BV82" s="235"/>
      <c r="BW82" s="175" t="e">
        <f>IF(MODE=1, BJ82, 'PFM Efficiency'!BH82)</f>
        <v>#NAME?</v>
      </c>
      <c r="BX82" s="175" t="e">
        <f>IF(MODE=1, BR82, 'PFM Efficiency'!BN82)</f>
        <v>#NAME?</v>
      </c>
      <c r="BY82" s="175" t="e">
        <f>IF(MODE=1, BS82, 'PFM Efficiency'!BO82)</f>
        <v>#NAME?</v>
      </c>
      <c r="BZ82" s="175" t="e">
        <f>IF(MODE=1, BT82, 'PFM Efficiency'!BP82)</f>
        <v>#NAME?</v>
      </c>
    </row>
    <row r="83" spans="6:78" x14ac:dyDescent="0.2">
      <c r="H83" s="173">
        <v>77</v>
      </c>
      <c r="I83" s="522">
        <f t="shared" si="113"/>
        <v>0.11549999999999999</v>
      </c>
      <c r="J83" s="233" t="e">
        <f t="shared" si="114"/>
        <v>#NAME?</v>
      </c>
      <c r="K83" s="233" t="e">
        <f t="shared" si="115"/>
        <v>#NAME?</v>
      </c>
      <c r="L83" s="233" t="e">
        <f t="shared" si="116"/>
        <v>#NAME?</v>
      </c>
      <c r="M83" s="290" t="e">
        <f t="shared" si="117"/>
        <v>#NAME?</v>
      </c>
      <c r="N83" s="232" t="e">
        <f t="shared" si="158"/>
        <v>#NAME?</v>
      </c>
      <c r="O83" s="208" t="e">
        <f t="shared" si="118"/>
        <v>#NAME?</v>
      </c>
      <c r="P83" s="291" t="e">
        <f t="shared" si="139"/>
        <v>#NAME?</v>
      </c>
      <c r="Q83" s="291" t="e">
        <f t="shared" si="140"/>
        <v>#NAME?</v>
      </c>
      <c r="R83" s="291" t="e">
        <f t="shared" si="141"/>
        <v>#NAME?</v>
      </c>
      <c r="S83" s="232" t="e">
        <f t="shared" si="142"/>
        <v>#NAME?</v>
      </c>
      <c r="T83" s="232" t="e">
        <f t="shared" si="143"/>
        <v>#NAME?</v>
      </c>
      <c r="U83" s="173" t="e">
        <f t="shared" si="144"/>
        <v>#NAME?</v>
      </c>
      <c r="V83" s="232" t="e">
        <f t="shared" si="159"/>
        <v>#NAME?</v>
      </c>
      <c r="W83" s="233" t="e">
        <f t="shared" si="145"/>
        <v>#NAME?</v>
      </c>
      <c r="X83" s="232" t="e">
        <f t="shared" si="146"/>
        <v>#NAME?</v>
      </c>
      <c r="Y83" s="232" t="e">
        <f t="shared" si="160"/>
        <v>#NAME?</v>
      </c>
      <c r="Z83" s="232" t="e">
        <f t="shared" si="147"/>
        <v>#NAME?</v>
      </c>
      <c r="AA83" s="234" t="e">
        <f t="shared" si="148"/>
        <v>#NAME?</v>
      </c>
      <c r="AB83" s="234" t="e">
        <f t="shared" si="161"/>
        <v>#NAME?</v>
      </c>
      <c r="AC83" s="232" t="e">
        <f t="shared" si="149"/>
        <v>#NAME?</v>
      </c>
      <c r="AD83" s="232" t="e">
        <f t="shared" si="150"/>
        <v>#NAME?</v>
      </c>
      <c r="AE83" s="232" t="e">
        <f t="shared" si="151"/>
        <v>#NAME?</v>
      </c>
      <c r="AF83">
        <v>20</v>
      </c>
      <c r="AG83" s="505" t="e">
        <f t="shared" si="119"/>
        <v>#NAME?</v>
      </c>
      <c r="AH83" s="232" t="e">
        <f t="shared" si="120"/>
        <v>#NAME?</v>
      </c>
      <c r="AI83" s="232" t="e">
        <f t="shared" si="121"/>
        <v>#NAME?</v>
      </c>
      <c r="AJ83" s="232" t="e">
        <f t="shared" si="122"/>
        <v>#NAME?</v>
      </c>
      <c r="AK83" s="232" t="e">
        <f t="shared" si="123"/>
        <v>#NAME?</v>
      </c>
      <c r="AL83" s="232" t="e">
        <f t="shared" si="152"/>
        <v>#NAME?</v>
      </c>
      <c r="AM83" s="232" t="e">
        <f t="shared" si="124"/>
        <v>#NAME?</v>
      </c>
      <c r="AN83" s="232" t="e">
        <f t="shared" si="125"/>
        <v>#NAME?</v>
      </c>
      <c r="AO83" s="232" t="e">
        <f t="shared" si="126"/>
        <v>#NAME?</v>
      </c>
      <c r="AP83" s="232" t="e">
        <f t="shared" si="162"/>
        <v>#NAME?</v>
      </c>
      <c r="AQ83" s="232" t="e">
        <f t="shared" si="127"/>
        <v>#NAME?</v>
      </c>
      <c r="AR83" s="232" t="e">
        <f t="shared" si="128"/>
        <v>#NAME?</v>
      </c>
      <c r="AS83" s="232" t="e">
        <f t="shared" si="129"/>
        <v>#NAME?</v>
      </c>
      <c r="AT83" s="232" t="e">
        <f t="shared" si="163"/>
        <v>#NAME?</v>
      </c>
      <c r="AU83" s="232" t="e">
        <f t="shared" si="130"/>
        <v>#NAME?</v>
      </c>
      <c r="AV83" s="232">
        <f t="shared" si="131"/>
        <v>0.5774999999999999</v>
      </c>
      <c r="AW83" s="292" t="e">
        <f t="shared" si="171"/>
        <v>#NAME?</v>
      </c>
      <c r="AX83" s="358" t="e">
        <f t="shared" si="132"/>
        <v>#NAME?</v>
      </c>
      <c r="AY83" s="358" t="e">
        <f t="shared" si="164"/>
        <v>#NAME?</v>
      </c>
      <c r="AZ83" s="358" t="e">
        <f t="shared" si="133"/>
        <v>#NAME?</v>
      </c>
      <c r="BA83" s="358" t="e">
        <f t="shared" si="153"/>
        <v>#NAME?</v>
      </c>
      <c r="BB83" s="358" t="e">
        <f t="shared" si="154"/>
        <v>#NAME?</v>
      </c>
      <c r="BC83" s="358" t="e">
        <f t="shared" si="155"/>
        <v>#NAME?</v>
      </c>
      <c r="BD83" s="358" t="e">
        <f t="shared" si="134"/>
        <v>#NAME?</v>
      </c>
      <c r="BE83" s="358" t="e">
        <f t="shared" si="135"/>
        <v>#NAME?</v>
      </c>
      <c r="BF83" s="358" t="e">
        <f t="shared" si="136"/>
        <v>#NAME?</v>
      </c>
      <c r="BG83" s="235" t="e">
        <f t="shared" si="165"/>
        <v>#NAME?</v>
      </c>
      <c r="BH83" s="235" t="e">
        <f t="shared" si="156"/>
        <v>#NAME?</v>
      </c>
      <c r="BI83" s="235" t="e">
        <f t="shared" si="166"/>
        <v>#NAME?</v>
      </c>
      <c r="BJ83" s="175" t="e">
        <f t="shared" si="167"/>
        <v>#NAME?</v>
      </c>
      <c r="BK83" s="233">
        <f>CHOOSE(MODE, I83*1000, 'PFM Efficiency'!BI83)</f>
        <v>115.49999999999999</v>
      </c>
      <c r="BL83" s="175">
        <v>88.429513312295569</v>
      </c>
      <c r="BM83" s="235">
        <f t="shared" si="157"/>
        <v>0.88429513312295571</v>
      </c>
      <c r="BN83" s="293" t="e">
        <f t="shared" si="137"/>
        <v>#NAME?</v>
      </c>
      <c r="BO83" s="294"/>
      <c r="BP83" s="235" t="e">
        <f t="shared" si="168"/>
        <v>#NAME?</v>
      </c>
      <c r="BQ83" s="294"/>
      <c r="BR83" s="175" t="e">
        <f t="shared" si="169"/>
        <v>#NAME?</v>
      </c>
      <c r="BS83" s="175" t="e">
        <f t="shared" si="170"/>
        <v>#NAME?</v>
      </c>
      <c r="BT83" s="175" t="e">
        <f t="shared" si="138"/>
        <v>#NAME?</v>
      </c>
      <c r="BU83" s="235"/>
      <c r="BV83" s="235"/>
      <c r="BW83" s="175" t="e">
        <f>IF(MODE=1, BJ83, 'PFM Efficiency'!BH83)</f>
        <v>#NAME?</v>
      </c>
      <c r="BX83" s="175" t="e">
        <f>IF(MODE=1, BR83, 'PFM Efficiency'!BN83)</f>
        <v>#NAME?</v>
      </c>
      <c r="BY83" s="175" t="e">
        <f>IF(MODE=1, BS83, 'PFM Efficiency'!BO83)</f>
        <v>#NAME?</v>
      </c>
      <c r="BZ83" s="175" t="e">
        <f>IF(MODE=1, BT83, 'PFM Efficiency'!BP83)</f>
        <v>#NAME?</v>
      </c>
    </row>
    <row r="84" spans="6:78" x14ac:dyDescent="0.2">
      <c r="H84" s="173">
        <v>78</v>
      </c>
      <c r="I84" s="522">
        <f t="shared" si="113"/>
        <v>0.11699999999999999</v>
      </c>
      <c r="J84" s="233" t="e">
        <f t="shared" si="114"/>
        <v>#NAME?</v>
      </c>
      <c r="K84" s="233" t="e">
        <f t="shared" si="115"/>
        <v>#NAME?</v>
      </c>
      <c r="L84" s="233" t="e">
        <f t="shared" si="116"/>
        <v>#NAME?</v>
      </c>
      <c r="M84" s="290" t="e">
        <f t="shared" si="117"/>
        <v>#NAME?</v>
      </c>
      <c r="N84" s="232" t="e">
        <f t="shared" si="158"/>
        <v>#NAME?</v>
      </c>
      <c r="O84" s="208" t="e">
        <f t="shared" si="118"/>
        <v>#NAME?</v>
      </c>
      <c r="P84" s="291" t="e">
        <f t="shared" si="139"/>
        <v>#NAME?</v>
      </c>
      <c r="Q84" s="291" t="e">
        <f t="shared" si="140"/>
        <v>#NAME?</v>
      </c>
      <c r="R84" s="291" t="e">
        <f t="shared" si="141"/>
        <v>#NAME?</v>
      </c>
      <c r="S84" s="232" t="e">
        <f t="shared" si="142"/>
        <v>#NAME?</v>
      </c>
      <c r="T84" s="232" t="e">
        <f t="shared" si="143"/>
        <v>#NAME?</v>
      </c>
      <c r="U84" s="173" t="e">
        <f t="shared" si="144"/>
        <v>#NAME?</v>
      </c>
      <c r="V84" s="232" t="e">
        <f t="shared" si="159"/>
        <v>#NAME?</v>
      </c>
      <c r="W84" s="233" t="e">
        <f t="shared" si="145"/>
        <v>#NAME?</v>
      </c>
      <c r="X84" s="232" t="e">
        <f t="shared" si="146"/>
        <v>#NAME?</v>
      </c>
      <c r="Y84" s="232" t="e">
        <f t="shared" si="160"/>
        <v>#NAME?</v>
      </c>
      <c r="Z84" s="232" t="e">
        <f t="shared" si="147"/>
        <v>#NAME?</v>
      </c>
      <c r="AA84" s="234" t="e">
        <f t="shared" si="148"/>
        <v>#NAME?</v>
      </c>
      <c r="AB84" s="234" t="e">
        <f t="shared" si="161"/>
        <v>#NAME?</v>
      </c>
      <c r="AC84" s="232" t="e">
        <f t="shared" si="149"/>
        <v>#NAME?</v>
      </c>
      <c r="AD84" s="232" t="e">
        <f t="shared" si="150"/>
        <v>#NAME?</v>
      </c>
      <c r="AE84" s="232" t="e">
        <f t="shared" si="151"/>
        <v>#NAME?</v>
      </c>
      <c r="AF84">
        <v>20</v>
      </c>
      <c r="AG84" s="505" t="e">
        <f t="shared" si="119"/>
        <v>#NAME?</v>
      </c>
      <c r="AH84" s="232" t="e">
        <f t="shared" si="120"/>
        <v>#NAME?</v>
      </c>
      <c r="AI84" s="232" t="e">
        <f t="shared" si="121"/>
        <v>#NAME?</v>
      </c>
      <c r="AJ84" s="232" t="e">
        <f t="shared" si="122"/>
        <v>#NAME?</v>
      </c>
      <c r="AK84" s="232" t="e">
        <f t="shared" si="123"/>
        <v>#NAME?</v>
      </c>
      <c r="AL84" s="232" t="e">
        <f t="shared" si="152"/>
        <v>#NAME?</v>
      </c>
      <c r="AM84" s="232" t="e">
        <f t="shared" si="124"/>
        <v>#NAME?</v>
      </c>
      <c r="AN84" s="232" t="e">
        <f t="shared" si="125"/>
        <v>#NAME?</v>
      </c>
      <c r="AO84" s="232" t="e">
        <f t="shared" si="126"/>
        <v>#NAME?</v>
      </c>
      <c r="AP84" s="232" t="e">
        <f t="shared" si="162"/>
        <v>#NAME?</v>
      </c>
      <c r="AQ84" s="232" t="e">
        <f t="shared" si="127"/>
        <v>#NAME?</v>
      </c>
      <c r="AR84" s="232" t="e">
        <f t="shared" si="128"/>
        <v>#NAME?</v>
      </c>
      <c r="AS84" s="232" t="e">
        <f t="shared" si="129"/>
        <v>#NAME?</v>
      </c>
      <c r="AT84" s="232" t="e">
        <f t="shared" si="163"/>
        <v>#NAME?</v>
      </c>
      <c r="AU84" s="232" t="e">
        <f t="shared" si="130"/>
        <v>#NAME?</v>
      </c>
      <c r="AV84" s="232">
        <f t="shared" si="131"/>
        <v>0.58499999999999996</v>
      </c>
      <c r="AW84" s="292" t="e">
        <f t="shared" si="171"/>
        <v>#NAME?</v>
      </c>
      <c r="AX84" s="358" t="e">
        <f t="shared" si="132"/>
        <v>#NAME?</v>
      </c>
      <c r="AY84" s="358" t="e">
        <f t="shared" si="164"/>
        <v>#NAME?</v>
      </c>
      <c r="AZ84" s="358" t="e">
        <f t="shared" si="133"/>
        <v>#NAME?</v>
      </c>
      <c r="BA84" s="358" t="e">
        <f t="shared" si="153"/>
        <v>#NAME?</v>
      </c>
      <c r="BB84" s="358" t="e">
        <f t="shared" si="154"/>
        <v>#NAME?</v>
      </c>
      <c r="BC84" s="358" t="e">
        <f t="shared" si="155"/>
        <v>#NAME?</v>
      </c>
      <c r="BD84" s="358" t="e">
        <f t="shared" si="134"/>
        <v>#NAME?</v>
      </c>
      <c r="BE84" s="358" t="e">
        <f t="shared" si="135"/>
        <v>#NAME?</v>
      </c>
      <c r="BF84" s="358" t="e">
        <f t="shared" si="136"/>
        <v>#NAME?</v>
      </c>
      <c r="BG84" s="235" t="e">
        <f t="shared" si="165"/>
        <v>#NAME?</v>
      </c>
      <c r="BH84" s="235" t="e">
        <f t="shared" si="156"/>
        <v>#NAME?</v>
      </c>
      <c r="BI84" s="235" t="e">
        <f t="shared" si="166"/>
        <v>#NAME?</v>
      </c>
      <c r="BJ84" s="175" t="e">
        <f t="shared" si="167"/>
        <v>#NAME?</v>
      </c>
      <c r="BK84" s="233">
        <f>CHOOSE(MODE, I84*1000, 'PFM Efficiency'!BI84)</f>
        <v>117</v>
      </c>
      <c r="BL84" s="175">
        <v>88.452033103389056</v>
      </c>
      <c r="BM84" s="235">
        <f t="shared" si="157"/>
        <v>0.88452033103389061</v>
      </c>
      <c r="BN84" s="293" t="e">
        <f t="shared" si="137"/>
        <v>#NAME?</v>
      </c>
      <c r="BO84" s="294"/>
      <c r="BP84" s="235" t="e">
        <f t="shared" si="168"/>
        <v>#NAME?</v>
      </c>
      <c r="BQ84" s="294"/>
      <c r="BR84" s="175" t="e">
        <f t="shared" si="169"/>
        <v>#NAME?</v>
      </c>
      <c r="BS84" s="175" t="e">
        <f t="shared" si="170"/>
        <v>#NAME?</v>
      </c>
      <c r="BT84" s="175" t="e">
        <f t="shared" si="138"/>
        <v>#NAME?</v>
      </c>
      <c r="BU84" s="235"/>
      <c r="BV84" s="235"/>
      <c r="BW84" s="175" t="e">
        <f>IF(MODE=1, BJ84, 'PFM Efficiency'!BH84)</f>
        <v>#NAME?</v>
      </c>
      <c r="BX84" s="175" t="e">
        <f>IF(MODE=1, BR84, 'PFM Efficiency'!BN84)</f>
        <v>#NAME?</v>
      </c>
      <c r="BY84" s="175" t="e">
        <f>IF(MODE=1, BS84, 'PFM Efficiency'!BO84)</f>
        <v>#NAME?</v>
      </c>
      <c r="BZ84" s="175" t="e">
        <f>IF(MODE=1, BT84, 'PFM Efficiency'!BP84)</f>
        <v>#NAME?</v>
      </c>
    </row>
    <row r="85" spans="6:78" x14ac:dyDescent="0.2">
      <c r="H85" s="173">
        <v>79</v>
      </c>
      <c r="I85" s="522">
        <f t="shared" si="113"/>
        <v>0.11849999999999999</v>
      </c>
      <c r="J85" s="233" t="e">
        <f t="shared" si="114"/>
        <v>#NAME?</v>
      </c>
      <c r="K85" s="233" t="e">
        <f t="shared" si="115"/>
        <v>#NAME?</v>
      </c>
      <c r="L85" s="233" t="e">
        <f t="shared" si="116"/>
        <v>#NAME?</v>
      </c>
      <c r="M85" s="290" t="e">
        <f t="shared" si="117"/>
        <v>#NAME?</v>
      </c>
      <c r="N85" s="232" t="e">
        <f t="shared" si="158"/>
        <v>#NAME?</v>
      </c>
      <c r="O85" s="208" t="e">
        <f t="shared" si="118"/>
        <v>#NAME?</v>
      </c>
      <c r="P85" s="291" t="e">
        <f t="shared" si="139"/>
        <v>#NAME?</v>
      </c>
      <c r="Q85" s="291" t="e">
        <f t="shared" si="140"/>
        <v>#NAME?</v>
      </c>
      <c r="R85" s="291" t="e">
        <f t="shared" si="141"/>
        <v>#NAME?</v>
      </c>
      <c r="S85" s="232" t="e">
        <f t="shared" si="142"/>
        <v>#NAME?</v>
      </c>
      <c r="T85" s="232" t="e">
        <f t="shared" si="143"/>
        <v>#NAME?</v>
      </c>
      <c r="U85" s="173" t="e">
        <f t="shared" si="144"/>
        <v>#NAME?</v>
      </c>
      <c r="V85" s="232" t="e">
        <f t="shared" si="159"/>
        <v>#NAME?</v>
      </c>
      <c r="W85" s="233" t="e">
        <f t="shared" si="145"/>
        <v>#NAME?</v>
      </c>
      <c r="X85" s="232" t="e">
        <f t="shared" si="146"/>
        <v>#NAME?</v>
      </c>
      <c r="Y85" s="232" t="e">
        <f t="shared" si="160"/>
        <v>#NAME?</v>
      </c>
      <c r="Z85" s="232" t="e">
        <f t="shared" si="147"/>
        <v>#NAME?</v>
      </c>
      <c r="AA85" s="234" t="e">
        <f t="shared" si="148"/>
        <v>#NAME?</v>
      </c>
      <c r="AB85" s="234" t="e">
        <f t="shared" si="161"/>
        <v>#NAME?</v>
      </c>
      <c r="AC85" s="232" t="e">
        <f t="shared" si="149"/>
        <v>#NAME?</v>
      </c>
      <c r="AD85" s="232" t="e">
        <f t="shared" si="150"/>
        <v>#NAME?</v>
      </c>
      <c r="AE85" s="232" t="e">
        <f t="shared" si="151"/>
        <v>#NAME?</v>
      </c>
      <c r="AF85">
        <v>20</v>
      </c>
      <c r="AG85" s="505" t="e">
        <f t="shared" si="119"/>
        <v>#NAME?</v>
      </c>
      <c r="AH85" s="232" t="e">
        <f t="shared" si="120"/>
        <v>#NAME?</v>
      </c>
      <c r="AI85" s="232" t="e">
        <f t="shared" si="121"/>
        <v>#NAME?</v>
      </c>
      <c r="AJ85" s="232" t="e">
        <f t="shared" si="122"/>
        <v>#NAME?</v>
      </c>
      <c r="AK85" s="232" t="e">
        <f t="shared" si="123"/>
        <v>#NAME?</v>
      </c>
      <c r="AL85" s="232" t="e">
        <f t="shared" si="152"/>
        <v>#NAME?</v>
      </c>
      <c r="AM85" s="232" t="e">
        <f t="shared" si="124"/>
        <v>#NAME?</v>
      </c>
      <c r="AN85" s="232" t="e">
        <f t="shared" si="125"/>
        <v>#NAME?</v>
      </c>
      <c r="AO85" s="232" t="e">
        <f t="shared" si="126"/>
        <v>#NAME?</v>
      </c>
      <c r="AP85" s="232" t="e">
        <f t="shared" si="162"/>
        <v>#NAME?</v>
      </c>
      <c r="AQ85" s="232" t="e">
        <f t="shared" si="127"/>
        <v>#NAME?</v>
      </c>
      <c r="AR85" s="232" t="e">
        <f t="shared" si="128"/>
        <v>#NAME?</v>
      </c>
      <c r="AS85" s="232" t="e">
        <f t="shared" si="129"/>
        <v>#NAME?</v>
      </c>
      <c r="AT85" s="232" t="e">
        <f t="shared" si="163"/>
        <v>#NAME?</v>
      </c>
      <c r="AU85" s="232" t="e">
        <f t="shared" si="130"/>
        <v>#NAME?</v>
      </c>
      <c r="AV85" s="232">
        <f t="shared" si="131"/>
        <v>0.59250000000000003</v>
      </c>
      <c r="AW85" s="292" t="e">
        <f t="shared" si="171"/>
        <v>#NAME?</v>
      </c>
      <c r="AX85" s="358" t="e">
        <f t="shared" si="132"/>
        <v>#NAME?</v>
      </c>
      <c r="AY85" s="358" t="e">
        <f t="shared" si="164"/>
        <v>#NAME?</v>
      </c>
      <c r="AZ85" s="358" t="e">
        <f t="shared" si="133"/>
        <v>#NAME?</v>
      </c>
      <c r="BA85" s="358" t="e">
        <f t="shared" si="153"/>
        <v>#NAME?</v>
      </c>
      <c r="BB85" s="358" t="e">
        <f t="shared" si="154"/>
        <v>#NAME?</v>
      </c>
      <c r="BC85" s="358" t="e">
        <f t="shared" si="155"/>
        <v>#NAME?</v>
      </c>
      <c r="BD85" s="358" t="e">
        <f t="shared" si="134"/>
        <v>#NAME?</v>
      </c>
      <c r="BE85" s="358" t="e">
        <f t="shared" si="135"/>
        <v>#NAME?</v>
      </c>
      <c r="BF85" s="358" t="e">
        <f t="shared" si="136"/>
        <v>#NAME?</v>
      </c>
      <c r="BG85" s="235" t="e">
        <f t="shared" si="165"/>
        <v>#NAME?</v>
      </c>
      <c r="BH85" s="235" t="e">
        <f t="shared" si="156"/>
        <v>#NAME?</v>
      </c>
      <c r="BI85" s="235" t="e">
        <f t="shared" si="166"/>
        <v>#NAME?</v>
      </c>
      <c r="BJ85" s="175" t="e">
        <f t="shared" si="167"/>
        <v>#NAME?</v>
      </c>
      <c r="BK85" s="233">
        <f>CHOOSE(MODE, I85*1000, 'PFM Efficiency'!BI85)</f>
        <v>118.5</v>
      </c>
      <c r="BL85" s="175">
        <v>88.47333031726599</v>
      </c>
      <c r="BM85" s="235">
        <f t="shared" si="157"/>
        <v>0.88473330317265986</v>
      </c>
      <c r="BN85" s="293" t="e">
        <f t="shared" si="137"/>
        <v>#NAME?</v>
      </c>
      <c r="BO85" s="294"/>
      <c r="BP85" s="235" t="e">
        <f t="shared" si="168"/>
        <v>#NAME?</v>
      </c>
      <c r="BQ85" s="294"/>
      <c r="BR85" s="175" t="e">
        <f t="shared" si="169"/>
        <v>#NAME?</v>
      </c>
      <c r="BS85" s="175" t="e">
        <f t="shared" si="170"/>
        <v>#NAME?</v>
      </c>
      <c r="BT85" s="175" t="e">
        <f t="shared" si="138"/>
        <v>#NAME?</v>
      </c>
      <c r="BU85" s="235"/>
      <c r="BV85" s="235"/>
      <c r="BW85" s="175" t="e">
        <f>IF(MODE=1, BJ85, 'PFM Efficiency'!BH85)</f>
        <v>#NAME?</v>
      </c>
      <c r="BX85" s="175" t="e">
        <f>IF(MODE=1, BR85, 'PFM Efficiency'!BN85)</f>
        <v>#NAME?</v>
      </c>
      <c r="BY85" s="175" t="e">
        <f>IF(MODE=1, BS85, 'PFM Efficiency'!BO85)</f>
        <v>#NAME?</v>
      </c>
      <c r="BZ85" s="175" t="e">
        <f>IF(MODE=1, BT85, 'PFM Efficiency'!BP85)</f>
        <v>#NAME?</v>
      </c>
    </row>
    <row r="86" spans="6:78" x14ac:dyDescent="0.2">
      <c r="H86" s="173">
        <v>80</v>
      </c>
      <c r="I86" s="522">
        <f t="shared" si="113"/>
        <v>0.12</v>
      </c>
      <c r="J86" s="233" t="e">
        <f t="shared" si="114"/>
        <v>#NAME?</v>
      </c>
      <c r="K86" s="233" t="e">
        <f t="shared" si="115"/>
        <v>#NAME?</v>
      </c>
      <c r="L86" s="233" t="e">
        <f t="shared" si="116"/>
        <v>#NAME?</v>
      </c>
      <c r="M86" s="290" t="e">
        <f t="shared" si="117"/>
        <v>#NAME?</v>
      </c>
      <c r="N86" s="232" t="e">
        <f t="shared" si="158"/>
        <v>#NAME?</v>
      </c>
      <c r="O86" s="208" t="e">
        <f t="shared" si="118"/>
        <v>#NAME?</v>
      </c>
      <c r="P86" s="291" t="e">
        <f t="shared" si="139"/>
        <v>#NAME?</v>
      </c>
      <c r="Q86" s="291" t="e">
        <f t="shared" si="140"/>
        <v>#NAME?</v>
      </c>
      <c r="R86" s="291" t="e">
        <f t="shared" si="141"/>
        <v>#NAME?</v>
      </c>
      <c r="S86" s="232" t="e">
        <f t="shared" si="142"/>
        <v>#NAME?</v>
      </c>
      <c r="T86" s="232" t="e">
        <f t="shared" si="143"/>
        <v>#NAME?</v>
      </c>
      <c r="U86" s="173" t="e">
        <f t="shared" si="144"/>
        <v>#NAME?</v>
      </c>
      <c r="V86" s="232" t="e">
        <f t="shared" si="159"/>
        <v>#NAME?</v>
      </c>
      <c r="W86" s="233" t="e">
        <f t="shared" si="145"/>
        <v>#NAME?</v>
      </c>
      <c r="X86" s="232" t="e">
        <f t="shared" si="146"/>
        <v>#NAME?</v>
      </c>
      <c r="Y86" s="232" t="e">
        <f t="shared" si="160"/>
        <v>#NAME?</v>
      </c>
      <c r="Z86" s="232" t="e">
        <f t="shared" si="147"/>
        <v>#NAME?</v>
      </c>
      <c r="AA86" s="234" t="e">
        <f t="shared" si="148"/>
        <v>#NAME?</v>
      </c>
      <c r="AB86" s="234" t="e">
        <f t="shared" si="161"/>
        <v>#NAME?</v>
      </c>
      <c r="AC86" s="232" t="e">
        <f t="shared" si="149"/>
        <v>#NAME?</v>
      </c>
      <c r="AD86" s="232" t="e">
        <f t="shared" si="150"/>
        <v>#NAME?</v>
      </c>
      <c r="AE86" s="232" t="e">
        <f t="shared" si="151"/>
        <v>#NAME?</v>
      </c>
      <c r="AF86">
        <v>20</v>
      </c>
      <c r="AG86" s="505" t="e">
        <f t="shared" si="119"/>
        <v>#NAME?</v>
      </c>
      <c r="AH86" s="232" t="e">
        <f t="shared" si="120"/>
        <v>#NAME?</v>
      </c>
      <c r="AI86" s="232" t="e">
        <f t="shared" si="121"/>
        <v>#NAME?</v>
      </c>
      <c r="AJ86" s="232" t="e">
        <f t="shared" si="122"/>
        <v>#NAME?</v>
      </c>
      <c r="AK86" s="232" t="e">
        <f t="shared" si="123"/>
        <v>#NAME?</v>
      </c>
      <c r="AL86" s="232" t="e">
        <f t="shared" si="152"/>
        <v>#NAME?</v>
      </c>
      <c r="AM86" s="232" t="e">
        <f t="shared" si="124"/>
        <v>#NAME?</v>
      </c>
      <c r="AN86" s="232" t="e">
        <f t="shared" si="125"/>
        <v>#NAME?</v>
      </c>
      <c r="AO86" s="232" t="e">
        <f t="shared" si="126"/>
        <v>#NAME?</v>
      </c>
      <c r="AP86" s="232" t="e">
        <f t="shared" si="162"/>
        <v>#NAME?</v>
      </c>
      <c r="AQ86" s="232" t="e">
        <f t="shared" si="127"/>
        <v>#NAME?</v>
      </c>
      <c r="AR86" s="232" t="e">
        <f t="shared" si="128"/>
        <v>#NAME?</v>
      </c>
      <c r="AS86" s="232" t="e">
        <f t="shared" si="129"/>
        <v>#NAME?</v>
      </c>
      <c r="AT86" s="232" t="e">
        <f t="shared" si="163"/>
        <v>#NAME?</v>
      </c>
      <c r="AU86" s="232" t="e">
        <f t="shared" si="130"/>
        <v>#NAME?</v>
      </c>
      <c r="AV86" s="232">
        <f t="shared" si="131"/>
        <v>0.6</v>
      </c>
      <c r="AW86" s="292" t="e">
        <f t="shared" si="171"/>
        <v>#NAME?</v>
      </c>
      <c r="AX86" s="358" t="e">
        <f t="shared" si="132"/>
        <v>#NAME?</v>
      </c>
      <c r="AY86" s="358" t="e">
        <f t="shared" si="164"/>
        <v>#NAME?</v>
      </c>
      <c r="AZ86" s="358" t="e">
        <f t="shared" si="133"/>
        <v>#NAME?</v>
      </c>
      <c r="BA86" s="358" t="e">
        <f t="shared" si="153"/>
        <v>#NAME?</v>
      </c>
      <c r="BB86" s="358" t="e">
        <f t="shared" si="154"/>
        <v>#NAME?</v>
      </c>
      <c r="BC86" s="358" t="e">
        <f t="shared" si="155"/>
        <v>#NAME?</v>
      </c>
      <c r="BD86" s="358" t="e">
        <f t="shared" si="134"/>
        <v>#NAME?</v>
      </c>
      <c r="BE86" s="358" t="e">
        <f t="shared" si="135"/>
        <v>#NAME?</v>
      </c>
      <c r="BF86" s="358" t="e">
        <f t="shared" si="136"/>
        <v>#NAME?</v>
      </c>
      <c r="BG86" s="235" t="e">
        <f t="shared" si="165"/>
        <v>#NAME?</v>
      </c>
      <c r="BH86" s="235" t="e">
        <f t="shared" si="156"/>
        <v>#NAME?</v>
      </c>
      <c r="BI86" s="235" t="e">
        <f t="shared" si="166"/>
        <v>#NAME?</v>
      </c>
      <c r="BJ86" s="175" t="e">
        <f t="shared" si="167"/>
        <v>#NAME?</v>
      </c>
      <c r="BK86" s="233">
        <f>CHOOSE(MODE, I86*1000, 'PFM Efficiency'!BI86)</f>
        <v>120</v>
      </c>
      <c r="BL86" s="175">
        <v>88.493446659333912</v>
      </c>
      <c r="BM86" s="235">
        <f t="shared" si="157"/>
        <v>0.88493446659333908</v>
      </c>
      <c r="BN86" s="293" t="e">
        <f t="shared" si="137"/>
        <v>#NAME?</v>
      </c>
      <c r="BO86" s="294"/>
      <c r="BP86" s="235" t="e">
        <f t="shared" si="168"/>
        <v>#NAME?</v>
      </c>
      <c r="BQ86" s="294"/>
      <c r="BR86" s="175" t="e">
        <f t="shared" si="169"/>
        <v>#NAME?</v>
      </c>
      <c r="BS86" s="175" t="e">
        <f t="shared" si="170"/>
        <v>#NAME?</v>
      </c>
      <c r="BT86" s="175" t="e">
        <f t="shared" si="138"/>
        <v>#NAME?</v>
      </c>
      <c r="BU86" s="235"/>
      <c r="BV86" s="235"/>
      <c r="BW86" s="175" t="e">
        <f>IF(MODE=1, BJ86, 'PFM Efficiency'!BH86)</f>
        <v>#NAME?</v>
      </c>
      <c r="BX86" s="175" t="e">
        <f>IF(MODE=1, BR86, 'PFM Efficiency'!BN86)</f>
        <v>#NAME?</v>
      </c>
      <c r="BY86" s="175" t="e">
        <f>IF(MODE=1, BS86, 'PFM Efficiency'!BO86)</f>
        <v>#NAME?</v>
      </c>
      <c r="BZ86" s="175" t="e">
        <f>IF(MODE=1, BT86, 'PFM Efficiency'!BP86)</f>
        <v>#NAME?</v>
      </c>
    </row>
    <row r="87" spans="6:78" x14ac:dyDescent="0.2">
      <c r="H87" s="173">
        <v>81</v>
      </c>
      <c r="I87" s="522">
        <f t="shared" si="113"/>
        <v>0.1215</v>
      </c>
      <c r="J87" s="233" t="e">
        <f t="shared" si="114"/>
        <v>#NAME?</v>
      </c>
      <c r="K87" s="233" t="e">
        <f t="shared" si="115"/>
        <v>#NAME?</v>
      </c>
      <c r="L87" s="233" t="e">
        <f t="shared" si="116"/>
        <v>#NAME?</v>
      </c>
      <c r="M87" s="290" t="e">
        <f t="shared" si="117"/>
        <v>#NAME?</v>
      </c>
      <c r="N87" s="232" t="e">
        <f t="shared" si="158"/>
        <v>#NAME?</v>
      </c>
      <c r="O87" s="208" t="e">
        <f t="shared" si="118"/>
        <v>#NAME?</v>
      </c>
      <c r="P87" s="291" t="e">
        <f t="shared" si="139"/>
        <v>#NAME?</v>
      </c>
      <c r="Q87" s="291" t="e">
        <f t="shared" si="140"/>
        <v>#NAME?</v>
      </c>
      <c r="R87" s="291" t="e">
        <f t="shared" si="141"/>
        <v>#NAME?</v>
      </c>
      <c r="S87" s="232" t="e">
        <f t="shared" si="142"/>
        <v>#NAME?</v>
      </c>
      <c r="T87" s="232" t="e">
        <f t="shared" si="143"/>
        <v>#NAME?</v>
      </c>
      <c r="U87" s="173" t="e">
        <f t="shared" si="144"/>
        <v>#NAME?</v>
      </c>
      <c r="V87" s="232" t="e">
        <f t="shared" si="159"/>
        <v>#NAME?</v>
      </c>
      <c r="W87" s="233" t="e">
        <f t="shared" si="145"/>
        <v>#NAME?</v>
      </c>
      <c r="X87" s="232" t="e">
        <f t="shared" si="146"/>
        <v>#NAME?</v>
      </c>
      <c r="Y87" s="232" t="e">
        <f t="shared" si="160"/>
        <v>#NAME?</v>
      </c>
      <c r="Z87" s="232" t="e">
        <f t="shared" si="147"/>
        <v>#NAME?</v>
      </c>
      <c r="AA87" s="234" t="e">
        <f t="shared" si="148"/>
        <v>#NAME?</v>
      </c>
      <c r="AB87" s="234" t="e">
        <f t="shared" si="161"/>
        <v>#NAME?</v>
      </c>
      <c r="AC87" s="232" t="e">
        <f t="shared" si="149"/>
        <v>#NAME?</v>
      </c>
      <c r="AD87" s="232" t="e">
        <f t="shared" si="150"/>
        <v>#NAME?</v>
      </c>
      <c r="AE87" s="232" t="e">
        <f t="shared" si="151"/>
        <v>#NAME?</v>
      </c>
      <c r="AF87">
        <v>20</v>
      </c>
      <c r="AG87" s="505" t="e">
        <f t="shared" si="119"/>
        <v>#NAME?</v>
      </c>
      <c r="AH87" s="232" t="e">
        <f t="shared" si="120"/>
        <v>#NAME?</v>
      </c>
      <c r="AI87" s="232" t="e">
        <f t="shared" si="121"/>
        <v>#NAME?</v>
      </c>
      <c r="AJ87" s="232" t="e">
        <f t="shared" si="122"/>
        <v>#NAME?</v>
      </c>
      <c r="AK87" s="232" t="e">
        <f t="shared" si="123"/>
        <v>#NAME?</v>
      </c>
      <c r="AL87" s="232" t="e">
        <f t="shared" si="152"/>
        <v>#NAME?</v>
      </c>
      <c r="AM87" s="232" t="e">
        <f t="shared" si="124"/>
        <v>#NAME?</v>
      </c>
      <c r="AN87" s="232" t="e">
        <f t="shared" si="125"/>
        <v>#NAME?</v>
      </c>
      <c r="AO87" s="232" t="e">
        <f t="shared" si="126"/>
        <v>#NAME?</v>
      </c>
      <c r="AP87" s="232" t="e">
        <f t="shared" si="162"/>
        <v>#NAME?</v>
      </c>
      <c r="AQ87" s="232" t="e">
        <f t="shared" si="127"/>
        <v>#NAME?</v>
      </c>
      <c r="AR87" s="232" t="e">
        <f t="shared" si="128"/>
        <v>#NAME?</v>
      </c>
      <c r="AS87" s="232" t="e">
        <f t="shared" si="129"/>
        <v>#NAME?</v>
      </c>
      <c r="AT87" s="232" t="e">
        <f t="shared" si="163"/>
        <v>#NAME?</v>
      </c>
      <c r="AU87" s="232" t="e">
        <f t="shared" si="130"/>
        <v>#NAME?</v>
      </c>
      <c r="AV87" s="232">
        <f t="shared" si="131"/>
        <v>0.60749999999999993</v>
      </c>
      <c r="AW87" s="292" t="e">
        <f t="shared" si="171"/>
        <v>#NAME?</v>
      </c>
      <c r="AX87" s="358" t="e">
        <f t="shared" si="132"/>
        <v>#NAME?</v>
      </c>
      <c r="AY87" s="358" t="e">
        <f t="shared" si="164"/>
        <v>#NAME?</v>
      </c>
      <c r="AZ87" s="358" t="e">
        <f t="shared" si="133"/>
        <v>#NAME?</v>
      </c>
      <c r="BA87" s="358" t="e">
        <f t="shared" si="153"/>
        <v>#NAME?</v>
      </c>
      <c r="BB87" s="358" t="e">
        <f t="shared" si="154"/>
        <v>#NAME?</v>
      </c>
      <c r="BC87" s="358" t="e">
        <f t="shared" si="155"/>
        <v>#NAME?</v>
      </c>
      <c r="BD87" s="358" t="e">
        <f t="shared" si="134"/>
        <v>#NAME?</v>
      </c>
      <c r="BE87" s="358" t="e">
        <f t="shared" si="135"/>
        <v>#NAME?</v>
      </c>
      <c r="BF87" s="358" t="e">
        <f t="shared" si="136"/>
        <v>#NAME?</v>
      </c>
      <c r="BG87" s="235" t="e">
        <f t="shared" si="165"/>
        <v>#NAME?</v>
      </c>
      <c r="BH87" s="235" t="e">
        <f t="shared" si="156"/>
        <v>#NAME?</v>
      </c>
      <c r="BI87" s="235" t="e">
        <f t="shared" si="166"/>
        <v>#NAME?</v>
      </c>
      <c r="BJ87" s="175" t="e">
        <f t="shared" si="167"/>
        <v>#NAME?</v>
      </c>
      <c r="BK87" s="233">
        <f>CHOOSE(MODE, I87*1000, 'PFM Efficiency'!BI87)</f>
        <v>121.5</v>
      </c>
      <c r="BL87" s="175">
        <v>88.512421928518876</v>
      </c>
      <c r="BM87" s="235">
        <f t="shared" si="157"/>
        <v>0.88512421928518881</v>
      </c>
      <c r="BN87" s="293" t="e">
        <f t="shared" si="137"/>
        <v>#NAME?</v>
      </c>
      <c r="BO87" s="294"/>
      <c r="BP87" s="235" t="e">
        <f t="shared" si="168"/>
        <v>#NAME?</v>
      </c>
      <c r="BQ87" s="294"/>
      <c r="BR87" s="175" t="e">
        <f t="shared" si="169"/>
        <v>#NAME?</v>
      </c>
      <c r="BS87" s="175" t="e">
        <f t="shared" si="170"/>
        <v>#NAME?</v>
      </c>
      <c r="BT87" s="175" t="e">
        <f t="shared" si="138"/>
        <v>#NAME?</v>
      </c>
      <c r="BU87" s="235"/>
      <c r="BV87" s="235"/>
      <c r="BW87" s="175" t="e">
        <f>IF(MODE=1, BJ87, 'PFM Efficiency'!BH87)</f>
        <v>#NAME?</v>
      </c>
      <c r="BX87" s="175" t="e">
        <f>IF(MODE=1, BR87, 'PFM Efficiency'!BN87)</f>
        <v>#NAME?</v>
      </c>
      <c r="BY87" s="175" t="e">
        <f>IF(MODE=1, BS87, 'PFM Efficiency'!BO87)</f>
        <v>#NAME?</v>
      </c>
      <c r="BZ87" s="175" t="e">
        <f>IF(MODE=1, BT87, 'PFM Efficiency'!BP87)</f>
        <v>#NAME?</v>
      </c>
    </row>
    <row r="88" spans="6:78" x14ac:dyDescent="0.2">
      <c r="F88" s="316" t="s">
        <v>393</v>
      </c>
      <c r="G88" s="316" t="s">
        <v>394</v>
      </c>
      <c r="H88" s="173">
        <v>82</v>
      </c>
      <c r="I88" s="522">
        <f t="shared" si="113"/>
        <v>0.12299999999999998</v>
      </c>
      <c r="J88" s="233" t="e">
        <f t="shared" si="114"/>
        <v>#NAME?</v>
      </c>
      <c r="K88" s="233" t="e">
        <f t="shared" si="115"/>
        <v>#NAME?</v>
      </c>
      <c r="L88" s="233" t="e">
        <f t="shared" si="116"/>
        <v>#NAME?</v>
      </c>
      <c r="M88" s="290" t="e">
        <f t="shared" si="117"/>
        <v>#NAME?</v>
      </c>
      <c r="N88" s="232" t="e">
        <f t="shared" si="158"/>
        <v>#NAME?</v>
      </c>
      <c r="O88" s="208" t="e">
        <f t="shared" si="118"/>
        <v>#NAME?</v>
      </c>
      <c r="P88" s="291" t="e">
        <f t="shared" si="139"/>
        <v>#NAME?</v>
      </c>
      <c r="Q88" s="291" t="e">
        <f t="shared" si="140"/>
        <v>#NAME?</v>
      </c>
      <c r="R88" s="291" t="e">
        <f t="shared" si="141"/>
        <v>#NAME?</v>
      </c>
      <c r="S88" s="232" t="e">
        <f t="shared" si="142"/>
        <v>#NAME?</v>
      </c>
      <c r="T88" s="232" t="e">
        <f t="shared" si="143"/>
        <v>#NAME?</v>
      </c>
      <c r="U88" s="173" t="e">
        <f t="shared" si="144"/>
        <v>#NAME?</v>
      </c>
      <c r="V88" s="232" t="e">
        <f t="shared" si="159"/>
        <v>#NAME?</v>
      </c>
      <c r="W88" s="233" t="e">
        <f t="shared" si="145"/>
        <v>#NAME?</v>
      </c>
      <c r="X88" s="232" t="e">
        <f t="shared" si="146"/>
        <v>#NAME?</v>
      </c>
      <c r="Y88" s="232" t="e">
        <f t="shared" si="160"/>
        <v>#NAME?</v>
      </c>
      <c r="Z88" s="232" t="e">
        <f t="shared" si="147"/>
        <v>#NAME?</v>
      </c>
      <c r="AA88" s="234" t="e">
        <f t="shared" si="148"/>
        <v>#NAME?</v>
      </c>
      <c r="AB88" s="234" t="e">
        <f t="shared" si="161"/>
        <v>#NAME?</v>
      </c>
      <c r="AC88" s="232" t="e">
        <f t="shared" si="149"/>
        <v>#NAME?</v>
      </c>
      <c r="AD88" s="232" t="e">
        <f t="shared" si="150"/>
        <v>#NAME?</v>
      </c>
      <c r="AE88" s="232" t="e">
        <f t="shared" si="151"/>
        <v>#NAME?</v>
      </c>
      <c r="AF88">
        <v>20</v>
      </c>
      <c r="AG88" s="505" t="e">
        <f t="shared" si="119"/>
        <v>#NAME?</v>
      </c>
      <c r="AH88" s="232" t="e">
        <f t="shared" si="120"/>
        <v>#NAME?</v>
      </c>
      <c r="AI88" s="232" t="e">
        <f t="shared" si="121"/>
        <v>#NAME?</v>
      </c>
      <c r="AJ88" s="232" t="e">
        <f t="shared" si="122"/>
        <v>#NAME?</v>
      </c>
      <c r="AK88" s="232" t="e">
        <f t="shared" si="123"/>
        <v>#NAME?</v>
      </c>
      <c r="AL88" s="232" t="e">
        <f t="shared" si="152"/>
        <v>#NAME?</v>
      </c>
      <c r="AM88" s="232" t="e">
        <f t="shared" si="124"/>
        <v>#NAME?</v>
      </c>
      <c r="AN88" s="232" t="e">
        <f t="shared" si="125"/>
        <v>#NAME?</v>
      </c>
      <c r="AO88" s="232" t="e">
        <f t="shared" si="126"/>
        <v>#NAME?</v>
      </c>
      <c r="AP88" s="232" t="e">
        <f t="shared" si="162"/>
        <v>#NAME?</v>
      </c>
      <c r="AQ88" s="232" t="e">
        <f t="shared" si="127"/>
        <v>#NAME?</v>
      </c>
      <c r="AR88" s="232" t="e">
        <f t="shared" si="128"/>
        <v>#NAME?</v>
      </c>
      <c r="AS88" s="232" t="e">
        <f t="shared" si="129"/>
        <v>#NAME?</v>
      </c>
      <c r="AT88" s="232" t="e">
        <f t="shared" si="163"/>
        <v>#NAME?</v>
      </c>
      <c r="AU88" s="232" t="e">
        <f t="shared" si="130"/>
        <v>#NAME?</v>
      </c>
      <c r="AV88" s="232">
        <f t="shared" si="131"/>
        <v>0.61499999999999988</v>
      </c>
      <c r="AW88" s="292" t="e">
        <f t="shared" si="171"/>
        <v>#NAME?</v>
      </c>
      <c r="AX88" s="358" t="e">
        <f t="shared" si="132"/>
        <v>#NAME?</v>
      </c>
      <c r="AY88" s="358" t="e">
        <f t="shared" si="164"/>
        <v>#NAME?</v>
      </c>
      <c r="AZ88" s="358" t="e">
        <f t="shared" si="133"/>
        <v>#NAME?</v>
      </c>
      <c r="BA88" s="358" t="e">
        <f t="shared" si="153"/>
        <v>#NAME?</v>
      </c>
      <c r="BB88" s="358" t="e">
        <f t="shared" si="154"/>
        <v>#NAME?</v>
      </c>
      <c r="BC88" s="358" t="e">
        <f t="shared" si="155"/>
        <v>#NAME?</v>
      </c>
      <c r="BD88" s="358" t="e">
        <f t="shared" si="134"/>
        <v>#NAME?</v>
      </c>
      <c r="BE88" s="358" t="e">
        <f t="shared" si="135"/>
        <v>#NAME?</v>
      </c>
      <c r="BF88" s="358" t="e">
        <f t="shared" si="136"/>
        <v>#NAME?</v>
      </c>
      <c r="BG88" s="235" t="e">
        <f t="shared" si="165"/>
        <v>#NAME?</v>
      </c>
      <c r="BH88" s="235" t="e">
        <f t="shared" si="156"/>
        <v>#NAME?</v>
      </c>
      <c r="BI88" s="235" t="e">
        <f t="shared" si="166"/>
        <v>#NAME?</v>
      </c>
      <c r="BJ88" s="175" t="e">
        <f t="shared" si="167"/>
        <v>#NAME?</v>
      </c>
      <c r="BK88" s="233">
        <f>CHOOSE(MODE, I88*1000, 'PFM Efficiency'!BI88)</f>
        <v>122.99999999999999</v>
      </c>
      <c r="BL88" s="175">
        <v>88.530294126670512</v>
      </c>
      <c r="BM88" s="235">
        <f t="shared" si="157"/>
        <v>0.88530294126670517</v>
      </c>
      <c r="BN88" s="293" t="e">
        <f t="shared" si="137"/>
        <v>#NAME?</v>
      </c>
      <c r="BO88" s="294"/>
      <c r="BP88" s="235" t="e">
        <f t="shared" si="168"/>
        <v>#NAME?</v>
      </c>
      <c r="BQ88" s="294"/>
      <c r="BR88" s="175" t="e">
        <f t="shared" si="169"/>
        <v>#NAME?</v>
      </c>
      <c r="BS88" s="175" t="e">
        <f t="shared" si="170"/>
        <v>#NAME?</v>
      </c>
      <c r="BT88" s="175" t="e">
        <f t="shared" si="138"/>
        <v>#NAME?</v>
      </c>
      <c r="BU88" s="235"/>
      <c r="BV88" s="235"/>
      <c r="BW88" s="175" t="e">
        <f>IF(MODE=1, BJ88, 'PFM Efficiency'!BH88)</f>
        <v>#NAME?</v>
      </c>
      <c r="BX88" s="175" t="e">
        <f>IF(MODE=1, BR88, 'PFM Efficiency'!BN88)</f>
        <v>#NAME?</v>
      </c>
      <c r="BY88" s="175" t="e">
        <f>IF(MODE=1, BS88, 'PFM Efficiency'!BO88)</f>
        <v>#NAME?</v>
      </c>
      <c r="BZ88" s="175" t="e">
        <f>IF(MODE=1, BT88, 'PFM Efficiency'!BP88)</f>
        <v>#NAME?</v>
      </c>
    </row>
    <row r="89" spans="6:78" x14ac:dyDescent="0.2">
      <c r="F89" s="340">
        <f>BL51</f>
        <v>87.439521195857154</v>
      </c>
      <c r="G89" s="341">
        <f>I56*1000</f>
        <v>75</v>
      </c>
      <c r="H89" s="173">
        <v>83</v>
      </c>
      <c r="I89" s="522">
        <f t="shared" si="113"/>
        <v>0.12449999999999999</v>
      </c>
      <c r="J89" s="233" t="e">
        <f t="shared" si="114"/>
        <v>#NAME?</v>
      </c>
      <c r="K89" s="233" t="e">
        <f t="shared" si="115"/>
        <v>#NAME?</v>
      </c>
      <c r="L89" s="233" t="e">
        <f t="shared" si="116"/>
        <v>#NAME?</v>
      </c>
      <c r="M89" s="290" t="e">
        <f t="shared" si="117"/>
        <v>#NAME?</v>
      </c>
      <c r="N89" s="232" t="e">
        <f t="shared" si="158"/>
        <v>#NAME?</v>
      </c>
      <c r="O89" s="208" t="e">
        <f t="shared" si="118"/>
        <v>#NAME?</v>
      </c>
      <c r="P89" s="291" t="e">
        <f t="shared" si="139"/>
        <v>#NAME?</v>
      </c>
      <c r="Q89" s="291" t="e">
        <f t="shared" si="140"/>
        <v>#NAME?</v>
      </c>
      <c r="R89" s="291" t="e">
        <f t="shared" si="141"/>
        <v>#NAME?</v>
      </c>
      <c r="S89" s="232" t="e">
        <f t="shared" si="142"/>
        <v>#NAME?</v>
      </c>
      <c r="T89" s="232" t="e">
        <f t="shared" si="143"/>
        <v>#NAME?</v>
      </c>
      <c r="U89" s="173" t="e">
        <f t="shared" si="144"/>
        <v>#NAME?</v>
      </c>
      <c r="V89" s="232" t="e">
        <f t="shared" si="159"/>
        <v>#NAME?</v>
      </c>
      <c r="W89" s="233" t="e">
        <f t="shared" si="145"/>
        <v>#NAME?</v>
      </c>
      <c r="X89" s="232" t="e">
        <f t="shared" si="146"/>
        <v>#NAME?</v>
      </c>
      <c r="Y89" s="232" t="e">
        <f t="shared" si="160"/>
        <v>#NAME?</v>
      </c>
      <c r="Z89" s="232" t="e">
        <f t="shared" si="147"/>
        <v>#NAME?</v>
      </c>
      <c r="AA89" s="234" t="e">
        <f t="shared" si="148"/>
        <v>#NAME?</v>
      </c>
      <c r="AB89" s="234" t="e">
        <f t="shared" si="161"/>
        <v>#NAME?</v>
      </c>
      <c r="AC89" s="232" t="e">
        <f t="shared" si="149"/>
        <v>#NAME?</v>
      </c>
      <c r="AD89" s="232" t="e">
        <f t="shared" si="150"/>
        <v>#NAME?</v>
      </c>
      <c r="AE89" s="232" t="e">
        <f t="shared" si="151"/>
        <v>#NAME?</v>
      </c>
      <c r="AF89">
        <v>20</v>
      </c>
      <c r="AG89" s="505" t="e">
        <f t="shared" si="119"/>
        <v>#NAME?</v>
      </c>
      <c r="AH89" s="232" t="e">
        <f t="shared" si="120"/>
        <v>#NAME?</v>
      </c>
      <c r="AI89" s="232" t="e">
        <f t="shared" si="121"/>
        <v>#NAME?</v>
      </c>
      <c r="AJ89" s="232" t="e">
        <f t="shared" si="122"/>
        <v>#NAME?</v>
      </c>
      <c r="AK89" s="232" t="e">
        <f t="shared" si="123"/>
        <v>#NAME?</v>
      </c>
      <c r="AL89" s="232" t="e">
        <f t="shared" si="152"/>
        <v>#NAME?</v>
      </c>
      <c r="AM89" s="232" t="e">
        <f t="shared" si="124"/>
        <v>#NAME?</v>
      </c>
      <c r="AN89" s="232" t="e">
        <f t="shared" si="125"/>
        <v>#NAME?</v>
      </c>
      <c r="AO89" s="232" t="e">
        <f t="shared" si="126"/>
        <v>#NAME?</v>
      </c>
      <c r="AP89" s="232" t="e">
        <f t="shared" si="162"/>
        <v>#NAME?</v>
      </c>
      <c r="AQ89" s="232" t="e">
        <f t="shared" si="127"/>
        <v>#NAME?</v>
      </c>
      <c r="AR89" s="232" t="e">
        <f t="shared" si="128"/>
        <v>#NAME?</v>
      </c>
      <c r="AS89" s="232" t="e">
        <f t="shared" si="129"/>
        <v>#NAME?</v>
      </c>
      <c r="AT89" s="232" t="e">
        <f t="shared" si="163"/>
        <v>#NAME?</v>
      </c>
      <c r="AU89" s="232" t="e">
        <f t="shared" si="130"/>
        <v>#NAME?</v>
      </c>
      <c r="AV89" s="232">
        <f t="shared" si="131"/>
        <v>0.62249999999999994</v>
      </c>
      <c r="AW89" s="292" t="e">
        <f t="shared" si="171"/>
        <v>#NAME?</v>
      </c>
      <c r="AX89" s="358" t="e">
        <f t="shared" si="132"/>
        <v>#NAME?</v>
      </c>
      <c r="AY89" s="358" t="e">
        <f t="shared" si="164"/>
        <v>#NAME?</v>
      </c>
      <c r="AZ89" s="358" t="e">
        <f t="shared" si="133"/>
        <v>#NAME?</v>
      </c>
      <c r="BA89" s="358" t="e">
        <f t="shared" si="153"/>
        <v>#NAME?</v>
      </c>
      <c r="BB89" s="358" t="e">
        <f t="shared" si="154"/>
        <v>#NAME?</v>
      </c>
      <c r="BC89" s="358" t="e">
        <f t="shared" si="155"/>
        <v>#NAME?</v>
      </c>
      <c r="BD89" s="358" t="e">
        <f t="shared" si="134"/>
        <v>#NAME?</v>
      </c>
      <c r="BE89" s="358" t="e">
        <f t="shared" si="135"/>
        <v>#NAME?</v>
      </c>
      <c r="BF89" s="358" t="e">
        <f t="shared" si="136"/>
        <v>#NAME?</v>
      </c>
      <c r="BG89" s="235" t="e">
        <f t="shared" si="165"/>
        <v>#NAME?</v>
      </c>
      <c r="BH89" s="235" t="e">
        <f t="shared" si="156"/>
        <v>#NAME?</v>
      </c>
      <c r="BI89" s="235" t="e">
        <f t="shared" si="166"/>
        <v>#NAME?</v>
      </c>
      <c r="BJ89" s="175" t="e">
        <f t="shared" si="167"/>
        <v>#NAME?</v>
      </c>
      <c r="BK89" s="233">
        <f>CHOOSE(MODE, I89*1000, 'PFM Efficiency'!BI89)</f>
        <v>124.49999999999999</v>
      </c>
      <c r="BL89" s="175">
        <v>88.547099560447151</v>
      </c>
      <c r="BM89" s="235">
        <f t="shared" si="157"/>
        <v>0.88547099560447151</v>
      </c>
      <c r="BN89" s="293" t="e">
        <f t="shared" si="137"/>
        <v>#NAME?</v>
      </c>
      <c r="BO89" s="294"/>
      <c r="BP89" s="235" t="e">
        <f t="shared" si="168"/>
        <v>#NAME?</v>
      </c>
      <c r="BQ89" s="294"/>
      <c r="BR89" s="175" t="e">
        <f t="shared" si="169"/>
        <v>#NAME?</v>
      </c>
      <c r="BS89" s="175" t="e">
        <f t="shared" si="170"/>
        <v>#NAME?</v>
      </c>
      <c r="BT89" s="175" t="e">
        <f t="shared" si="138"/>
        <v>#NAME?</v>
      </c>
      <c r="BU89" s="235"/>
      <c r="BV89" s="235"/>
      <c r="BW89" s="175" t="e">
        <f>IF(MODE=1, BJ89, 'PFM Efficiency'!BH89)</f>
        <v>#NAME?</v>
      </c>
      <c r="BX89" s="175" t="e">
        <f>IF(MODE=1, BR89, 'PFM Efficiency'!BN89)</f>
        <v>#NAME?</v>
      </c>
      <c r="BY89" s="175" t="e">
        <f>IF(MODE=1, BS89, 'PFM Efficiency'!BO89)</f>
        <v>#NAME?</v>
      </c>
      <c r="BZ89" s="175" t="e">
        <f>IF(MODE=1, BT89, 'PFM Efficiency'!BP89)</f>
        <v>#NAME?</v>
      </c>
    </row>
    <row r="90" spans="6:78" x14ac:dyDescent="0.2">
      <c r="F90" s="340">
        <f>BL81</f>
        <v>88.380628930000583</v>
      </c>
      <c r="G90" s="341">
        <f>I81*1000</f>
        <v>112.49999999999999</v>
      </c>
      <c r="H90" s="173">
        <v>84</v>
      </c>
      <c r="I90" s="522">
        <f t="shared" si="113"/>
        <v>0.126</v>
      </c>
      <c r="J90" s="233" t="e">
        <f t="shared" si="114"/>
        <v>#NAME?</v>
      </c>
      <c r="K90" s="233" t="e">
        <f t="shared" si="115"/>
        <v>#NAME?</v>
      </c>
      <c r="L90" s="233" t="e">
        <f t="shared" si="116"/>
        <v>#NAME?</v>
      </c>
      <c r="M90" s="290" t="e">
        <f t="shared" si="117"/>
        <v>#NAME?</v>
      </c>
      <c r="N90" s="232" t="e">
        <f t="shared" si="158"/>
        <v>#NAME?</v>
      </c>
      <c r="O90" s="208" t="e">
        <f t="shared" si="118"/>
        <v>#NAME?</v>
      </c>
      <c r="P90" s="291" t="e">
        <f t="shared" si="139"/>
        <v>#NAME?</v>
      </c>
      <c r="Q90" s="291" t="e">
        <f t="shared" si="140"/>
        <v>#NAME?</v>
      </c>
      <c r="R90" s="291" t="e">
        <f t="shared" si="141"/>
        <v>#NAME?</v>
      </c>
      <c r="S90" s="232" t="e">
        <f t="shared" si="142"/>
        <v>#NAME?</v>
      </c>
      <c r="T90" s="232" t="e">
        <f t="shared" si="143"/>
        <v>#NAME?</v>
      </c>
      <c r="U90" s="173" t="e">
        <f t="shared" si="144"/>
        <v>#NAME?</v>
      </c>
      <c r="V90" s="232" t="e">
        <f t="shared" si="159"/>
        <v>#NAME?</v>
      </c>
      <c r="W90" s="233" t="e">
        <f t="shared" si="145"/>
        <v>#NAME?</v>
      </c>
      <c r="X90" s="232" t="e">
        <f t="shared" si="146"/>
        <v>#NAME?</v>
      </c>
      <c r="Y90" s="232" t="e">
        <f t="shared" si="160"/>
        <v>#NAME?</v>
      </c>
      <c r="Z90" s="232" t="e">
        <f t="shared" si="147"/>
        <v>#NAME?</v>
      </c>
      <c r="AA90" s="234" t="e">
        <f t="shared" si="148"/>
        <v>#NAME?</v>
      </c>
      <c r="AB90" s="234" t="e">
        <f t="shared" si="161"/>
        <v>#NAME?</v>
      </c>
      <c r="AC90" s="232" t="e">
        <f t="shared" si="149"/>
        <v>#NAME?</v>
      </c>
      <c r="AD90" s="232" t="e">
        <f t="shared" si="150"/>
        <v>#NAME?</v>
      </c>
      <c r="AE90" s="232" t="e">
        <f t="shared" si="151"/>
        <v>#NAME?</v>
      </c>
      <c r="AF90">
        <v>20</v>
      </c>
      <c r="AG90" s="505" t="e">
        <f t="shared" si="119"/>
        <v>#NAME?</v>
      </c>
      <c r="AH90" s="232" t="e">
        <f t="shared" si="120"/>
        <v>#NAME?</v>
      </c>
      <c r="AI90" s="232" t="e">
        <f t="shared" si="121"/>
        <v>#NAME?</v>
      </c>
      <c r="AJ90" s="232" t="e">
        <f t="shared" si="122"/>
        <v>#NAME?</v>
      </c>
      <c r="AK90" s="232" t="e">
        <f t="shared" si="123"/>
        <v>#NAME?</v>
      </c>
      <c r="AL90" s="232" t="e">
        <f t="shared" si="152"/>
        <v>#NAME?</v>
      </c>
      <c r="AM90" s="232" t="e">
        <f t="shared" si="124"/>
        <v>#NAME?</v>
      </c>
      <c r="AN90" s="232" t="e">
        <f t="shared" si="125"/>
        <v>#NAME?</v>
      </c>
      <c r="AO90" s="232" t="e">
        <f t="shared" si="126"/>
        <v>#NAME?</v>
      </c>
      <c r="AP90" s="232" t="e">
        <f t="shared" si="162"/>
        <v>#NAME?</v>
      </c>
      <c r="AQ90" s="232" t="e">
        <f t="shared" si="127"/>
        <v>#NAME?</v>
      </c>
      <c r="AR90" s="232" t="e">
        <f t="shared" si="128"/>
        <v>#NAME?</v>
      </c>
      <c r="AS90" s="232" t="e">
        <f t="shared" si="129"/>
        <v>#NAME?</v>
      </c>
      <c r="AT90" s="232" t="e">
        <f t="shared" si="163"/>
        <v>#NAME?</v>
      </c>
      <c r="AU90" s="232" t="e">
        <f t="shared" si="130"/>
        <v>#NAME?</v>
      </c>
      <c r="AV90" s="232">
        <f t="shared" si="131"/>
        <v>0.63</v>
      </c>
      <c r="AW90" s="292" t="e">
        <f t="shared" si="171"/>
        <v>#NAME?</v>
      </c>
      <c r="AX90" s="358" t="e">
        <f t="shared" si="132"/>
        <v>#NAME?</v>
      </c>
      <c r="AY90" s="358" t="e">
        <f t="shared" si="164"/>
        <v>#NAME?</v>
      </c>
      <c r="AZ90" s="358" t="e">
        <f t="shared" si="133"/>
        <v>#NAME?</v>
      </c>
      <c r="BA90" s="358" t="e">
        <f t="shared" si="153"/>
        <v>#NAME?</v>
      </c>
      <c r="BB90" s="358" t="e">
        <f t="shared" si="154"/>
        <v>#NAME?</v>
      </c>
      <c r="BC90" s="358" t="e">
        <f t="shared" si="155"/>
        <v>#NAME?</v>
      </c>
      <c r="BD90" s="358" t="e">
        <f t="shared" si="134"/>
        <v>#NAME?</v>
      </c>
      <c r="BE90" s="358" t="e">
        <f t="shared" si="135"/>
        <v>#NAME?</v>
      </c>
      <c r="BF90" s="358" t="e">
        <f t="shared" si="136"/>
        <v>#NAME?</v>
      </c>
      <c r="BG90" s="235" t="e">
        <f t="shared" si="165"/>
        <v>#NAME?</v>
      </c>
      <c r="BH90" s="235" t="e">
        <f t="shared" si="156"/>
        <v>#NAME?</v>
      </c>
      <c r="BI90" s="235" t="e">
        <f t="shared" si="166"/>
        <v>#NAME?</v>
      </c>
      <c r="BJ90" s="175" t="e">
        <f t="shared" si="167"/>
        <v>#NAME?</v>
      </c>
      <c r="BK90" s="233">
        <f>CHOOSE(MODE, I90*1000, 'PFM Efficiency'!BI90)</f>
        <v>126</v>
      </c>
      <c r="BL90" s="175">
        <v>88.562872936280286</v>
      </c>
      <c r="BM90" s="235">
        <f t="shared" si="157"/>
        <v>0.8856287293628029</v>
      </c>
      <c r="BN90" s="293" t="e">
        <f t="shared" si="137"/>
        <v>#NAME?</v>
      </c>
      <c r="BO90" s="294"/>
      <c r="BP90" s="235" t="e">
        <f t="shared" si="168"/>
        <v>#NAME?</v>
      </c>
      <c r="BQ90" s="294"/>
      <c r="BR90" s="175" t="e">
        <f t="shared" si="169"/>
        <v>#NAME?</v>
      </c>
      <c r="BS90" s="175" t="e">
        <f t="shared" si="170"/>
        <v>#NAME?</v>
      </c>
      <c r="BT90" s="175" t="e">
        <f t="shared" si="138"/>
        <v>#NAME?</v>
      </c>
      <c r="BU90" s="235"/>
      <c r="BV90" s="235"/>
      <c r="BW90" s="175" t="e">
        <f>IF(MODE=1, BJ90, 'PFM Efficiency'!BH90)</f>
        <v>#NAME?</v>
      </c>
      <c r="BX90" s="175" t="e">
        <f>IF(MODE=1, BR90, 'PFM Efficiency'!BN90)</f>
        <v>#NAME?</v>
      </c>
      <c r="BY90" s="175" t="e">
        <f>IF(MODE=1, BS90, 'PFM Efficiency'!BO90)</f>
        <v>#NAME?</v>
      </c>
      <c r="BZ90" s="175" t="e">
        <f>IF(MODE=1, BT90, 'PFM Efficiency'!BP90)</f>
        <v>#NAME?</v>
      </c>
    </row>
    <row r="91" spans="6:78" x14ac:dyDescent="0.2">
      <c r="F91" s="340">
        <f>BL106</f>
        <v>88.698181382326453</v>
      </c>
      <c r="G91" s="341">
        <f>I106*1000</f>
        <v>150</v>
      </c>
      <c r="H91" s="173">
        <v>85</v>
      </c>
      <c r="I91" s="522">
        <f t="shared" si="113"/>
        <v>0.1275</v>
      </c>
      <c r="J91" s="233" t="e">
        <f t="shared" si="114"/>
        <v>#NAME?</v>
      </c>
      <c r="K91" s="233" t="e">
        <f t="shared" si="115"/>
        <v>#NAME?</v>
      </c>
      <c r="L91" s="233" t="e">
        <f t="shared" si="116"/>
        <v>#NAME?</v>
      </c>
      <c r="M91" s="290" t="e">
        <f t="shared" si="117"/>
        <v>#NAME?</v>
      </c>
      <c r="N91" s="232" t="e">
        <f t="shared" si="158"/>
        <v>#NAME?</v>
      </c>
      <c r="O91" s="208" t="e">
        <f t="shared" si="118"/>
        <v>#NAME?</v>
      </c>
      <c r="P91" s="291" t="e">
        <f t="shared" si="139"/>
        <v>#NAME?</v>
      </c>
      <c r="Q91" s="291" t="e">
        <f t="shared" si="140"/>
        <v>#NAME?</v>
      </c>
      <c r="R91" s="291" t="e">
        <f t="shared" si="141"/>
        <v>#NAME?</v>
      </c>
      <c r="S91" s="232" t="e">
        <f t="shared" si="142"/>
        <v>#NAME?</v>
      </c>
      <c r="T91" s="232" t="e">
        <f t="shared" si="143"/>
        <v>#NAME?</v>
      </c>
      <c r="U91" s="173" t="e">
        <f t="shared" si="144"/>
        <v>#NAME?</v>
      </c>
      <c r="V91" s="232" t="e">
        <f t="shared" si="159"/>
        <v>#NAME?</v>
      </c>
      <c r="W91" s="233" t="e">
        <f t="shared" si="145"/>
        <v>#NAME?</v>
      </c>
      <c r="X91" s="232" t="e">
        <f t="shared" si="146"/>
        <v>#NAME?</v>
      </c>
      <c r="Y91" s="232" t="e">
        <f t="shared" si="160"/>
        <v>#NAME?</v>
      </c>
      <c r="Z91" s="232" t="e">
        <f t="shared" si="147"/>
        <v>#NAME?</v>
      </c>
      <c r="AA91" s="234" t="e">
        <f t="shared" si="148"/>
        <v>#NAME?</v>
      </c>
      <c r="AB91" s="234" t="e">
        <f t="shared" si="161"/>
        <v>#NAME?</v>
      </c>
      <c r="AC91" s="232" t="e">
        <f t="shared" si="149"/>
        <v>#NAME?</v>
      </c>
      <c r="AD91" s="232" t="e">
        <f t="shared" si="150"/>
        <v>#NAME?</v>
      </c>
      <c r="AE91" s="232" t="e">
        <f t="shared" si="151"/>
        <v>#NAME?</v>
      </c>
      <c r="AF91">
        <v>20</v>
      </c>
      <c r="AG91" s="505" t="e">
        <f t="shared" si="119"/>
        <v>#NAME?</v>
      </c>
      <c r="AH91" s="232" t="e">
        <f t="shared" si="120"/>
        <v>#NAME?</v>
      </c>
      <c r="AI91" s="232" t="e">
        <f t="shared" si="121"/>
        <v>#NAME?</v>
      </c>
      <c r="AJ91" s="232" t="e">
        <f t="shared" si="122"/>
        <v>#NAME?</v>
      </c>
      <c r="AK91" s="232" t="e">
        <f t="shared" si="123"/>
        <v>#NAME?</v>
      </c>
      <c r="AL91" s="232" t="e">
        <f t="shared" si="152"/>
        <v>#NAME?</v>
      </c>
      <c r="AM91" s="232" t="e">
        <f t="shared" si="124"/>
        <v>#NAME?</v>
      </c>
      <c r="AN91" s="232" t="e">
        <f t="shared" si="125"/>
        <v>#NAME?</v>
      </c>
      <c r="AO91" s="232" t="e">
        <f t="shared" si="126"/>
        <v>#NAME?</v>
      </c>
      <c r="AP91" s="232" t="e">
        <f t="shared" si="162"/>
        <v>#NAME?</v>
      </c>
      <c r="AQ91" s="232" t="e">
        <f t="shared" si="127"/>
        <v>#NAME?</v>
      </c>
      <c r="AR91" s="232" t="e">
        <f t="shared" si="128"/>
        <v>#NAME?</v>
      </c>
      <c r="AS91" s="232" t="e">
        <f t="shared" si="129"/>
        <v>#NAME?</v>
      </c>
      <c r="AT91" s="232" t="e">
        <f t="shared" si="163"/>
        <v>#NAME?</v>
      </c>
      <c r="AU91" s="232" t="e">
        <f t="shared" si="130"/>
        <v>#NAME?</v>
      </c>
      <c r="AV91" s="232">
        <f t="shared" si="131"/>
        <v>0.63749999999999996</v>
      </c>
      <c r="AW91" s="292" t="e">
        <f t="shared" si="171"/>
        <v>#NAME?</v>
      </c>
      <c r="AX91" s="358" t="e">
        <f t="shared" si="132"/>
        <v>#NAME?</v>
      </c>
      <c r="AY91" s="358" t="e">
        <f t="shared" si="164"/>
        <v>#NAME?</v>
      </c>
      <c r="AZ91" s="358" t="e">
        <f t="shared" si="133"/>
        <v>#NAME?</v>
      </c>
      <c r="BA91" s="358" t="e">
        <f t="shared" si="153"/>
        <v>#NAME?</v>
      </c>
      <c r="BB91" s="358" t="e">
        <f t="shared" si="154"/>
        <v>#NAME?</v>
      </c>
      <c r="BC91" s="358" t="e">
        <f t="shared" si="155"/>
        <v>#NAME?</v>
      </c>
      <c r="BD91" s="358" t="e">
        <f t="shared" si="134"/>
        <v>#NAME?</v>
      </c>
      <c r="BE91" s="358" t="e">
        <f t="shared" si="135"/>
        <v>#NAME?</v>
      </c>
      <c r="BF91" s="358" t="e">
        <f t="shared" si="136"/>
        <v>#NAME?</v>
      </c>
      <c r="BG91" s="235" t="e">
        <f t="shared" si="165"/>
        <v>#NAME?</v>
      </c>
      <c r="BH91" s="235" t="e">
        <f t="shared" si="156"/>
        <v>#NAME?</v>
      </c>
      <c r="BI91" s="235" t="e">
        <f t="shared" si="166"/>
        <v>#NAME?</v>
      </c>
      <c r="BJ91" s="175" t="e">
        <f t="shared" si="167"/>
        <v>#NAME?</v>
      </c>
      <c r="BK91" s="233">
        <f>CHOOSE(MODE, I91*1000, 'PFM Efficiency'!BI91)</f>
        <v>127.5</v>
      </c>
      <c r="BL91" s="175">
        <v>88.577647448964157</v>
      </c>
      <c r="BM91" s="235">
        <f t="shared" si="157"/>
        <v>0.88577647448964159</v>
      </c>
      <c r="BN91" s="293" t="e">
        <f t="shared" si="137"/>
        <v>#NAME?</v>
      </c>
      <c r="BO91" s="294"/>
      <c r="BP91" s="235" t="e">
        <f t="shared" si="168"/>
        <v>#NAME?</v>
      </c>
      <c r="BQ91" s="294"/>
      <c r="BR91" s="175" t="e">
        <f t="shared" si="169"/>
        <v>#NAME?</v>
      </c>
      <c r="BS91" s="175" t="e">
        <f t="shared" si="170"/>
        <v>#NAME?</v>
      </c>
      <c r="BT91" s="175" t="e">
        <f t="shared" si="138"/>
        <v>#NAME?</v>
      </c>
      <c r="BU91" s="235"/>
      <c r="BV91" s="235"/>
      <c r="BW91" s="175" t="e">
        <f>IF(MODE=1, BJ91, 'PFM Efficiency'!BH91)</f>
        <v>#NAME?</v>
      </c>
      <c r="BX91" s="175" t="e">
        <f>IF(MODE=1, BR91, 'PFM Efficiency'!BN91)</f>
        <v>#NAME?</v>
      </c>
      <c r="BY91" s="175" t="e">
        <f>IF(MODE=1, BS91, 'PFM Efficiency'!BO91)</f>
        <v>#NAME?</v>
      </c>
      <c r="BZ91" s="175" t="e">
        <f>IF(MODE=1, BT91, 'PFM Efficiency'!BP91)</f>
        <v>#NAME?</v>
      </c>
    </row>
    <row r="92" spans="6:78" x14ac:dyDescent="0.2">
      <c r="H92" s="173">
        <v>86</v>
      </c>
      <c r="I92" s="522">
        <f t="shared" si="113"/>
        <v>0.129</v>
      </c>
      <c r="J92" s="233" t="e">
        <f t="shared" si="114"/>
        <v>#NAME?</v>
      </c>
      <c r="K92" s="233" t="e">
        <f t="shared" si="115"/>
        <v>#NAME?</v>
      </c>
      <c r="L92" s="233" t="e">
        <f t="shared" si="116"/>
        <v>#NAME?</v>
      </c>
      <c r="M92" s="290" t="e">
        <f t="shared" si="117"/>
        <v>#NAME?</v>
      </c>
      <c r="N92" s="232" t="e">
        <f t="shared" si="158"/>
        <v>#NAME?</v>
      </c>
      <c r="O92" s="208" t="e">
        <f t="shared" si="118"/>
        <v>#NAME?</v>
      </c>
      <c r="P92" s="291" t="e">
        <f t="shared" si="139"/>
        <v>#NAME?</v>
      </c>
      <c r="Q92" s="291" t="e">
        <f t="shared" si="140"/>
        <v>#NAME?</v>
      </c>
      <c r="R92" s="291" t="e">
        <f t="shared" si="141"/>
        <v>#NAME?</v>
      </c>
      <c r="S92" s="232" t="e">
        <f t="shared" si="142"/>
        <v>#NAME?</v>
      </c>
      <c r="T92" s="232" t="e">
        <f t="shared" si="143"/>
        <v>#NAME?</v>
      </c>
      <c r="U92" s="173" t="e">
        <f t="shared" si="144"/>
        <v>#NAME?</v>
      </c>
      <c r="V92" s="232" t="e">
        <f t="shared" si="159"/>
        <v>#NAME?</v>
      </c>
      <c r="W92" s="233" t="e">
        <f t="shared" si="145"/>
        <v>#NAME?</v>
      </c>
      <c r="X92" s="232" t="e">
        <f t="shared" si="146"/>
        <v>#NAME?</v>
      </c>
      <c r="Y92" s="232" t="e">
        <f t="shared" si="160"/>
        <v>#NAME?</v>
      </c>
      <c r="Z92" s="232" t="e">
        <f t="shared" si="147"/>
        <v>#NAME?</v>
      </c>
      <c r="AA92" s="234" t="e">
        <f t="shared" si="148"/>
        <v>#NAME?</v>
      </c>
      <c r="AB92" s="234" t="e">
        <f t="shared" si="161"/>
        <v>#NAME?</v>
      </c>
      <c r="AC92" s="232" t="e">
        <f t="shared" si="149"/>
        <v>#NAME?</v>
      </c>
      <c r="AD92" s="232" t="e">
        <f t="shared" si="150"/>
        <v>#NAME?</v>
      </c>
      <c r="AE92" s="232" t="e">
        <f t="shared" si="151"/>
        <v>#NAME?</v>
      </c>
      <c r="AF92">
        <v>20</v>
      </c>
      <c r="AG92" s="505" t="e">
        <f t="shared" si="119"/>
        <v>#NAME?</v>
      </c>
      <c r="AH92" s="232" t="e">
        <f t="shared" si="120"/>
        <v>#NAME?</v>
      </c>
      <c r="AI92" s="232" t="e">
        <f t="shared" si="121"/>
        <v>#NAME?</v>
      </c>
      <c r="AJ92" s="232" t="e">
        <f t="shared" si="122"/>
        <v>#NAME?</v>
      </c>
      <c r="AK92" s="232" t="e">
        <f t="shared" si="123"/>
        <v>#NAME?</v>
      </c>
      <c r="AL92" s="232" t="e">
        <f t="shared" si="152"/>
        <v>#NAME?</v>
      </c>
      <c r="AM92" s="232" t="e">
        <f t="shared" si="124"/>
        <v>#NAME?</v>
      </c>
      <c r="AN92" s="232" t="e">
        <f t="shared" si="125"/>
        <v>#NAME?</v>
      </c>
      <c r="AO92" s="232" t="e">
        <f t="shared" si="126"/>
        <v>#NAME?</v>
      </c>
      <c r="AP92" s="232" t="e">
        <f t="shared" si="162"/>
        <v>#NAME?</v>
      </c>
      <c r="AQ92" s="232" t="e">
        <f t="shared" si="127"/>
        <v>#NAME?</v>
      </c>
      <c r="AR92" s="232" t="e">
        <f t="shared" si="128"/>
        <v>#NAME?</v>
      </c>
      <c r="AS92" s="232" t="e">
        <f t="shared" si="129"/>
        <v>#NAME?</v>
      </c>
      <c r="AT92" s="232" t="e">
        <f t="shared" si="163"/>
        <v>#NAME?</v>
      </c>
      <c r="AU92" s="232" t="e">
        <f t="shared" si="130"/>
        <v>#NAME?</v>
      </c>
      <c r="AV92" s="232">
        <f t="shared" si="131"/>
        <v>0.64500000000000002</v>
      </c>
      <c r="AW92" s="292" t="e">
        <f t="shared" si="171"/>
        <v>#NAME?</v>
      </c>
      <c r="AX92" s="358" t="e">
        <f t="shared" si="132"/>
        <v>#NAME?</v>
      </c>
      <c r="AY92" s="358" t="e">
        <f t="shared" si="164"/>
        <v>#NAME?</v>
      </c>
      <c r="AZ92" s="358" t="e">
        <f t="shared" si="133"/>
        <v>#NAME?</v>
      </c>
      <c r="BA92" s="358" t="e">
        <f t="shared" si="153"/>
        <v>#NAME?</v>
      </c>
      <c r="BB92" s="358" t="e">
        <f t="shared" si="154"/>
        <v>#NAME?</v>
      </c>
      <c r="BC92" s="358" t="e">
        <f t="shared" si="155"/>
        <v>#NAME?</v>
      </c>
      <c r="BD92" s="358" t="e">
        <f t="shared" si="134"/>
        <v>#NAME?</v>
      </c>
      <c r="BE92" s="358" t="e">
        <f t="shared" si="135"/>
        <v>#NAME?</v>
      </c>
      <c r="BF92" s="358" t="e">
        <f t="shared" si="136"/>
        <v>#NAME?</v>
      </c>
      <c r="BG92" s="235" t="e">
        <f t="shared" si="165"/>
        <v>#NAME?</v>
      </c>
      <c r="BH92" s="235" t="e">
        <f t="shared" si="156"/>
        <v>#NAME?</v>
      </c>
      <c r="BI92" s="235" t="e">
        <f t="shared" si="166"/>
        <v>#NAME?</v>
      </c>
      <c r="BJ92" s="175" t="e">
        <f t="shared" si="167"/>
        <v>#NAME?</v>
      </c>
      <c r="BK92" s="233">
        <f>CHOOSE(MODE, I92*1000, 'PFM Efficiency'!BI92)</f>
        <v>129</v>
      </c>
      <c r="BL92" s="175">
        <v>88.591454864366881</v>
      </c>
      <c r="BM92" s="235">
        <f t="shared" si="157"/>
        <v>0.88591454864366881</v>
      </c>
      <c r="BN92" s="293" t="e">
        <f t="shared" si="137"/>
        <v>#NAME?</v>
      </c>
      <c r="BO92" s="294"/>
      <c r="BP92" s="235" t="e">
        <f t="shared" si="168"/>
        <v>#NAME?</v>
      </c>
      <c r="BQ92" s="294"/>
      <c r="BR92" s="175" t="e">
        <f t="shared" si="169"/>
        <v>#NAME?</v>
      </c>
      <c r="BS92" s="175" t="e">
        <f t="shared" si="170"/>
        <v>#NAME?</v>
      </c>
      <c r="BT92" s="175" t="e">
        <f t="shared" si="138"/>
        <v>#NAME?</v>
      </c>
      <c r="BU92" s="235"/>
      <c r="BV92" s="235"/>
      <c r="BW92" s="175" t="e">
        <f>IF(MODE=1, BJ92, 'PFM Efficiency'!BH92)</f>
        <v>#NAME?</v>
      </c>
      <c r="BX92" s="175" t="e">
        <f>IF(MODE=1, BR92, 'PFM Efficiency'!BN92)</f>
        <v>#NAME?</v>
      </c>
      <c r="BY92" s="175" t="e">
        <f>IF(MODE=1, BS92, 'PFM Efficiency'!BO92)</f>
        <v>#NAME?</v>
      </c>
      <c r="BZ92" s="175" t="e">
        <f>IF(MODE=1, BT92, 'PFM Efficiency'!BP92)</f>
        <v>#NAME?</v>
      </c>
    </row>
    <row r="93" spans="6:78" x14ac:dyDescent="0.2">
      <c r="H93" s="173">
        <v>87</v>
      </c>
      <c r="I93" s="522">
        <f t="shared" si="113"/>
        <v>0.1305</v>
      </c>
      <c r="J93" s="233" t="e">
        <f t="shared" si="114"/>
        <v>#NAME?</v>
      </c>
      <c r="K93" s="233" t="e">
        <f t="shared" si="115"/>
        <v>#NAME?</v>
      </c>
      <c r="L93" s="233" t="e">
        <f t="shared" si="116"/>
        <v>#NAME?</v>
      </c>
      <c r="M93" s="290" t="e">
        <f t="shared" si="117"/>
        <v>#NAME?</v>
      </c>
      <c r="N93" s="232" t="e">
        <f t="shared" si="158"/>
        <v>#NAME?</v>
      </c>
      <c r="O93" s="208" t="e">
        <f t="shared" si="118"/>
        <v>#NAME?</v>
      </c>
      <c r="P93" s="291" t="e">
        <f t="shared" si="139"/>
        <v>#NAME?</v>
      </c>
      <c r="Q93" s="291" t="e">
        <f t="shared" si="140"/>
        <v>#NAME?</v>
      </c>
      <c r="R93" s="291" t="e">
        <f t="shared" si="141"/>
        <v>#NAME?</v>
      </c>
      <c r="S93" s="232" t="e">
        <f t="shared" si="142"/>
        <v>#NAME?</v>
      </c>
      <c r="T93" s="232" t="e">
        <f t="shared" si="143"/>
        <v>#NAME?</v>
      </c>
      <c r="U93" s="173" t="e">
        <f t="shared" si="144"/>
        <v>#NAME?</v>
      </c>
      <c r="V93" s="232" t="e">
        <f t="shared" si="159"/>
        <v>#NAME?</v>
      </c>
      <c r="W93" s="233" t="e">
        <f t="shared" si="145"/>
        <v>#NAME?</v>
      </c>
      <c r="X93" s="232" t="e">
        <f t="shared" si="146"/>
        <v>#NAME?</v>
      </c>
      <c r="Y93" s="232" t="e">
        <f t="shared" si="160"/>
        <v>#NAME?</v>
      </c>
      <c r="Z93" s="232" t="e">
        <f t="shared" si="147"/>
        <v>#NAME?</v>
      </c>
      <c r="AA93" s="234" t="e">
        <f t="shared" si="148"/>
        <v>#NAME?</v>
      </c>
      <c r="AB93" s="234" t="e">
        <f t="shared" si="161"/>
        <v>#NAME?</v>
      </c>
      <c r="AC93" s="232" t="e">
        <f t="shared" si="149"/>
        <v>#NAME?</v>
      </c>
      <c r="AD93" s="232" t="e">
        <f t="shared" si="150"/>
        <v>#NAME?</v>
      </c>
      <c r="AE93" s="232" t="e">
        <f t="shared" si="151"/>
        <v>#NAME?</v>
      </c>
      <c r="AF93">
        <v>20</v>
      </c>
      <c r="AG93" s="505" t="e">
        <f t="shared" si="119"/>
        <v>#NAME?</v>
      </c>
      <c r="AH93" s="232" t="e">
        <f t="shared" si="120"/>
        <v>#NAME?</v>
      </c>
      <c r="AI93" s="232" t="e">
        <f t="shared" si="121"/>
        <v>#NAME?</v>
      </c>
      <c r="AJ93" s="232" t="e">
        <f t="shared" si="122"/>
        <v>#NAME?</v>
      </c>
      <c r="AK93" s="232" t="e">
        <f t="shared" si="123"/>
        <v>#NAME?</v>
      </c>
      <c r="AL93" s="232" t="e">
        <f t="shared" si="152"/>
        <v>#NAME?</v>
      </c>
      <c r="AM93" s="232" t="e">
        <f t="shared" si="124"/>
        <v>#NAME?</v>
      </c>
      <c r="AN93" s="232" t="e">
        <f t="shared" si="125"/>
        <v>#NAME?</v>
      </c>
      <c r="AO93" s="232" t="e">
        <f t="shared" si="126"/>
        <v>#NAME?</v>
      </c>
      <c r="AP93" s="232" t="e">
        <f t="shared" si="162"/>
        <v>#NAME?</v>
      </c>
      <c r="AQ93" s="232" t="e">
        <f t="shared" si="127"/>
        <v>#NAME?</v>
      </c>
      <c r="AR93" s="232" t="e">
        <f t="shared" si="128"/>
        <v>#NAME?</v>
      </c>
      <c r="AS93" s="232" t="e">
        <f t="shared" si="129"/>
        <v>#NAME?</v>
      </c>
      <c r="AT93" s="232" t="e">
        <f t="shared" si="163"/>
        <v>#NAME?</v>
      </c>
      <c r="AU93" s="232" t="e">
        <f t="shared" si="130"/>
        <v>#NAME?</v>
      </c>
      <c r="AV93" s="232">
        <f t="shared" si="131"/>
        <v>0.65250000000000008</v>
      </c>
      <c r="AW93" s="292" t="e">
        <f t="shared" si="171"/>
        <v>#NAME?</v>
      </c>
      <c r="AX93" s="358" t="e">
        <f t="shared" si="132"/>
        <v>#NAME?</v>
      </c>
      <c r="AY93" s="358" t="e">
        <f t="shared" si="164"/>
        <v>#NAME?</v>
      </c>
      <c r="AZ93" s="358" t="e">
        <f t="shared" si="133"/>
        <v>#NAME?</v>
      </c>
      <c r="BA93" s="358" t="e">
        <f t="shared" si="153"/>
        <v>#NAME?</v>
      </c>
      <c r="BB93" s="358" t="e">
        <f t="shared" si="154"/>
        <v>#NAME?</v>
      </c>
      <c r="BC93" s="358" t="e">
        <f t="shared" si="155"/>
        <v>#NAME?</v>
      </c>
      <c r="BD93" s="358" t="e">
        <f t="shared" si="134"/>
        <v>#NAME?</v>
      </c>
      <c r="BE93" s="358" t="e">
        <f t="shared" si="135"/>
        <v>#NAME?</v>
      </c>
      <c r="BF93" s="358" t="e">
        <f t="shared" si="136"/>
        <v>#NAME?</v>
      </c>
      <c r="BG93" s="235" t="e">
        <f t="shared" si="165"/>
        <v>#NAME?</v>
      </c>
      <c r="BH93" s="235" t="e">
        <f t="shared" si="156"/>
        <v>#NAME?</v>
      </c>
      <c r="BI93" s="235" t="e">
        <f t="shared" si="166"/>
        <v>#NAME?</v>
      </c>
      <c r="BJ93" s="175" t="e">
        <f t="shared" si="167"/>
        <v>#NAME?</v>
      </c>
      <c r="BK93" s="233">
        <f>CHOOSE(MODE, I93*1000, 'PFM Efficiency'!BI93)</f>
        <v>130.5</v>
      </c>
      <c r="BL93" s="175">
        <v>88.604325596716222</v>
      </c>
      <c r="BM93" s="235">
        <f t="shared" si="157"/>
        <v>0.88604325596716227</v>
      </c>
      <c r="BN93" s="293" t="e">
        <f t="shared" si="137"/>
        <v>#NAME?</v>
      </c>
      <c r="BO93" s="294"/>
      <c r="BP93" s="235" t="e">
        <f t="shared" si="168"/>
        <v>#NAME?</v>
      </c>
      <c r="BQ93" s="294"/>
      <c r="BR93" s="175" t="e">
        <f t="shared" si="169"/>
        <v>#NAME?</v>
      </c>
      <c r="BS93" s="175" t="e">
        <f t="shared" si="170"/>
        <v>#NAME?</v>
      </c>
      <c r="BT93" s="175" t="e">
        <f t="shared" si="138"/>
        <v>#NAME?</v>
      </c>
      <c r="BU93" s="235"/>
      <c r="BV93" s="235"/>
      <c r="BW93" s="175" t="e">
        <f>IF(MODE=1, BJ93, 'PFM Efficiency'!BH93)</f>
        <v>#NAME?</v>
      </c>
      <c r="BX93" s="175" t="e">
        <f>IF(MODE=1, BR93, 'PFM Efficiency'!BN93)</f>
        <v>#NAME?</v>
      </c>
      <c r="BY93" s="175" t="e">
        <f>IF(MODE=1, BS93, 'PFM Efficiency'!BO93)</f>
        <v>#NAME?</v>
      </c>
      <c r="BZ93" s="175" t="e">
        <f>IF(MODE=1, BT93, 'PFM Efficiency'!BP93)</f>
        <v>#NAME?</v>
      </c>
    </row>
    <row r="94" spans="6:78" x14ac:dyDescent="0.2">
      <c r="H94" s="173">
        <v>88</v>
      </c>
      <c r="I94" s="522">
        <f t="shared" si="113"/>
        <v>0.13200000000000001</v>
      </c>
      <c r="J94" s="233" t="e">
        <f t="shared" si="114"/>
        <v>#NAME?</v>
      </c>
      <c r="K94" s="233" t="e">
        <f t="shared" si="115"/>
        <v>#NAME?</v>
      </c>
      <c r="L94" s="233" t="e">
        <f t="shared" si="116"/>
        <v>#NAME?</v>
      </c>
      <c r="M94" s="290" t="e">
        <f t="shared" si="117"/>
        <v>#NAME?</v>
      </c>
      <c r="N94" s="232" t="e">
        <f t="shared" si="158"/>
        <v>#NAME?</v>
      </c>
      <c r="O94" s="208" t="e">
        <f t="shared" si="118"/>
        <v>#NAME?</v>
      </c>
      <c r="P94" s="291" t="e">
        <f t="shared" si="139"/>
        <v>#NAME?</v>
      </c>
      <c r="Q94" s="291" t="e">
        <f t="shared" si="140"/>
        <v>#NAME?</v>
      </c>
      <c r="R94" s="291" t="e">
        <f t="shared" si="141"/>
        <v>#NAME?</v>
      </c>
      <c r="S94" s="232" t="e">
        <f t="shared" si="142"/>
        <v>#NAME?</v>
      </c>
      <c r="T94" s="232" t="e">
        <f t="shared" si="143"/>
        <v>#NAME?</v>
      </c>
      <c r="U94" s="173" t="e">
        <f t="shared" si="144"/>
        <v>#NAME?</v>
      </c>
      <c r="V94" s="232" t="e">
        <f t="shared" si="159"/>
        <v>#NAME?</v>
      </c>
      <c r="W94" s="233" t="e">
        <f t="shared" si="145"/>
        <v>#NAME?</v>
      </c>
      <c r="X94" s="232" t="e">
        <f t="shared" si="146"/>
        <v>#NAME?</v>
      </c>
      <c r="Y94" s="232" t="e">
        <f t="shared" si="160"/>
        <v>#NAME?</v>
      </c>
      <c r="Z94" s="232" t="e">
        <f t="shared" si="147"/>
        <v>#NAME?</v>
      </c>
      <c r="AA94" s="234" t="e">
        <f t="shared" si="148"/>
        <v>#NAME?</v>
      </c>
      <c r="AB94" s="234" t="e">
        <f t="shared" si="161"/>
        <v>#NAME?</v>
      </c>
      <c r="AC94" s="232" t="e">
        <f t="shared" si="149"/>
        <v>#NAME?</v>
      </c>
      <c r="AD94" s="232" t="e">
        <f t="shared" si="150"/>
        <v>#NAME?</v>
      </c>
      <c r="AE94" s="232" t="e">
        <f t="shared" si="151"/>
        <v>#NAME?</v>
      </c>
      <c r="AF94">
        <v>20</v>
      </c>
      <c r="AG94" s="505" t="e">
        <f t="shared" si="119"/>
        <v>#NAME?</v>
      </c>
      <c r="AH94" s="232" t="e">
        <f t="shared" si="120"/>
        <v>#NAME?</v>
      </c>
      <c r="AI94" s="232" t="e">
        <f t="shared" si="121"/>
        <v>#NAME?</v>
      </c>
      <c r="AJ94" s="232" t="e">
        <f t="shared" si="122"/>
        <v>#NAME?</v>
      </c>
      <c r="AK94" s="232" t="e">
        <f t="shared" si="123"/>
        <v>#NAME?</v>
      </c>
      <c r="AL94" s="232" t="e">
        <f t="shared" si="152"/>
        <v>#NAME?</v>
      </c>
      <c r="AM94" s="232" t="e">
        <f t="shared" si="124"/>
        <v>#NAME?</v>
      </c>
      <c r="AN94" s="232" t="e">
        <f t="shared" si="125"/>
        <v>#NAME?</v>
      </c>
      <c r="AO94" s="232" t="e">
        <f t="shared" si="126"/>
        <v>#NAME?</v>
      </c>
      <c r="AP94" s="232" t="e">
        <f t="shared" si="162"/>
        <v>#NAME?</v>
      </c>
      <c r="AQ94" s="232" t="e">
        <f t="shared" si="127"/>
        <v>#NAME?</v>
      </c>
      <c r="AR94" s="232" t="e">
        <f t="shared" si="128"/>
        <v>#NAME?</v>
      </c>
      <c r="AS94" s="232" t="e">
        <f t="shared" si="129"/>
        <v>#NAME?</v>
      </c>
      <c r="AT94" s="232" t="e">
        <f t="shared" si="163"/>
        <v>#NAME?</v>
      </c>
      <c r="AU94" s="232" t="e">
        <f t="shared" si="130"/>
        <v>#NAME?</v>
      </c>
      <c r="AV94" s="232">
        <f t="shared" si="131"/>
        <v>0.66</v>
      </c>
      <c r="AW94" s="292" t="e">
        <f t="shared" si="171"/>
        <v>#NAME?</v>
      </c>
      <c r="AX94" s="358" t="e">
        <f t="shared" si="132"/>
        <v>#NAME?</v>
      </c>
      <c r="AY94" s="358" t="e">
        <f t="shared" si="164"/>
        <v>#NAME?</v>
      </c>
      <c r="AZ94" s="358" t="e">
        <f t="shared" si="133"/>
        <v>#NAME?</v>
      </c>
      <c r="BA94" s="358" t="e">
        <f t="shared" si="153"/>
        <v>#NAME?</v>
      </c>
      <c r="BB94" s="358" t="e">
        <f t="shared" si="154"/>
        <v>#NAME?</v>
      </c>
      <c r="BC94" s="358" t="e">
        <f t="shared" si="155"/>
        <v>#NAME?</v>
      </c>
      <c r="BD94" s="358" t="e">
        <f t="shared" si="134"/>
        <v>#NAME?</v>
      </c>
      <c r="BE94" s="358" t="e">
        <f t="shared" si="135"/>
        <v>#NAME?</v>
      </c>
      <c r="BF94" s="358" t="e">
        <f t="shared" si="136"/>
        <v>#NAME?</v>
      </c>
      <c r="BG94" s="235" t="e">
        <f t="shared" si="165"/>
        <v>#NAME?</v>
      </c>
      <c r="BH94" s="235" t="e">
        <f t="shared" si="156"/>
        <v>#NAME?</v>
      </c>
      <c r="BI94" s="235" t="e">
        <f t="shared" si="166"/>
        <v>#NAME?</v>
      </c>
      <c r="BJ94" s="175" t="e">
        <f t="shared" si="167"/>
        <v>#NAME?</v>
      </c>
      <c r="BK94" s="233">
        <f>CHOOSE(MODE, I94*1000, 'PFM Efficiency'!BI94)</f>
        <v>132</v>
      </c>
      <c r="BL94" s="175">
        <v>88.616288780873063</v>
      </c>
      <c r="BM94" s="235">
        <f t="shared" si="157"/>
        <v>0.88616288780873065</v>
      </c>
      <c r="BN94" s="293" t="e">
        <f t="shared" si="137"/>
        <v>#NAME?</v>
      </c>
      <c r="BO94" s="294"/>
      <c r="BP94" s="235" t="e">
        <f t="shared" si="168"/>
        <v>#NAME?</v>
      </c>
      <c r="BQ94" s="294"/>
      <c r="BR94" s="175" t="e">
        <f t="shared" si="169"/>
        <v>#NAME?</v>
      </c>
      <c r="BS94" s="175" t="e">
        <f t="shared" si="170"/>
        <v>#NAME?</v>
      </c>
      <c r="BT94" s="175" t="e">
        <f t="shared" si="138"/>
        <v>#NAME?</v>
      </c>
      <c r="BU94" s="235"/>
      <c r="BV94" s="235"/>
      <c r="BW94" s="175" t="e">
        <f>IF(MODE=1, BJ94, 'PFM Efficiency'!BH94)</f>
        <v>#NAME?</v>
      </c>
      <c r="BX94" s="175" t="e">
        <f>IF(MODE=1, BR94, 'PFM Efficiency'!BN94)</f>
        <v>#NAME?</v>
      </c>
      <c r="BY94" s="175" t="e">
        <f>IF(MODE=1, BS94, 'PFM Efficiency'!BO94)</f>
        <v>#NAME?</v>
      </c>
      <c r="BZ94" s="175" t="e">
        <f>IF(MODE=1, BT94, 'PFM Efficiency'!BP94)</f>
        <v>#NAME?</v>
      </c>
    </row>
    <row r="95" spans="6:78" x14ac:dyDescent="0.2">
      <c r="H95" s="173">
        <v>89</v>
      </c>
      <c r="I95" s="522">
        <f t="shared" si="113"/>
        <v>0.13350000000000001</v>
      </c>
      <c r="J95" s="233" t="e">
        <f t="shared" si="114"/>
        <v>#NAME?</v>
      </c>
      <c r="K95" s="233" t="e">
        <f t="shared" si="115"/>
        <v>#NAME?</v>
      </c>
      <c r="L95" s="233" t="e">
        <f t="shared" si="116"/>
        <v>#NAME?</v>
      </c>
      <c r="M95" s="290" t="e">
        <f t="shared" si="117"/>
        <v>#NAME?</v>
      </c>
      <c r="N95" s="232" t="e">
        <f t="shared" si="158"/>
        <v>#NAME?</v>
      </c>
      <c r="O95" s="208" t="e">
        <f t="shared" si="118"/>
        <v>#NAME?</v>
      </c>
      <c r="P95" s="291" t="e">
        <f t="shared" si="139"/>
        <v>#NAME?</v>
      </c>
      <c r="Q95" s="291" t="e">
        <f t="shared" si="140"/>
        <v>#NAME?</v>
      </c>
      <c r="R95" s="291" t="e">
        <f t="shared" si="141"/>
        <v>#NAME?</v>
      </c>
      <c r="S95" s="232" t="e">
        <f t="shared" si="142"/>
        <v>#NAME?</v>
      </c>
      <c r="T95" s="232" t="e">
        <f t="shared" si="143"/>
        <v>#NAME?</v>
      </c>
      <c r="U95" s="173" t="e">
        <f t="shared" si="144"/>
        <v>#NAME?</v>
      </c>
      <c r="V95" s="232" t="e">
        <f t="shared" si="159"/>
        <v>#NAME?</v>
      </c>
      <c r="W95" s="233" t="e">
        <f t="shared" si="145"/>
        <v>#NAME?</v>
      </c>
      <c r="X95" s="232" t="e">
        <f t="shared" si="146"/>
        <v>#NAME?</v>
      </c>
      <c r="Y95" s="232" t="e">
        <f t="shared" si="160"/>
        <v>#NAME?</v>
      </c>
      <c r="Z95" s="232" t="e">
        <f t="shared" si="147"/>
        <v>#NAME?</v>
      </c>
      <c r="AA95" s="234" t="e">
        <f t="shared" si="148"/>
        <v>#NAME?</v>
      </c>
      <c r="AB95" s="234" t="e">
        <f t="shared" si="161"/>
        <v>#NAME?</v>
      </c>
      <c r="AC95" s="232" t="e">
        <f t="shared" si="149"/>
        <v>#NAME?</v>
      </c>
      <c r="AD95" s="232" t="e">
        <f t="shared" si="150"/>
        <v>#NAME?</v>
      </c>
      <c r="AE95" s="232" t="e">
        <f t="shared" si="151"/>
        <v>#NAME?</v>
      </c>
      <c r="AF95">
        <v>20</v>
      </c>
      <c r="AG95" s="505" t="e">
        <f t="shared" si="119"/>
        <v>#NAME?</v>
      </c>
      <c r="AH95" s="232" t="e">
        <f t="shared" si="120"/>
        <v>#NAME?</v>
      </c>
      <c r="AI95" s="232" t="e">
        <f t="shared" si="121"/>
        <v>#NAME?</v>
      </c>
      <c r="AJ95" s="232" t="e">
        <f t="shared" si="122"/>
        <v>#NAME?</v>
      </c>
      <c r="AK95" s="232" t="e">
        <f t="shared" si="123"/>
        <v>#NAME?</v>
      </c>
      <c r="AL95" s="232" t="e">
        <f t="shared" si="152"/>
        <v>#NAME?</v>
      </c>
      <c r="AM95" s="232" t="e">
        <f t="shared" si="124"/>
        <v>#NAME?</v>
      </c>
      <c r="AN95" s="232" t="e">
        <f t="shared" si="125"/>
        <v>#NAME?</v>
      </c>
      <c r="AO95" s="232" t="e">
        <f t="shared" si="126"/>
        <v>#NAME?</v>
      </c>
      <c r="AP95" s="232" t="e">
        <f t="shared" si="162"/>
        <v>#NAME?</v>
      </c>
      <c r="AQ95" s="232" t="e">
        <f t="shared" si="127"/>
        <v>#NAME?</v>
      </c>
      <c r="AR95" s="232" t="e">
        <f t="shared" si="128"/>
        <v>#NAME?</v>
      </c>
      <c r="AS95" s="232" t="e">
        <f t="shared" si="129"/>
        <v>#NAME?</v>
      </c>
      <c r="AT95" s="232" t="e">
        <f t="shared" si="163"/>
        <v>#NAME?</v>
      </c>
      <c r="AU95" s="232" t="e">
        <f t="shared" si="130"/>
        <v>#NAME?</v>
      </c>
      <c r="AV95" s="232">
        <f t="shared" si="131"/>
        <v>0.66749999999999998</v>
      </c>
      <c r="AW95" s="292" t="e">
        <f t="shared" si="171"/>
        <v>#NAME?</v>
      </c>
      <c r="AX95" s="358" t="e">
        <f t="shared" si="132"/>
        <v>#NAME?</v>
      </c>
      <c r="AY95" s="358" t="e">
        <f t="shared" si="164"/>
        <v>#NAME?</v>
      </c>
      <c r="AZ95" s="358" t="e">
        <f t="shared" si="133"/>
        <v>#NAME?</v>
      </c>
      <c r="BA95" s="358" t="e">
        <f t="shared" si="153"/>
        <v>#NAME?</v>
      </c>
      <c r="BB95" s="358" t="e">
        <f t="shared" si="154"/>
        <v>#NAME?</v>
      </c>
      <c r="BC95" s="358" t="e">
        <f t="shared" si="155"/>
        <v>#NAME?</v>
      </c>
      <c r="BD95" s="358" t="e">
        <f t="shared" si="134"/>
        <v>#NAME?</v>
      </c>
      <c r="BE95" s="358" t="e">
        <f t="shared" si="135"/>
        <v>#NAME?</v>
      </c>
      <c r="BF95" s="358" t="e">
        <f t="shared" si="136"/>
        <v>#NAME?</v>
      </c>
      <c r="BG95" s="235" t="e">
        <f t="shared" si="165"/>
        <v>#NAME?</v>
      </c>
      <c r="BH95" s="235" t="e">
        <f t="shared" si="156"/>
        <v>#NAME?</v>
      </c>
      <c r="BI95" s="235" t="e">
        <f t="shared" si="166"/>
        <v>#NAME?</v>
      </c>
      <c r="BJ95" s="175" t="e">
        <f t="shared" si="167"/>
        <v>#NAME?</v>
      </c>
      <c r="BK95" s="233">
        <f>CHOOSE(MODE, I95*1000, 'PFM Efficiency'!BI95)</f>
        <v>133.5</v>
      </c>
      <c r="BL95" s="175">
        <v>88.627372339969995</v>
      </c>
      <c r="BM95" s="235">
        <f t="shared" si="157"/>
        <v>0.8862737233996999</v>
      </c>
      <c r="BN95" s="293" t="e">
        <f t="shared" si="137"/>
        <v>#NAME?</v>
      </c>
      <c r="BO95" s="294"/>
      <c r="BP95" s="235" t="e">
        <f t="shared" si="168"/>
        <v>#NAME?</v>
      </c>
      <c r="BQ95" s="294"/>
      <c r="BR95" s="175" t="e">
        <f t="shared" si="169"/>
        <v>#NAME?</v>
      </c>
      <c r="BS95" s="175" t="e">
        <f t="shared" si="170"/>
        <v>#NAME?</v>
      </c>
      <c r="BT95" s="175" t="e">
        <f t="shared" si="138"/>
        <v>#NAME?</v>
      </c>
      <c r="BU95" s="235"/>
      <c r="BV95" s="235"/>
      <c r="BW95" s="175" t="e">
        <f>IF(MODE=1, BJ95, 'PFM Efficiency'!BH95)</f>
        <v>#NAME?</v>
      </c>
      <c r="BX95" s="175" t="e">
        <f>IF(MODE=1, BR95, 'PFM Efficiency'!BN95)</f>
        <v>#NAME?</v>
      </c>
      <c r="BY95" s="175" t="e">
        <f>IF(MODE=1, BS95, 'PFM Efficiency'!BO95)</f>
        <v>#NAME?</v>
      </c>
      <c r="BZ95" s="175" t="e">
        <f>IF(MODE=1, BT95, 'PFM Efficiency'!BP95)</f>
        <v>#NAME?</v>
      </c>
    </row>
    <row r="96" spans="6:78" x14ac:dyDescent="0.2">
      <c r="H96" s="173">
        <v>90</v>
      </c>
      <c r="I96" s="522">
        <f t="shared" si="113"/>
        <v>0.13500000000000001</v>
      </c>
      <c r="J96" s="233" t="e">
        <f t="shared" si="114"/>
        <v>#NAME?</v>
      </c>
      <c r="K96" s="233" t="e">
        <f t="shared" si="115"/>
        <v>#NAME?</v>
      </c>
      <c r="L96" s="233" t="e">
        <f t="shared" si="116"/>
        <v>#NAME?</v>
      </c>
      <c r="M96" s="290" t="e">
        <f t="shared" si="117"/>
        <v>#NAME?</v>
      </c>
      <c r="N96" s="232" t="e">
        <f t="shared" si="158"/>
        <v>#NAME?</v>
      </c>
      <c r="O96" s="208" t="e">
        <f t="shared" si="118"/>
        <v>#NAME?</v>
      </c>
      <c r="P96" s="291" t="e">
        <f t="shared" si="139"/>
        <v>#NAME?</v>
      </c>
      <c r="Q96" s="291" t="e">
        <f t="shared" si="140"/>
        <v>#NAME?</v>
      </c>
      <c r="R96" s="291" t="e">
        <f t="shared" si="141"/>
        <v>#NAME?</v>
      </c>
      <c r="S96" s="232" t="e">
        <f t="shared" si="142"/>
        <v>#NAME?</v>
      </c>
      <c r="T96" s="232" t="e">
        <f t="shared" si="143"/>
        <v>#NAME?</v>
      </c>
      <c r="U96" s="173" t="e">
        <f t="shared" si="144"/>
        <v>#NAME?</v>
      </c>
      <c r="V96" s="232" t="e">
        <f t="shared" si="159"/>
        <v>#NAME?</v>
      </c>
      <c r="W96" s="233" t="e">
        <f t="shared" si="145"/>
        <v>#NAME?</v>
      </c>
      <c r="X96" s="232" t="e">
        <f t="shared" si="146"/>
        <v>#NAME?</v>
      </c>
      <c r="Y96" s="232" t="e">
        <f t="shared" si="160"/>
        <v>#NAME?</v>
      </c>
      <c r="Z96" s="232" t="e">
        <f t="shared" si="147"/>
        <v>#NAME?</v>
      </c>
      <c r="AA96" s="234" t="e">
        <f t="shared" si="148"/>
        <v>#NAME?</v>
      </c>
      <c r="AB96" s="234" t="e">
        <f t="shared" si="161"/>
        <v>#NAME?</v>
      </c>
      <c r="AC96" s="232" t="e">
        <f t="shared" si="149"/>
        <v>#NAME?</v>
      </c>
      <c r="AD96" s="232" t="e">
        <f t="shared" si="150"/>
        <v>#NAME?</v>
      </c>
      <c r="AE96" s="232" t="e">
        <f t="shared" si="151"/>
        <v>#NAME?</v>
      </c>
      <c r="AF96">
        <v>20</v>
      </c>
      <c r="AG96" s="505" t="e">
        <f t="shared" si="119"/>
        <v>#NAME?</v>
      </c>
      <c r="AH96" s="232" t="e">
        <f t="shared" si="120"/>
        <v>#NAME?</v>
      </c>
      <c r="AI96" s="232" t="e">
        <f t="shared" si="121"/>
        <v>#NAME?</v>
      </c>
      <c r="AJ96" s="232" t="e">
        <f t="shared" si="122"/>
        <v>#NAME?</v>
      </c>
      <c r="AK96" s="232" t="e">
        <f t="shared" si="123"/>
        <v>#NAME?</v>
      </c>
      <c r="AL96" s="232" t="e">
        <f t="shared" si="152"/>
        <v>#NAME?</v>
      </c>
      <c r="AM96" s="232" t="e">
        <f t="shared" si="124"/>
        <v>#NAME?</v>
      </c>
      <c r="AN96" s="232" t="e">
        <f t="shared" si="125"/>
        <v>#NAME?</v>
      </c>
      <c r="AO96" s="232" t="e">
        <f t="shared" si="126"/>
        <v>#NAME?</v>
      </c>
      <c r="AP96" s="232" t="e">
        <f t="shared" si="162"/>
        <v>#NAME?</v>
      </c>
      <c r="AQ96" s="232" t="e">
        <f t="shared" si="127"/>
        <v>#NAME?</v>
      </c>
      <c r="AR96" s="232" t="e">
        <f t="shared" si="128"/>
        <v>#NAME?</v>
      </c>
      <c r="AS96" s="232" t="e">
        <f t="shared" si="129"/>
        <v>#NAME?</v>
      </c>
      <c r="AT96" s="232" t="e">
        <f t="shared" si="163"/>
        <v>#NAME?</v>
      </c>
      <c r="AU96" s="232" t="e">
        <f t="shared" si="130"/>
        <v>#NAME?</v>
      </c>
      <c r="AV96" s="232">
        <f t="shared" si="131"/>
        <v>0.67500000000000004</v>
      </c>
      <c r="AW96" s="292" t="e">
        <f t="shared" si="171"/>
        <v>#NAME?</v>
      </c>
      <c r="AX96" s="358" t="e">
        <f t="shared" si="132"/>
        <v>#NAME?</v>
      </c>
      <c r="AY96" s="358" t="e">
        <f t="shared" si="164"/>
        <v>#NAME?</v>
      </c>
      <c r="AZ96" s="358" t="e">
        <f t="shared" si="133"/>
        <v>#NAME?</v>
      </c>
      <c r="BA96" s="358" t="e">
        <f t="shared" si="153"/>
        <v>#NAME?</v>
      </c>
      <c r="BB96" s="358" t="e">
        <f t="shared" si="154"/>
        <v>#NAME?</v>
      </c>
      <c r="BC96" s="358" t="e">
        <f t="shared" si="155"/>
        <v>#NAME?</v>
      </c>
      <c r="BD96" s="358" t="e">
        <f t="shared" si="134"/>
        <v>#NAME?</v>
      </c>
      <c r="BE96" s="358" t="e">
        <f t="shared" si="135"/>
        <v>#NAME?</v>
      </c>
      <c r="BF96" s="358" t="e">
        <f t="shared" si="136"/>
        <v>#NAME?</v>
      </c>
      <c r="BG96" s="235" t="e">
        <f t="shared" si="165"/>
        <v>#NAME?</v>
      </c>
      <c r="BH96" s="235" t="e">
        <f t="shared" si="156"/>
        <v>#NAME?</v>
      </c>
      <c r="BI96" s="235" t="e">
        <f t="shared" si="166"/>
        <v>#NAME?</v>
      </c>
      <c r="BJ96" s="175" t="e">
        <f t="shared" si="167"/>
        <v>#NAME?</v>
      </c>
      <c r="BK96" s="233">
        <f>CHOOSE(MODE, I96*1000, 'PFM Efficiency'!BI96)</f>
        <v>135</v>
      </c>
      <c r="BL96" s="175">
        <v>88.637603048760539</v>
      </c>
      <c r="BM96" s="235">
        <f t="shared" si="157"/>
        <v>0.88637603048760538</v>
      </c>
      <c r="BN96" s="293" t="e">
        <f t="shared" si="137"/>
        <v>#NAME?</v>
      </c>
      <c r="BO96" s="294"/>
      <c r="BP96" s="235" t="e">
        <f t="shared" si="168"/>
        <v>#NAME?</v>
      </c>
      <c r="BQ96" s="294"/>
      <c r="BR96" s="175" t="e">
        <f t="shared" si="169"/>
        <v>#NAME?</v>
      </c>
      <c r="BS96" s="175" t="e">
        <f t="shared" si="170"/>
        <v>#NAME?</v>
      </c>
      <c r="BT96" s="175" t="e">
        <f t="shared" si="138"/>
        <v>#NAME?</v>
      </c>
      <c r="BU96" s="235"/>
      <c r="BV96" s="235"/>
      <c r="BW96" s="175" t="e">
        <f>IF(MODE=1, BJ96, 'PFM Efficiency'!BH96)</f>
        <v>#NAME?</v>
      </c>
      <c r="BX96" s="175" t="e">
        <f>IF(MODE=1, BR96, 'PFM Efficiency'!BN96)</f>
        <v>#NAME?</v>
      </c>
      <c r="BY96" s="175" t="e">
        <f>IF(MODE=1, BS96, 'PFM Efficiency'!BO96)</f>
        <v>#NAME?</v>
      </c>
      <c r="BZ96" s="175" t="e">
        <f>IF(MODE=1, BT96, 'PFM Efficiency'!BP96)</f>
        <v>#NAME?</v>
      </c>
    </row>
    <row r="97" spans="8:78" x14ac:dyDescent="0.2">
      <c r="H97" s="173">
        <v>91</v>
      </c>
      <c r="I97" s="522">
        <f t="shared" si="113"/>
        <v>0.13650000000000001</v>
      </c>
      <c r="J97" s="233" t="e">
        <f t="shared" si="114"/>
        <v>#NAME?</v>
      </c>
      <c r="K97" s="233" t="e">
        <f t="shared" si="115"/>
        <v>#NAME?</v>
      </c>
      <c r="L97" s="233" t="e">
        <f t="shared" si="116"/>
        <v>#NAME?</v>
      </c>
      <c r="M97" s="290" t="e">
        <f t="shared" si="117"/>
        <v>#NAME?</v>
      </c>
      <c r="N97" s="232" t="e">
        <f t="shared" si="158"/>
        <v>#NAME?</v>
      </c>
      <c r="O97" s="208" t="e">
        <f t="shared" si="118"/>
        <v>#NAME?</v>
      </c>
      <c r="P97" s="291" t="e">
        <f t="shared" si="139"/>
        <v>#NAME?</v>
      </c>
      <c r="Q97" s="291" t="e">
        <f t="shared" si="140"/>
        <v>#NAME?</v>
      </c>
      <c r="R97" s="291" t="e">
        <f t="shared" si="141"/>
        <v>#NAME?</v>
      </c>
      <c r="S97" s="232" t="e">
        <f t="shared" si="142"/>
        <v>#NAME?</v>
      </c>
      <c r="T97" s="232" t="e">
        <f t="shared" si="143"/>
        <v>#NAME?</v>
      </c>
      <c r="U97" s="173" t="e">
        <f t="shared" si="144"/>
        <v>#NAME?</v>
      </c>
      <c r="V97" s="232" t="e">
        <f t="shared" si="159"/>
        <v>#NAME?</v>
      </c>
      <c r="W97" s="233" t="e">
        <f t="shared" si="145"/>
        <v>#NAME?</v>
      </c>
      <c r="X97" s="232" t="e">
        <f t="shared" si="146"/>
        <v>#NAME?</v>
      </c>
      <c r="Y97" s="232" t="e">
        <f t="shared" si="160"/>
        <v>#NAME?</v>
      </c>
      <c r="Z97" s="232" t="e">
        <f t="shared" si="147"/>
        <v>#NAME?</v>
      </c>
      <c r="AA97" s="234" t="e">
        <f t="shared" si="148"/>
        <v>#NAME?</v>
      </c>
      <c r="AB97" s="234" t="e">
        <f t="shared" si="161"/>
        <v>#NAME?</v>
      </c>
      <c r="AC97" s="232" t="e">
        <f t="shared" si="149"/>
        <v>#NAME?</v>
      </c>
      <c r="AD97" s="232" t="e">
        <f t="shared" si="150"/>
        <v>#NAME?</v>
      </c>
      <c r="AE97" s="232" t="e">
        <f t="shared" si="151"/>
        <v>#NAME?</v>
      </c>
      <c r="AF97">
        <v>20</v>
      </c>
      <c r="AG97" s="505" t="e">
        <f t="shared" si="119"/>
        <v>#NAME?</v>
      </c>
      <c r="AH97" s="232" t="e">
        <f t="shared" si="120"/>
        <v>#NAME?</v>
      </c>
      <c r="AI97" s="232" t="e">
        <f t="shared" si="121"/>
        <v>#NAME?</v>
      </c>
      <c r="AJ97" s="232" t="e">
        <f t="shared" si="122"/>
        <v>#NAME?</v>
      </c>
      <c r="AK97" s="232" t="e">
        <f t="shared" si="123"/>
        <v>#NAME?</v>
      </c>
      <c r="AL97" s="232" t="e">
        <f t="shared" si="152"/>
        <v>#NAME?</v>
      </c>
      <c r="AM97" s="232" t="e">
        <f t="shared" si="124"/>
        <v>#NAME?</v>
      </c>
      <c r="AN97" s="232" t="e">
        <f t="shared" si="125"/>
        <v>#NAME?</v>
      </c>
      <c r="AO97" s="232" t="e">
        <f t="shared" si="126"/>
        <v>#NAME?</v>
      </c>
      <c r="AP97" s="232" t="e">
        <f t="shared" si="162"/>
        <v>#NAME?</v>
      </c>
      <c r="AQ97" s="232" t="e">
        <f t="shared" si="127"/>
        <v>#NAME?</v>
      </c>
      <c r="AR97" s="232" t="e">
        <f t="shared" si="128"/>
        <v>#NAME?</v>
      </c>
      <c r="AS97" s="232" t="e">
        <f t="shared" si="129"/>
        <v>#NAME?</v>
      </c>
      <c r="AT97" s="232" t="e">
        <f t="shared" si="163"/>
        <v>#NAME?</v>
      </c>
      <c r="AU97" s="232" t="e">
        <f t="shared" si="130"/>
        <v>#NAME?</v>
      </c>
      <c r="AV97" s="232">
        <f t="shared" si="131"/>
        <v>0.68250000000000011</v>
      </c>
      <c r="AW97" s="292" t="e">
        <f t="shared" si="171"/>
        <v>#NAME?</v>
      </c>
      <c r="AX97" s="358" t="e">
        <f t="shared" si="132"/>
        <v>#NAME?</v>
      </c>
      <c r="AY97" s="358" t="e">
        <f t="shared" si="164"/>
        <v>#NAME?</v>
      </c>
      <c r="AZ97" s="358" t="e">
        <f t="shared" si="133"/>
        <v>#NAME?</v>
      </c>
      <c r="BA97" s="358" t="e">
        <f t="shared" si="153"/>
        <v>#NAME?</v>
      </c>
      <c r="BB97" s="358" t="e">
        <f t="shared" si="154"/>
        <v>#NAME?</v>
      </c>
      <c r="BC97" s="358" t="e">
        <f t="shared" si="155"/>
        <v>#NAME?</v>
      </c>
      <c r="BD97" s="358" t="e">
        <f t="shared" si="134"/>
        <v>#NAME?</v>
      </c>
      <c r="BE97" s="358" t="e">
        <f t="shared" si="135"/>
        <v>#NAME?</v>
      </c>
      <c r="BF97" s="358" t="e">
        <f t="shared" si="136"/>
        <v>#NAME?</v>
      </c>
      <c r="BG97" s="235" t="e">
        <f t="shared" si="165"/>
        <v>#NAME?</v>
      </c>
      <c r="BH97" s="235" t="e">
        <f t="shared" si="156"/>
        <v>#NAME?</v>
      </c>
      <c r="BI97" s="235" t="e">
        <f t="shared" si="166"/>
        <v>#NAME?</v>
      </c>
      <c r="BJ97" s="175" t="e">
        <f t="shared" si="167"/>
        <v>#NAME?</v>
      </c>
      <c r="BK97" s="233">
        <f>CHOOSE(MODE, I97*1000, 'PFM Efficiency'!BI97)</f>
        <v>136.5</v>
      </c>
      <c r="BL97" s="175">
        <v>88.647006592994998</v>
      </c>
      <c r="BM97" s="235">
        <f t="shared" si="157"/>
        <v>0.88647006592995004</v>
      </c>
      <c r="BN97" s="293" t="e">
        <f t="shared" si="137"/>
        <v>#NAME?</v>
      </c>
      <c r="BO97" s="294"/>
      <c r="BP97" s="235" t="e">
        <f t="shared" si="168"/>
        <v>#NAME?</v>
      </c>
      <c r="BQ97" s="294"/>
      <c r="BR97" s="175" t="e">
        <f t="shared" si="169"/>
        <v>#NAME?</v>
      </c>
      <c r="BS97" s="175" t="e">
        <f t="shared" si="170"/>
        <v>#NAME?</v>
      </c>
      <c r="BT97" s="175" t="e">
        <f t="shared" si="138"/>
        <v>#NAME?</v>
      </c>
      <c r="BU97" s="235"/>
      <c r="BV97" s="235"/>
      <c r="BW97" s="175" t="e">
        <f>IF(MODE=1, BJ97, 'PFM Efficiency'!BH97)</f>
        <v>#NAME?</v>
      </c>
      <c r="BX97" s="175" t="e">
        <f>IF(MODE=1, BR97, 'PFM Efficiency'!BN97)</f>
        <v>#NAME?</v>
      </c>
      <c r="BY97" s="175" t="e">
        <f>IF(MODE=1, BS97, 'PFM Efficiency'!BO97)</f>
        <v>#NAME?</v>
      </c>
      <c r="BZ97" s="175" t="e">
        <f>IF(MODE=1, BT97, 'PFM Efficiency'!BP97)</f>
        <v>#NAME?</v>
      </c>
    </row>
    <row r="98" spans="8:78" x14ac:dyDescent="0.2">
      <c r="H98" s="173">
        <v>92</v>
      </c>
      <c r="I98" s="522">
        <f t="shared" si="113"/>
        <v>0.13800000000000001</v>
      </c>
      <c r="J98" s="233" t="e">
        <f t="shared" si="114"/>
        <v>#NAME?</v>
      </c>
      <c r="K98" s="233" t="e">
        <f t="shared" si="115"/>
        <v>#NAME?</v>
      </c>
      <c r="L98" s="233" t="e">
        <f t="shared" si="116"/>
        <v>#NAME?</v>
      </c>
      <c r="M98" s="290" t="e">
        <f t="shared" si="117"/>
        <v>#NAME?</v>
      </c>
      <c r="N98" s="232" t="e">
        <f t="shared" si="158"/>
        <v>#NAME?</v>
      </c>
      <c r="O98" s="208" t="e">
        <f t="shared" si="118"/>
        <v>#NAME?</v>
      </c>
      <c r="P98" s="291" t="e">
        <f t="shared" si="139"/>
        <v>#NAME?</v>
      </c>
      <c r="Q98" s="291" t="e">
        <f t="shared" si="140"/>
        <v>#NAME?</v>
      </c>
      <c r="R98" s="291" t="e">
        <f t="shared" si="141"/>
        <v>#NAME?</v>
      </c>
      <c r="S98" s="232" t="e">
        <f t="shared" si="142"/>
        <v>#NAME?</v>
      </c>
      <c r="T98" s="232" t="e">
        <f t="shared" si="143"/>
        <v>#NAME?</v>
      </c>
      <c r="U98" s="173" t="e">
        <f t="shared" si="144"/>
        <v>#NAME?</v>
      </c>
      <c r="V98" s="232" t="e">
        <f t="shared" si="159"/>
        <v>#NAME?</v>
      </c>
      <c r="W98" s="233" t="e">
        <f t="shared" si="145"/>
        <v>#NAME?</v>
      </c>
      <c r="X98" s="232" t="e">
        <f t="shared" si="146"/>
        <v>#NAME?</v>
      </c>
      <c r="Y98" s="232" t="e">
        <f t="shared" si="160"/>
        <v>#NAME?</v>
      </c>
      <c r="Z98" s="232" t="e">
        <f t="shared" si="147"/>
        <v>#NAME?</v>
      </c>
      <c r="AA98" s="234" t="e">
        <f t="shared" si="148"/>
        <v>#NAME?</v>
      </c>
      <c r="AB98" s="234" t="e">
        <f t="shared" si="161"/>
        <v>#NAME?</v>
      </c>
      <c r="AC98" s="232" t="e">
        <f t="shared" si="149"/>
        <v>#NAME?</v>
      </c>
      <c r="AD98" s="232" t="e">
        <f t="shared" si="150"/>
        <v>#NAME?</v>
      </c>
      <c r="AE98" s="232" t="e">
        <f t="shared" si="151"/>
        <v>#NAME?</v>
      </c>
      <c r="AF98">
        <v>20</v>
      </c>
      <c r="AG98" s="505" t="e">
        <f t="shared" si="119"/>
        <v>#NAME?</v>
      </c>
      <c r="AH98" s="232" t="e">
        <f t="shared" si="120"/>
        <v>#NAME?</v>
      </c>
      <c r="AI98" s="232" t="e">
        <f t="shared" si="121"/>
        <v>#NAME?</v>
      </c>
      <c r="AJ98" s="232" t="e">
        <f t="shared" si="122"/>
        <v>#NAME?</v>
      </c>
      <c r="AK98" s="232" t="e">
        <f t="shared" si="123"/>
        <v>#NAME?</v>
      </c>
      <c r="AL98" s="232" t="e">
        <f t="shared" si="152"/>
        <v>#NAME?</v>
      </c>
      <c r="AM98" s="232" t="e">
        <f t="shared" si="124"/>
        <v>#NAME?</v>
      </c>
      <c r="AN98" s="232" t="e">
        <f t="shared" si="125"/>
        <v>#NAME?</v>
      </c>
      <c r="AO98" s="232" t="e">
        <f t="shared" si="126"/>
        <v>#NAME?</v>
      </c>
      <c r="AP98" s="232" t="e">
        <f t="shared" si="162"/>
        <v>#NAME?</v>
      </c>
      <c r="AQ98" s="232" t="e">
        <f t="shared" si="127"/>
        <v>#NAME?</v>
      </c>
      <c r="AR98" s="232" t="e">
        <f t="shared" si="128"/>
        <v>#NAME?</v>
      </c>
      <c r="AS98" s="232" t="e">
        <f t="shared" si="129"/>
        <v>#NAME?</v>
      </c>
      <c r="AT98" s="232" t="e">
        <f t="shared" si="163"/>
        <v>#NAME?</v>
      </c>
      <c r="AU98" s="232" t="e">
        <f t="shared" si="130"/>
        <v>#NAME?</v>
      </c>
      <c r="AV98" s="232">
        <f t="shared" si="131"/>
        <v>0.69000000000000006</v>
      </c>
      <c r="AW98" s="292" t="e">
        <f t="shared" si="171"/>
        <v>#NAME?</v>
      </c>
      <c r="AX98" s="358" t="e">
        <f t="shared" si="132"/>
        <v>#NAME?</v>
      </c>
      <c r="AY98" s="358" t="e">
        <f t="shared" si="164"/>
        <v>#NAME?</v>
      </c>
      <c r="AZ98" s="358" t="e">
        <f t="shared" si="133"/>
        <v>#NAME?</v>
      </c>
      <c r="BA98" s="358" t="e">
        <f t="shared" si="153"/>
        <v>#NAME?</v>
      </c>
      <c r="BB98" s="358" t="e">
        <f t="shared" si="154"/>
        <v>#NAME?</v>
      </c>
      <c r="BC98" s="358" t="e">
        <f t="shared" si="155"/>
        <v>#NAME?</v>
      </c>
      <c r="BD98" s="358" t="e">
        <f t="shared" si="134"/>
        <v>#NAME?</v>
      </c>
      <c r="BE98" s="358" t="e">
        <f t="shared" si="135"/>
        <v>#NAME?</v>
      </c>
      <c r="BF98" s="358" t="e">
        <f t="shared" si="136"/>
        <v>#NAME?</v>
      </c>
      <c r="BG98" s="235" t="e">
        <f t="shared" si="165"/>
        <v>#NAME?</v>
      </c>
      <c r="BH98" s="235" t="e">
        <f t="shared" si="156"/>
        <v>#NAME?</v>
      </c>
      <c r="BI98" s="235" t="e">
        <f t="shared" si="166"/>
        <v>#NAME?</v>
      </c>
      <c r="BJ98" s="175" t="e">
        <f t="shared" si="167"/>
        <v>#NAME?</v>
      </c>
      <c r="BK98" s="233">
        <f>CHOOSE(MODE, I98*1000, 'PFM Efficiency'!BI98)</f>
        <v>138</v>
      </c>
      <c r="BL98" s="175">
        <v>88.65560762511214</v>
      </c>
      <c r="BM98" s="235">
        <f t="shared" si="157"/>
        <v>0.88655607625112143</v>
      </c>
      <c r="BN98" s="293" t="e">
        <f t="shared" si="137"/>
        <v>#NAME?</v>
      </c>
      <c r="BO98" s="294"/>
      <c r="BP98" s="235" t="e">
        <f t="shared" si="168"/>
        <v>#NAME?</v>
      </c>
      <c r="BQ98" s="294"/>
      <c r="BR98" s="175" t="e">
        <f t="shared" si="169"/>
        <v>#NAME?</v>
      </c>
      <c r="BS98" s="175" t="e">
        <f t="shared" si="170"/>
        <v>#NAME?</v>
      </c>
      <c r="BT98" s="175" t="e">
        <f t="shared" si="138"/>
        <v>#NAME?</v>
      </c>
      <c r="BU98" s="235"/>
      <c r="BV98" s="235"/>
      <c r="BW98" s="175" t="e">
        <f>IF(MODE=1, BJ98, 'PFM Efficiency'!BH98)</f>
        <v>#NAME?</v>
      </c>
      <c r="BX98" s="175" t="e">
        <f>IF(MODE=1, BR98, 'PFM Efficiency'!BN98)</f>
        <v>#NAME?</v>
      </c>
      <c r="BY98" s="175" t="e">
        <f>IF(MODE=1, BS98, 'PFM Efficiency'!BO98)</f>
        <v>#NAME?</v>
      </c>
      <c r="BZ98" s="175" t="e">
        <f>IF(MODE=1, BT98, 'PFM Efficiency'!BP98)</f>
        <v>#NAME?</v>
      </c>
    </row>
    <row r="99" spans="8:78" x14ac:dyDescent="0.2">
      <c r="H99" s="173">
        <v>93</v>
      </c>
      <c r="I99" s="522">
        <f t="shared" si="113"/>
        <v>0.13950000000000001</v>
      </c>
      <c r="J99" s="233" t="e">
        <f t="shared" si="114"/>
        <v>#NAME?</v>
      </c>
      <c r="K99" s="233" t="e">
        <f t="shared" si="115"/>
        <v>#NAME?</v>
      </c>
      <c r="L99" s="233" t="e">
        <f t="shared" si="116"/>
        <v>#NAME?</v>
      </c>
      <c r="M99" s="290" t="e">
        <f t="shared" si="117"/>
        <v>#NAME?</v>
      </c>
      <c r="N99" s="232" t="e">
        <f t="shared" si="158"/>
        <v>#NAME?</v>
      </c>
      <c r="O99" s="208" t="e">
        <f t="shared" si="118"/>
        <v>#NAME?</v>
      </c>
      <c r="P99" s="291" t="e">
        <f t="shared" si="139"/>
        <v>#NAME?</v>
      </c>
      <c r="Q99" s="291" t="e">
        <f t="shared" si="140"/>
        <v>#NAME?</v>
      </c>
      <c r="R99" s="291" t="e">
        <f t="shared" si="141"/>
        <v>#NAME?</v>
      </c>
      <c r="S99" s="232" t="e">
        <f t="shared" si="142"/>
        <v>#NAME?</v>
      </c>
      <c r="T99" s="232" t="e">
        <f t="shared" si="143"/>
        <v>#NAME?</v>
      </c>
      <c r="U99" s="173" t="e">
        <f t="shared" si="144"/>
        <v>#NAME?</v>
      </c>
      <c r="V99" s="232" t="e">
        <f t="shared" si="159"/>
        <v>#NAME?</v>
      </c>
      <c r="W99" s="233" t="e">
        <f t="shared" si="145"/>
        <v>#NAME?</v>
      </c>
      <c r="X99" s="232" t="e">
        <f t="shared" si="146"/>
        <v>#NAME?</v>
      </c>
      <c r="Y99" s="232" t="e">
        <f t="shared" si="160"/>
        <v>#NAME?</v>
      </c>
      <c r="Z99" s="232" t="e">
        <f t="shared" si="147"/>
        <v>#NAME?</v>
      </c>
      <c r="AA99" s="234" t="e">
        <f t="shared" si="148"/>
        <v>#NAME?</v>
      </c>
      <c r="AB99" s="234" t="e">
        <f t="shared" si="161"/>
        <v>#NAME?</v>
      </c>
      <c r="AC99" s="232" t="e">
        <f t="shared" si="149"/>
        <v>#NAME?</v>
      </c>
      <c r="AD99" s="232" t="e">
        <f t="shared" si="150"/>
        <v>#NAME?</v>
      </c>
      <c r="AE99" s="232" t="e">
        <f t="shared" si="151"/>
        <v>#NAME?</v>
      </c>
      <c r="AF99">
        <v>20</v>
      </c>
      <c r="AG99" s="505" t="e">
        <f t="shared" si="119"/>
        <v>#NAME?</v>
      </c>
      <c r="AH99" s="232" t="e">
        <f t="shared" si="120"/>
        <v>#NAME?</v>
      </c>
      <c r="AI99" s="232" t="e">
        <f t="shared" si="121"/>
        <v>#NAME?</v>
      </c>
      <c r="AJ99" s="232" t="e">
        <f t="shared" si="122"/>
        <v>#NAME?</v>
      </c>
      <c r="AK99" s="232" t="e">
        <f t="shared" si="123"/>
        <v>#NAME?</v>
      </c>
      <c r="AL99" s="232" t="e">
        <f t="shared" si="152"/>
        <v>#NAME?</v>
      </c>
      <c r="AM99" s="232" t="e">
        <f t="shared" si="124"/>
        <v>#NAME?</v>
      </c>
      <c r="AN99" s="232" t="e">
        <f t="shared" si="125"/>
        <v>#NAME?</v>
      </c>
      <c r="AO99" s="232" t="e">
        <f t="shared" si="126"/>
        <v>#NAME?</v>
      </c>
      <c r="AP99" s="232" t="e">
        <f t="shared" si="162"/>
        <v>#NAME?</v>
      </c>
      <c r="AQ99" s="232" t="e">
        <f t="shared" si="127"/>
        <v>#NAME?</v>
      </c>
      <c r="AR99" s="232" t="e">
        <f t="shared" si="128"/>
        <v>#NAME?</v>
      </c>
      <c r="AS99" s="232" t="e">
        <f t="shared" si="129"/>
        <v>#NAME?</v>
      </c>
      <c r="AT99" s="232" t="e">
        <f t="shared" si="163"/>
        <v>#NAME?</v>
      </c>
      <c r="AU99" s="232" t="e">
        <f t="shared" si="130"/>
        <v>#NAME?</v>
      </c>
      <c r="AV99" s="232">
        <f t="shared" si="131"/>
        <v>0.69750000000000001</v>
      </c>
      <c r="AW99" s="292" t="e">
        <f t="shared" si="171"/>
        <v>#NAME?</v>
      </c>
      <c r="AX99" s="358" t="e">
        <f t="shared" si="132"/>
        <v>#NAME?</v>
      </c>
      <c r="AY99" s="358" t="e">
        <f t="shared" si="164"/>
        <v>#NAME?</v>
      </c>
      <c r="AZ99" s="358" t="e">
        <f t="shared" si="133"/>
        <v>#NAME?</v>
      </c>
      <c r="BA99" s="358" t="e">
        <f t="shared" si="153"/>
        <v>#NAME?</v>
      </c>
      <c r="BB99" s="358" t="e">
        <f t="shared" si="154"/>
        <v>#NAME?</v>
      </c>
      <c r="BC99" s="358" t="e">
        <f t="shared" si="155"/>
        <v>#NAME?</v>
      </c>
      <c r="BD99" s="358" t="e">
        <f t="shared" si="134"/>
        <v>#NAME?</v>
      </c>
      <c r="BE99" s="358" t="e">
        <f t="shared" si="135"/>
        <v>#NAME?</v>
      </c>
      <c r="BF99" s="358" t="e">
        <f t="shared" si="136"/>
        <v>#NAME?</v>
      </c>
      <c r="BG99" s="235" t="e">
        <f t="shared" si="165"/>
        <v>#NAME?</v>
      </c>
      <c r="BH99" s="235" t="e">
        <f t="shared" si="156"/>
        <v>#NAME?</v>
      </c>
      <c r="BI99" s="235" t="e">
        <f t="shared" si="166"/>
        <v>#NAME?</v>
      </c>
      <c r="BJ99" s="175" t="e">
        <f t="shared" si="167"/>
        <v>#NAME?</v>
      </c>
      <c r="BK99" s="233">
        <f>CHOOSE(MODE, I99*1000, 'PFM Efficiency'!BI99)</f>
        <v>139.5</v>
      </c>
      <c r="BL99" s="175">
        <v>88.663429816513059</v>
      </c>
      <c r="BM99" s="235">
        <f t="shared" si="157"/>
        <v>0.88663429816513062</v>
      </c>
      <c r="BN99" s="293" t="e">
        <f t="shared" si="137"/>
        <v>#NAME?</v>
      </c>
      <c r="BO99" s="294"/>
      <c r="BP99" s="235" t="e">
        <f t="shared" si="168"/>
        <v>#NAME?</v>
      </c>
      <c r="BQ99" s="294"/>
      <c r="BR99" s="175" t="e">
        <f t="shared" si="169"/>
        <v>#NAME?</v>
      </c>
      <c r="BS99" s="175" t="e">
        <f t="shared" si="170"/>
        <v>#NAME?</v>
      </c>
      <c r="BT99" s="175" t="e">
        <f t="shared" si="138"/>
        <v>#NAME?</v>
      </c>
      <c r="BU99" s="235"/>
      <c r="BV99" s="235"/>
      <c r="BW99" s="175" t="e">
        <f>IF(MODE=1, BJ99, 'PFM Efficiency'!BH99)</f>
        <v>#NAME?</v>
      </c>
      <c r="BX99" s="175" t="e">
        <f>IF(MODE=1, BR99, 'PFM Efficiency'!BN99)</f>
        <v>#NAME?</v>
      </c>
      <c r="BY99" s="175" t="e">
        <f>IF(MODE=1, BS99, 'PFM Efficiency'!BO99)</f>
        <v>#NAME?</v>
      </c>
      <c r="BZ99" s="175" t="e">
        <f>IF(MODE=1, BT99, 'PFM Efficiency'!BP99)</f>
        <v>#NAME?</v>
      </c>
    </row>
    <row r="100" spans="8:78" x14ac:dyDescent="0.2">
      <c r="H100" s="173">
        <v>94</v>
      </c>
      <c r="I100" s="522">
        <f t="shared" si="113"/>
        <v>0.14099999999999999</v>
      </c>
      <c r="J100" s="233" t="e">
        <f t="shared" si="114"/>
        <v>#NAME?</v>
      </c>
      <c r="K100" s="233" t="e">
        <f t="shared" si="115"/>
        <v>#NAME?</v>
      </c>
      <c r="L100" s="233" t="e">
        <f t="shared" si="116"/>
        <v>#NAME?</v>
      </c>
      <c r="M100" s="290" t="e">
        <f t="shared" si="117"/>
        <v>#NAME?</v>
      </c>
      <c r="N100" s="232" t="e">
        <f t="shared" si="158"/>
        <v>#NAME?</v>
      </c>
      <c r="O100" s="208" t="e">
        <f t="shared" si="118"/>
        <v>#NAME?</v>
      </c>
      <c r="P100" s="291" t="e">
        <f t="shared" si="139"/>
        <v>#NAME?</v>
      </c>
      <c r="Q100" s="291" t="e">
        <f t="shared" si="140"/>
        <v>#NAME?</v>
      </c>
      <c r="R100" s="291" t="e">
        <f t="shared" si="141"/>
        <v>#NAME?</v>
      </c>
      <c r="S100" s="232" t="e">
        <f t="shared" si="142"/>
        <v>#NAME?</v>
      </c>
      <c r="T100" s="232" t="e">
        <f t="shared" si="143"/>
        <v>#NAME?</v>
      </c>
      <c r="U100" s="173" t="e">
        <f t="shared" si="144"/>
        <v>#NAME?</v>
      </c>
      <c r="V100" s="232" t="e">
        <f t="shared" si="159"/>
        <v>#NAME?</v>
      </c>
      <c r="W100" s="233" t="e">
        <f t="shared" si="145"/>
        <v>#NAME?</v>
      </c>
      <c r="X100" s="232" t="e">
        <f t="shared" si="146"/>
        <v>#NAME?</v>
      </c>
      <c r="Y100" s="232" t="e">
        <f t="shared" si="160"/>
        <v>#NAME?</v>
      </c>
      <c r="Z100" s="232" t="e">
        <f t="shared" si="147"/>
        <v>#NAME?</v>
      </c>
      <c r="AA100" s="234" t="e">
        <f t="shared" si="148"/>
        <v>#NAME?</v>
      </c>
      <c r="AB100" s="234" t="e">
        <f t="shared" si="161"/>
        <v>#NAME?</v>
      </c>
      <c r="AC100" s="232" t="e">
        <f t="shared" si="149"/>
        <v>#NAME?</v>
      </c>
      <c r="AD100" s="232" t="e">
        <f t="shared" si="150"/>
        <v>#NAME?</v>
      </c>
      <c r="AE100" s="232" t="e">
        <f t="shared" si="151"/>
        <v>#NAME?</v>
      </c>
      <c r="AF100">
        <v>20</v>
      </c>
      <c r="AG100" s="505" t="e">
        <f t="shared" si="119"/>
        <v>#NAME?</v>
      </c>
      <c r="AH100" s="232" t="e">
        <f t="shared" si="120"/>
        <v>#NAME?</v>
      </c>
      <c r="AI100" s="232" t="e">
        <f t="shared" si="121"/>
        <v>#NAME?</v>
      </c>
      <c r="AJ100" s="232" t="e">
        <f t="shared" si="122"/>
        <v>#NAME?</v>
      </c>
      <c r="AK100" s="232" t="e">
        <f t="shared" si="123"/>
        <v>#NAME?</v>
      </c>
      <c r="AL100" s="232" t="e">
        <f t="shared" si="152"/>
        <v>#NAME?</v>
      </c>
      <c r="AM100" s="232" t="e">
        <f t="shared" si="124"/>
        <v>#NAME?</v>
      </c>
      <c r="AN100" s="232" t="e">
        <f t="shared" si="125"/>
        <v>#NAME?</v>
      </c>
      <c r="AO100" s="232" t="e">
        <f t="shared" si="126"/>
        <v>#NAME?</v>
      </c>
      <c r="AP100" s="232" t="e">
        <f t="shared" si="162"/>
        <v>#NAME?</v>
      </c>
      <c r="AQ100" s="232" t="e">
        <f t="shared" si="127"/>
        <v>#NAME?</v>
      </c>
      <c r="AR100" s="232" t="e">
        <f t="shared" si="128"/>
        <v>#NAME?</v>
      </c>
      <c r="AS100" s="232" t="e">
        <f t="shared" si="129"/>
        <v>#NAME?</v>
      </c>
      <c r="AT100" s="232" t="e">
        <f t="shared" si="163"/>
        <v>#NAME?</v>
      </c>
      <c r="AU100" s="232" t="e">
        <f t="shared" si="130"/>
        <v>#NAME?</v>
      </c>
      <c r="AV100" s="232">
        <f t="shared" si="131"/>
        <v>0.70499999999999996</v>
      </c>
      <c r="AW100" s="292" t="e">
        <f t="shared" si="171"/>
        <v>#NAME?</v>
      </c>
      <c r="AX100" s="358" t="e">
        <f t="shared" si="132"/>
        <v>#NAME?</v>
      </c>
      <c r="AY100" s="358" t="e">
        <f t="shared" si="164"/>
        <v>#NAME?</v>
      </c>
      <c r="AZ100" s="358" t="e">
        <f t="shared" si="133"/>
        <v>#NAME?</v>
      </c>
      <c r="BA100" s="358" t="e">
        <f t="shared" si="153"/>
        <v>#NAME?</v>
      </c>
      <c r="BB100" s="358" t="e">
        <f t="shared" si="154"/>
        <v>#NAME?</v>
      </c>
      <c r="BC100" s="358" t="e">
        <f t="shared" si="155"/>
        <v>#NAME?</v>
      </c>
      <c r="BD100" s="358" t="e">
        <f t="shared" si="134"/>
        <v>#NAME?</v>
      </c>
      <c r="BE100" s="358" t="e">
        <f t="shared" si="135"/>
        <v>#NAME?</v>
      </c>
      <c r="BF100" s="358" t="e">
        <f t="shared" si="136"/>
        <v>#NAME?</v>
      </c>
      <c r="BG100" s="235" t="e">
        <f t="shared" si="165"/>
        <v>#NAME?</v>
      </c>
      <c r="BH100" s="235" t="e">
        <f t="shared" si="156"/>
        <v>#NAME?</v>
      </c>
      <c r="BI100" s="235" t="e">
        <f t="shared" si="166"/>
        <v>#NAME?</v>
      </c>
      <c r="BJ100" s="175" t="e">
        <f t="shared" si="167"/>
        <v>#NAME?</v>
      </c>
      <c r="BK100" s="233">
        <f>CHOOSE(MODE, I100*1000, 'PFM Efficiency'!BI100)</f>
        <v>141</v>
      </c>
      <c r="BL100" s="175">
        <v>88.670495906660364</v>
      </c>
      <c r="BM100" s="235">
        <f t="shared" si="157"/>
        <v>0.88670495906660363</v>
      </c>
      <c r="BN100" s="293" t="e">
        <f t="shared" si="137"/>
        <v>#NAME?</v>
      </c>
      <c r="BO100" s="294"/>
      <c r="BP100" s="235" t="e">
        <f t="shared" si="168"/>
        <v>#NAME?</v>
      </c>
      <c r="BQ100" s="294"/>
      <c r="BR100" s="175" t="e">
        <f t="shared" si="169"/>
        <v>#NAME?</v>
      </c>
      <c r="BS100" s="175" t="e">
        <f t="shared" si="170"/>
        <v>#NAME?</v>
      </c>
      <c r="BT100" s="175" t="e">
        <f t="shared" si="138"/>
        <v>#NAME?</v>
      </c>
      <c r="BU100" s="235"/>
      <c r="BV100" s="235"/>
      <c r="BW100" s="175" t="e">
        <f>IF(MODE=1, BJ100, 'PFM Efficiency'!BH100)</f>
        <v>#NAME?</v>
      </c>
      <c r="BX100" s="175" t="e">
        <f>IF(MODE=1, BR100, 'PFM Efficiency'!BN100)</f>
        <v>#NAME?</v>
      </c>
      <c r="BY100" s="175" t="e">
        <f>IF(MODE=1, BS100, 'PFM Efficiency'!BO100)</f>
        <v>#NAME?</v>
      </c>
      <c r="BZ100" s="175" t="e">
        <f>IF(MODE=1, BT100, 'PFM Efficiency'!BP100)</f>
        <v>#NAME?</v>
      </c>
    </row>
    <row r="101" spans="8:78" x14ac:dyDescent="0.2">
      <c r="H101" s="173">
        <v>95</v>
      </c>
      <c r="I101" s="522">
        <f t="shared" si="113"/>
        <v>0.14249999999999999</v>
      </c>
      <c r="J101" s="233" t="e">
        <f t="shared" si="114"/>
        <v>#NAME?</v>
      </c>
      <c r="K101" s="233" t="e">
        <f t="shared" si="115"/>
        <v>#NAME?</v>
      </c>
      <c r="L101" s="233" t="e">
        <f t="shared" si="116"/>
        <v>#NAME?</v>
      </c>
      <c r="M101" s="290" t="e">
        <f t="shared" si="117"/>
        <v>#NAME?</v>
      </c>
      <c r="N101" s="232" t="e">
        <f t="shared" si="158"/>
        <v>#NAME?</v>
      </c>
      <c r="O101" s="208" t="e">
        <f t="shared" si="118"/>
        <v>#NAME?</v>
      </c>
      <c r="P101" s="291" t="e">
        <f t="shared" si="139"/>
        <v>#NAME?</v>
      </c>
      <c r="Q101" s="291" t="e">
        <f t="shared" si="140"/>
        <v>#NAME?</v>
      </c>
      <c r="R101" s="291" t="e">
        <f t="shared" si="141"/>
        <v>#NAME?</v>
      </c>
      <c r="S101" s="232" t="e">
        <f t="shared" si="142"/>
        <v>#NAME?</v>
      </c>
      <c r="T101" s="232" t="e">
        <f t="shared" si="143"/>
        <v>#NAME?</v>
      </c>
      <c r="U101" s="173" t="e">
        <f t="shared" si="144"/>
        <v>#NAME?</v>
      </c>
      <c r="V101" s="232" t="e">
        <f t="shared" si="159"/>
        <v>#NAME?</v>
      </c>
      <c r="W101" s="233" t="e">
        <f t="shared" si="145"/>
        <v>#NAME?</v>
      </c>
      <c r="X101" s="232" t="e">
        <f t="shared" si="146"/>
        <v>#NAME?</v>
      </c>
      <c r="Y101" s="232" t="e">
        <f t="shared" si="160"/>
        <v>#NAME?</v>
      </c>
      <c r="Z101" s="232" t="e">
        <f t="shared" si="147"/>
        <v>#NAME?</v>
      </c>
      <c r="AA101" s="234" t="e">
        <f t="shared" si="148"/>
        <v>#NAME?</v>
      </c>
      <c r="AB101" s="234" t="e">
        <f t="shared" si="161"/>
        <v>#NAME?</v>
      </c>
      <c r="AC101" s="232" t="e">
        <f t="shared" si="149"/>
        <v>#NAME?</v>
      </c>
      <c r="AD101" s="232" t="e">
        <f t="shared" si="150"/>
        <v>#NAME?</v>
      </c>
      <c r="AE101" s="232" t="e">
        <f t="shared" si="151"/>
        <v>#NAME?</v>
      </c>
      <c r="AF101">
        <v>20</v>
      </c>
      <c r="AG101" s="505" t="e">
        <f t="shared" si="119"/>
        <v>#NAME?</v>
      </c>
      <c r="AH101" s="232" t="e">
        <f t="shared" si="120"/>
        <v>#NAME?</v>
      </c>
      <c r="AI101" s="232" t="e">
        <f t="shared" si="121"/>
        <v>#NAME?</v>
      </c>
      <c r="AJ101" s="232" t="e">
        <f t="shared" si="122"/>
        <v>#NAME?</v>
      </c>
      <c r="AK101" s="232" t="e">
        <f t="shared" si="123"/>
        <v>#NAME?</v>
      </c>
      <c r="AL101" s="232" t="e">
        <f t="shared" si="152"/>
        <v>#NAME?</v>
      </c>
      <c r="AM101" s="232" t="e">
        <f t="shared" si="124"/>
        <v>#NAME?</v>
      </c>
      <c r="AN101" s="232" t="e">
        <f t="shared" si="125"/>
        <v>#NAME?</v>
      </c>
      <c r="AO101" s="232" t="e">
        <f t="shared" si="126"/>
        <v>#NAME?</v>
      </c>
      <c r="AP101" s="232" t="e">
        <f t="shared" si="162"/>
        <v>#NAME?</v>
      </c>
      <c r="AQ101" s="232" t="e">
        <f t="shared" si="127"/>
        <v>#NAME?</v>
      </c>
      <c r="AR101" s="232" t="e">
        <f t="shared" si="128"/>
        <v>#NAME?</v>
      </c>
      <c r="AS101" s="232" t="e">
        <f t="shared" si="129"/>
        <v>#NAME?</v>
      </c>
      <c r="AT101" s="232" t="e">
        <f t="shared" si="163"/>
        <v>#NAME?</v>
      </c>
      <c r="AU101" s="232" t="e">
        <f t="shared" si="130"/>
        <v>#NAME?</v>
      </c>
      <c r="AV101" s="232">
        <f t="shared" si="131"/>
        <v>0.71249999999999991</v>
      </c>
      <c r="AW101" s="292" t="e">
        <f t="shared" si="171"/>
        <v>#NAME?</v>
      </c>
      <c r="AX101" s="358" t="e">
        <f t="shared" si="132"/>
        <v>#NAME?</v>
      </c>
      <c r="AY101" s="358" t="e">
        <f t="shared" si="164"/>
        <v>#NAME?</v>
      </c>
      <c r="AZ101" s="358" t="e">
        <f t="shared" si="133"/>
        <v>#NAME?</v>
      </c>
      <c r="BA101" s="358" t="e">
        <f t="shared" si="153"/>
        <v>#NAME?</v>
      </c>
      <c r="BB101" s="358" t="e">
        <f t="shared" si="154"/>
        <v>#NAME?</v>
      </c>
      <c r="BC101" s="358" t="e">
        <f t="shared" si="155"/>
        <v>#NAME?</v>
      </c>
      <c r="BD101" s="358" t="e">
        <f t="shared" si="134"/>
        <v>#NAME?</v>
      </c>
      <c r="BE101" s="358" t="e">
        <f t="shared" si="135"/>
        <v>#NAME?</v>
      </c>
      <c r="BF101" s="358" t="e">
        <f t="shared" si="136"/>
        <v>#NAME?</v>
      </c>
      <c r="BG101" s="235" t="e">
        <f t="shared" si="165"/>
        <v>#NAME?</v>
      </c>
      <c r="BH101" s="235" t="e">
        <f t="shared" si="156"/>
        <v>#NAME?</v>
      </c>
      <c r="BI101" s="235" t="e">
        <f t="shared" si="166"/>
        <v>#NAME?</v>
      </c>
      <c r="BJ101" s="175" t="e">
        <f t="shared" si="167"/>
        <v>#NAME?</v>
      </c>
      <c r="BK101" s="233">
        <f>CHOOSE(MODE, I101*1000, 'PFM Efficiency'!BI101)</f>
        <v>142.5</v>
      </c>
      <c r="BL101" s="175">
        <v>88.676827749227442</v>
      </c>
      <c r="BM101" s="235">
        <f t="shared" si="157"/>
        <v>0.88676827749227438</v>
      </c>
      <c r="BN101" s="293" t="e">
        <f t="shared" si="137"/>
        <v>#NAME?</v>
      </c>
      <c r="BO101" s="294"/>
      <c r="BP101" s="235" t="e">
        <f t="shared" si="168"/>
        <v>#NAME?</v>
      </c>
      <c r="BQ101" s="294"/>
      <c r="BR101" s="175" t="e">
        <f t="shared" si="169"/>
        <v>#NAME?</v>
      </c>
      <c r="BS101" s="175" t="e">
        <f t="shared" si="170"/>
        <v>#NAME?</v>
      </c>
      <c r="BT101" s="175" t="e">
        <f t="shared" si="138"/>
        <v>#NAME?</v>
      </c>
      <c r="BU101" s="235"/>
      <c r="BV101" s="235"/>
      <c r="BW101" s="175" t="e">
        <f>IF(MODE=1, BJ101, 'PFM Efficiency'!BH101)</f>
        <v>#NAME?</v>
      </c>
      <c r="BX101" s="175" t="e">
        <f>IF(MODE=1, BR101, 'PFM Efficiency'!BN101)</f>
        <v>#NAME?</v>
      </c>
      <c r="BY101" s="175" t="e">
        <f>IF(MODE=1, BS101, 'PFM Efficiency'!BO101)</f>
        <v>#NAME?</v>
      </c>
      <c r="BZ101" s="175" t="e">
        <f>IF(MODE=1, BT101, 'PFM Efficiency'!BP101)</f>
        <v>#NAME?</v>
      </c>
    </row>
    <row r="102" spans="8:78" x14ac:dyDescent="0.2">
      <c r="H102" s="173">
        <v>96</v>
      </c>
      <c r="I102" s="522">
        <f t="shared" ref="I102:I106" si="172">IF(PLOT_TYPE=1, H102/100*Iout_maxload_COT, min_I*EXP(H102*rr/100))</f>
        <v>0.14399999999999999</v>
      </c>
      <c r="J102" s="233" t="e">
        <f t="shared" ref="J102:J106" si="173">IF(I102&lt;Icrit, (Vin-(Rdcr+RdsonTop)*Iripple/2-Vout)/L*OnTime, (Vin-(Rdcr+RdsonTop)*I102-Vout)/L*OnTime)</f>
        <v>#NAME?</v>
      </c>
      <c r="K102" s="233" t="e">
        <f t="shared" ref="K102:K106" si="174">IF(I102&lt;Icrit, (Vin-(Rdcr+RdsonTop)*Iripple/2-Vout)/L*OnTime, I102+((Vin-(Rdcr+RdsonTop)*J102-Vout)/L*OnTime)/2)</f>
        <v>#NAME?</v>
      </c>
      <c r="L102" s="233" t="e">
        <f t="shared" ref="L102:L106" si="175">IF(I102&lt;Icrit, 0, I102-((Vin-(Rdcr+RdsonTop)*K102-Vout)/L*OnTime)/2)</f>
        <v>#NAME?</v>
      </c>
      <c r="M102" s="290" t="e">
        <f t="shared" si="117"/>
        <v>#NAME?</v>
      </c>
      <c r="N102" s="232" t="e">
        <f t="shared" si="158"/>
        <v>#NAME?</v>
      </c>
      <c r="O102" s="208" t="e">
        <f t="shared" si="118"/>
        <v>#NAME?</v>
      </c>
      <c r="P102" s="291" t="e">
        <f t="shared" si="139"/>
        <v>#NAME?</v>
      </c>
      <c r="Q102" s="291" t="e">
        <f t="shared" si="140"/>
        <v>#NAME?</v>
      </c>
      <c r="R102" s="291" t="e">
        <f t="shared" si="141"/>
        <v>#NAME?</v>
      </c>
      <c r="S102" s="232" t="e">
        <f t="shared" si="142"/>
        <v>#NAME?</v>
      </c>
      <c r="T102" s="232" t="e">
        <f t="shared" si="143"/>
        <v>#NAME?</v>
      </c>
      <c r="U102" s="173" t="e">
        <f t="shared" si="144"/>
        <v>#NAME?</v>
      </c>
      <c r="V102" s="232" t="e">
        <f t="shared" si="159"/>
        <v>#NAME?</v>
      </c>
      <c r="W102" s="233" t="e">
        <f t="shared" si="145"/>
        <v>#NAME?</v>
      </c>
      <c r="X102" s="232" t="e">
        <f t="shared" si="146"/>
        <v>#NAME?</v>
      </c>
      <c r="Y102" s="232" t="e">
        <f t="shared" si="160"/>
        <v>#NAME?</v>
      </c>
      <c r="Z102" s="232" t="e">
        <f t="shared" si="147"/>
        <v>#NAME?</v>
      </c>
      <c r="AA102" s="234" t="e">
        <f t="shared" si="148"/>
        <v>#NAME?</v>
      </c>
      <c r="AB102" s="234" t="e">
        <f t="shared" si="161"/>
        <v>#NAME?</v>
      </c>
      <c r="AC102" s="232" t="e">
        <f t="shared" si="149"/>
        <v>#NAME?</v>
      </c>
      <c r="AD102" s="232" t="e">
        <f t="shared" si="150"/>
        <v>#NAME?</v>
      </c>
      <c r="AE102" s="232" t="e">
        <f t="shared" si="151"/>
        <v>#NAME?</v>
      </c>
      <c r="AF102">
        <v>20</v>
      </c>
      <c r="AG102" s="505" t="e">
        <f t="shared" si="119"/>
        <v>#NAME?</v>
      </c>
      <c r="AH102" s="232" t="e">
        <f t="shared" ref="AH102:AH106" si="176">IF(I102&lt;Icrit, Vin*(I102+Iripple/2)*AG102/1000000000/2*O102, Vin*(I102-Iripple/2)*AF102/1000000000/2*O102+Vin*(I102+Iripple/2)*AG102/1000000000/2*O102)</f>
        <v>#NAME?</v>
      </c>
      <c r="AI102" s="232" t="e">
        <f t="shared" si="121"/>
        <v>#NAME?</v>
      </c>
      <c r="AJ102" s="232" t="e">
        <f t="shared" ref="AJ102:AJ106" si="177">AD102+AH102+AI102</f>
        <v>#NAME?</v>
      </c>
      <c r="AK102" s="232" t="e">
        <f t="shared" si="123"/>
        <v>#NAME?</v>
      </c>
      <c r="AL102" s="232" t="e">
        <f t="shared" si="152"/>
        <v>#NAME?</v>
      </c>
      <c r="AM102" s="232" t="e">
        <f t="shared" si="124"/>
        <v>#NAME?</v>
      </c>
      <c r="AN102" s="232" t="e">
        <f t="shared" si="125"/>
        <v>#NAME?</v>
      </c>
      <c r="AO102" s="232" t="e">
        <f t="shared" si="126"/>
        <v>#NAME?</v>
      </c>
      <c r="AP102" s="232" t="e">
        <f t="shared" si="162"/>
        <v>#NAME?</v>
      </c>
      <c r="AQ102" s="232" t="e">
        <f t="shared" si="127"/>
        <v>#NAME?</v>
      </c>
      <c r="AR102" s="232" t="e">
        <f t="shared" ref="AR102:AR106" si="178">(Vin-Vdd)*(O102*QgBot+O102*QgTop)+AQ102</f>
        <v>#NAME?</v>
      </c>
      <c r="AS102" s="232" t="e">
        <f t="shared" si="129"/>
        <v>#NAME?</v>
      </c>
      <c r="AT102" s="232" t="e">
        <f t="shared" si="163"/>
        <v>#NAME?</v>
      </c>
      <c r="AU102" s="232" t="e">
        <f t="shared" ref="AU102:AU106" si="179">SUM(V102,Y102,AB102,AT102)</f>
        <v>#NAME?</v>
      </c>
      <c r="AV102" s="232">
        <f t="shared" si="131"/>
        <v>0.72</v>
      </c>
      <c r="AW102" s="292" t="e">
        <f t="shared" si="171"/>
        <v>#NAME?</v>
      </c>
      <c r="AX102" s="358" t="e">
        <f t="shared" si="132"/>
        <v>#NAME?</v>
      </c>
      <c r="AY102" s="358" t="e">
        <f t="shared" si="164"/>
        <v>#NAME?</v>
      </c>
      <c r="AZ102" s="358" t="e">
        <f t="shared" si="133"/>
        <v>#NAME?</v>
      </c>
      <c r="BA102" s="358" t="e">
        <f t="shared" si="153"/>
        <v>#NAME?</v>
      </c>
      <c r="BB102" s="358" t="e">
        <f t="shared" si="154"/>
        <v>#NAME?</v>
      </c>
      <c r="BC102" s="358" t="e">
        <f t="shared" si="155"/>
        <v>#NAME?</v>
      </c>
      <c r="BD102" s="358" t="e">
        <f t="shared" si="134"/>
        <v>#NAME?</v>
      </c>
      <c r="BE102" s="358" t="e">
        <f t="shared" si="135"/>
        <v>#NAME?</v>
      </c>
      <c r="BF102" s="358" t="e">
        <f t="shared" si="136"/>
        <v>#NAME?</v>
      </c>
      <c r="BG102" s="235" t="e">
        <f t="shared" si="165"/>
        <v>#NAME?</v>
      </c>
      <c r="BH102" s="235" t="e">
        <f t="shared" si="156"/>
        <v>#NAME?</v>
      </c>
      <c r="BI102" s="235" t="e">
        <f t="shared" si="166"/>
        <v>#NAME?</v>
      </c>
      <c r="BJ102" s="175" t="e">
        <f t="shared" si="167"/>
        <v>#NAME?</v>
      </c>
      <c r="BK102" s="233">
        <f>CHOOSE(MODE, I102*1000, 'PFM Efficiency'!BI102)</f>
        <v>144</v>
      </c>
      <c r="BL102" s="175">
        <v>88.682446355503387</v>
      </c>
      <c r="BM102" s="235">
        <f t="shared" si="157"/>
        <v>0.88682446355503386</v>
      </c>
      <c r="BN102" s="293" t="e">
        <f t="shared" si="137"/>
        <v>#NAME?</v>
      </c>
      <c r="BO102" s="294"/>
      <c r="BP102" s="235" t="e">
        <f t="shared" si="168"/>
        <v>#NAME?</v>
      </c>
      <c r="BQ102" s="294"/>
      <c r="BR102" s="175" t="e">
        <f t="shared" si="169"/>
        <v>#NAME?</v>
      </c>
      <c r="BS102" s="175" t="e">
        <f t="shared" si="170"/>
        <v>#NAME?</v>
      </c>
      <c r="BT102" s="175" t="e">
        <f t="shared" si="138"/>
        <v>#NAME?</v>
      </c>
      <c r="BU102" s="235"/>
      <c r="BV102" s="235"/>
      <c r="BW102" s="175" t="e">
        <f>IF(MODE=1, BJ102, 'PFM Efficiency'!BH102)</f>
        <v>#NAME?</v>
      </c>
      <c r="BX102" s="175" t="e">
        <f>IF(MODE=1, BR102, 'PFM Efficiency'!BN102)</f>
        <v>#NAME?</v>
      </c>
      <c r="BY102" s="175" t="e">
        <f>IF(MODE=1, BS102, 'PFM Efficiency'!BO102)</f>
        <v>#NAME?</v>
      </c>
      <c r="BZ102" s="175" t="e">
        <f>IF(MODE=1, BT102, 'PFM Efficiency'!BP102)</f>
        <v>#NAME?</v>
      </c>
    </row>
    <row r="103" spans="8:78" x14ac:dyDescent="0.2">
      <c r="H103" s="173">
        <v>97</v>
      </c>
      <c r="I103" s="522">
        <f t="shared" si="172"/>
        <v>0.14549999999999999</v>
      </c>
      <c r="J103" s="233" t="e">
        <f t="shared" si="173"/>
        <v>#NAME?</v>
      </c>
      <c r="K103" s="233" t="e">
        <f t="shared" si="174"/>
        <v>#NAME?</v>
      </c>
      <c r="L103" s="233" t="e">
        <f t="shared" si="175"/>
        <v>#NAME?</v>
      </c>
      <c r="M103" s="290" t="e">
        <f t="shared" si="117"/>
        <v>#NAME?</v>
      </c>
      <c r="N103" s="232" t="e">
        <f t="shared" si="158"/>
        <v>#NAME?</v>
      </c>
      <c r="O103" s="208" t="e">
        <f t="shared" si="118"/>
        <v>#NAME?</v>
      </c>
      <c r="P103" s="291" t="e">
        <f>IF(1/O103-OnTime-M103&gt;Tsleep, OnTime+M103+Tsleep, 1/O103)</f>
        <v>#NAME?</v>
      </c>
      <c r="Q103" s="291" t="e">
        <f t="shared" si="140"/>
        <v>#NAME?</v>
      </c>
      <c r="R103" s="291" t="e">
        <f>P103*O103*Iq_active+Q103*O103*Iq_sleep</f>
        <v>#NAME?</v>
      </c>
      <c r="S103" s="232" t="e">
        <f t="shared" si="142"/>
        <v>#NAME?</v>
      </c>
      <c r="T103" s="232" t="e">
        <f t="shared" si="143"/>
        <v>#NAME?</v>
      </c>
      <c r="U103" s="173" t="e">
        <f t="shared" si="144"/>
        <v>#NAME?</v>
      </c>
      <c r="V103" s="232" t="e">
        <f t="shared" si="159"/>
        <v>#NAME?</v>
      </c>
      <c r="W103" s="233" t="e">
        <f t="shared" si="145"/>
        <v>#NAME?</v>
      </c>
      <c r="X103" s="232" t="e">
        <f t="shared" si="146"/>
        <v>#NAME?</v>
      </c>
      <c r="Y103" s="232" t="e">
        <f t="shared" si="160"/>
        <v>#NAME?</v>
      </c>
      <c r="Z103" s="232" t="e">
        <f t="shared" si="147"/>
        <v>#NAME?</v>
      </c>
      <c r="AA103" s="234" t="e">
        <f t="shared" si="148"/>
        <v>#NAME?</v>
      </c>
      <c r="AB103" s="234" t="e">
        <f t="shared" si="161"/>
        <v>#NAME?</v>
      </c>
      <c r="AC103" s="232" t="e">
        <f t="shared" si="149"/>
        <v>#NAME?</v>
      </c>
      <c r="AD103" s="232" t="e">
        <f>RdsonTop*AC103^2</f>
        <v>#NAME?</v>
      </c>
      <c r="AE103" s="232" t="e">
        <f t="shared" si="151"/>
        <v>#NAME?</v>
      </c>
      <c r="AF103">
        <v>20</v>
      </c>
      <c r="AG103" s="505" t="e">
        <f t="shared" si="119"/>
        <v>#NAME?</v>
      </c>
      <c r="AH103" s="232" t="e">
        <f t="shared" si="176"/>
        <v>#NAME?</v>
      </c>
      <c r="AI103" s="232" t="e">
        <f t="shared" si="121"/>
        <v>#NAME?</v>
      </c>
      <c r="AJ103" s="232" t="e">
        <f t="shared" si="177"/>
        <v>#NAME?</v>
      </c>
      <c r="AK103" s="232" t="e">
        <f t="shared" si="123"/>
        <v>#NAME?</v>
      </c>
      <c r="AL103" s="232" t="e">
        <f>RdsonBot*AK103^2</f>
        <v>#NAME?</v>
      </c>
      <c r="AM103" s="232" t="e">
        <f t="shared" si="124"/>
        <v>#NAME?</v>
      </c>
      <c r="AN103" s="232" t="e">
        <f t="shared" si="125"/>
        <v>#NAME?</v>
      </c>
      <c r="AO103" s="232" t="e">
        <f t="shared" si="126"/>
        <v>#NAME?</v>
      </c>
      <c r="AP103" s="232" t="e">
        <f t="shared" si="162"/>
        <v>#NAME?</v>
      </c>
      <c r="AQ103" s="232" t="e">
        <f t="shared" si="127"/>
        <v>#NAME?</v>
      </c>
      <c r="AR103" s="232" t="e">
        <f t="shared" si="178"/>
        <v>#NAME?</v>
      </c>
      <c r="AS103" s="232" t="e">
        <f t="shared" si="129"/>
        <v>#NAME?</v>
      </c>
      <c r="AT103" s="232" t="e">
        <f t="shared" si="163"/>
        <v>#NAME?</v>
      </c>
      <c r="AU103" s="232" t="e">
        <f t="shared" si="179"/>
        <v>#NAME?</v>
      </c>
      <c r="AV103" s="232">
        <f t="shared" si="131"/>
        <v>0.72749999999999992</v>
      </c>
      <c r="AW103" s="292" t="e">
        <f t="shared" si="171"/>
        <v>#NAME?</v>
      </c>
      <c r="AX103" s="358" t="e">
        <f t="shared" si="132"/>
        <v>#NAME?</v>
      </c>
      <c r="AY103" s="358" t="e">
        <f t="shared" si="164"/>
        <v>#NAME?</v>
      </c>
      <c r="AZ103" s="358" t="e">
        <f t="shared" si="133"/>
        <v>#NAME?</v>
      </c>
      <c r="BA103" s="358" t="e">
        <f t="shared" si="153"/>
        <v>#NAME?</v>
      </c>
      <c r="BB103" s="358" t="e">
        <f t="shared" si="154"/>
        <v>#NAME?</v>
      </c>
      <c r="BC103" s="358" t="e">
        <f t="shared" si="155"/>
        <v>#NAME?</v>
      </c>
      <c r="BD103" s="358" t="e">
        <f t="shared" si="134"/>
        <v>#NAME?</v>
      </c>
      <c r="BE103" s="358" t="e">
        <f t="shared" si="135"/>
        <v>#NAME?</v>
      </c>
      <c r="BF103" s="358" t="e">
        <f t="shared" si="136"/>
        <v>#NAME?</v>
      </c>
      <c r="BG103" s="235" t="e">
        <f t="shared" si="165"/>
        <v>#NAME?</v>
      </c>
      <c r="BH103" s="235" t="e">
        <f t="shared" si="156"/>
        <v>#NAME?</v>
      </c>
      <c r="BI103" s="235" t="e">
        <f t="shared" si="166"/>
        <v>#NAME?</v>
      </c>
      <c r="BJ103" s="175" t="e">
        <f t="shared" si="167"/>
        <v>#NAME?</v>
      </c>
      <c r="BK103" s="233">
        <f>CHOOSE(MODE, I103*1000, 'PFM Efficiency'!BI103)</f>
        <v>145.5</v>
      </c>
      <c r="BL103" s="175">
        <v>88.687371935243902</v>
      </c>
      <c r="BM103" s="235">
        <f t="shared" si="157"/>
        <v>0.88687371935243897</v>
      </c>
      <c r="BN103" s="293" t="e">
        <f t="shared" si="137"/>
        <v>#NAME?</v>
      </c>
      <c r="BO103" s="294"/>
      <c r="BP103" s="235" t="e">
        <f t="shared" si="168"/>
        <v>#NAME?</v>
      </c>
      <c r="BQ103" s="294"/>
      <c r="BR103" s="175" t="e">
        <f t="shared" si="169"/>
        <v>#NAME?</v>
      </c>
      <c r="BS103" s="175" t="e">
        <f t="shared" si="170"/>
        <v>#NAME?</v>
      </c>
      <c r="BT103" s="175" t="e">
        <f t="shared" si="138"/>
        <v>#NAME?</v>
      </c>
      <c r="BU103" s="235"/>
      <c r="BV103" s="235"/>
      <c r="BW103" s="175" t="e">
        <f>IF(MODE=1, BJ103, 'PFM Efficiency'!BH103)</f>
        <v>#NAME?</v>
      </c>
      <c r="BX103" s="175" t="e">
        <f>IF(MODE=1, BR103, 'PFM Efficiency'!BN103)</f>
        <v>#NAME?</v>
      </c>
      <c r="BY103" s="175" t="e">
        <f>IF(MODE=1, BS103, 'PFM Efficiency'!BO103)</f>
        <v>#NAME?</v>
      </c>
      <c r="BZ103" s="175" t="e">
        <f>IF(MODE=1, BT103, 'PFM Efficiency'!BP103)</f>
        <v>#NAME?</v>
      </c>
    </row>
    <row r="104" spans="8:78" x14ac:dyDescent="0.2">
      <c r="H104" s="173">
        <v>98</v>
      </c>
      <c r="I104" s="522">
        <f t="shared" si="172"/>
        <v>0.14699999999999999</v>
      </c>
      <c r="J104" s="233" t="e">
        <f t="shared" si="173"/>
        <v>#NAME?</v>
      </c>
      <c r="K104" s="233" t="e">
        <f t="shared" si="174"/>
        <v>#NAME?</v>
      </c>
      <c r="L104" s="233" t="e">
        <f t="shared" si="175"/>
        <v>#NAME?</v>
      </c>
      <c r="M104" s="290" t="e">
        <f t="shared" si="117"/>
        <v>#NAME?</v>
      </c>
      <c r="N104" s="232" t="e">
        <f t="shared" si="158"/>
        <v>#NAME?</v>
      </c>
      <c r="O104" s="208" t="e">
        <f t="shared" si="118"/>
        <v>#NAME?</v>
      </c>
      <c r="P104" s="291" t="e">
        <f>IF(1/O104-OnTime-M104&gt;Tsleep, OnTime+M104+Tsleep, 1/O104)</f>
        <v>#NAME?</v>
      </c>
      <c r="Q104" s="291" t="e">
        <f t="shared" si="140"/>
        <v>#NAME?</v>
      </c>
      <c r="R104" s="291" t="e">
        <f>P104*O104*Iq_active+Q104*O104*Iq_sleep</f>
        <v>#NAME?</v>
      </c>
      <c r="S104" s="232" t="e">
        <f t="shared" si="142"/>
        <v>#NAME?</v>
      </c>
      <c r="T104" s="232" t="e">
        <f t="shared" si="143"/>
        <v>#NAME?</v>
      </c>
      <c r="U104" s="173" t="e">
        <f t="shared" si="144"/>
        <v>#NAME?</v>
      </c>
      <c r="V104" s="232" t="e">
        <f t="shared" si="159"/>
        <v>#NAME?</v>
      </c>
      <c r="W104" s="233" t="e">
        <f t="shared" si="145"/>
        <v>#NAME?</v>
      </c>
      <c r="X104" s="232" t="e">
        <f t="shared" si="146"/>
        <v>#NAME?</v>
      </c>
      <c r="Y104" s="232" t="e">
        <f t="shared" si="160"/>
        <v>#NAME?</v>
      </c>
      <c r="Z104" s="232" t="e">
        <f t="shared" si="147"/>
        <v>#NAME?</v>
      </c>
      <c r="AA104" s="234" t="e">
        <f t="shared" si="148"/>
        <v>#NAME?</v>
      </c>
      <c r="AB104" s="234" t="e">
        <f t="shared" si="161"/>
        <v>#NAME?</v>
      </c>
      <c r="AC104" s="232" t="e">
        <f t="shared" si="149"/>
        <v>#NAME?</v>
      </c>
      <c r="AD104" s="232" t="e">
        <f>RdsonTop*AC104^2</f>
        <v>#NAME?</v>
      </c>
      <c r="AE104" s="232" t="e">
        <f t="shared" si="151"/>
        <v>#NAME?</v>
      </c>
      <c r="AF104">
        <v>20</v>
      </c>
      <c r="AG104" s="505" t="e">
        <f t="shared" si="119"/>
        <v>#NAME?</v>
      </c>
      <c r="AH104" s="232" t="e">
        <f t="shared" si="176"/>
        <v>#NAME?</v>
      </c>
      <c r="AI104" s="232" t="e">
        <f t="shared" si="121"/>
        <v>#NAME?</v>
      </c>
      <c r="AJ104" s="232" t="e">
        <f t="shared" si="177"/>
        <v>#NAME?</v>
      </c>
      <c r="AK104" s="232" t="e">
        <f t="shared" si="123"/>
        <v>#NAME?</v>
      </c>
      <c r="AL104" s="232" t="e">
        <f>RdsonBot*AK104^2</f>
        <v>#NAME?</v>
      </c>
      <c r="AM104" s="232" t="e">
        <f t="shared" si="124"/>
        <v>#NAME?</v>
      </c>
      <c r="AN104" s="232" t="e">
        <f t="shared" si="125"/>
        <v>#NAME?</v>
      </c>
      <c r="AO104" s="232" t="e">
        <f t="shared" si="126"/>
        <v>#NAME?</v>
      </c>
      <c r="AP104" s="232" t="e">
        <f t="shared" si="162"/>
        <v>#NAME?</v>
      </c>
      <c r="AQ104" s="232" t="e">
        <f t="shared" si="127"/>
        <v>#NAME?</v>
      </c>
      <c r="AR104" s="232" t="e">
        <f t="shared" si="178"/>
        <v>#NAME?</v>
      </c>
      <c r="AS104" s="232" t="e">
        <f t="shared" si="129"/>
        <v>#NAME?</v>
      </c>
      <c r="AT104" s="232" t="e">
        <f t="shared" si="163"/>
        <v>#NAME?</v>
      </c>
      <c r="AU104" s="232" t="e">
        <f t="shared" si="179"/>
        <v>#NAME?</v>
      </c>
      <c r="AV104" s="232">
        <f t="shared" si="131"/>
        <v>0.73499999999999999</v>
      </c>
      <c r="AW104" s="292" t="e">
        <f t="shared" si="171"/>
        <v>#NAME?</v>
      </c>
      <c r="AX104" s="358" t="e">
        <f t="shared" si="132"/>
        <v>#NAME?</v>
      </c>
      <c r="AY104" s="358" t="e">
        <f t="shared" si="164"/>
        <v>#NAME?</v>
      </c>
      <c r="AZ104" s="358" t="e">
        <f t="shared" si="133"/>
        <v>#NAME?</v>
      </c>
      <c r="BA104" s="358" t="e">
        <f t="shared" si="153"/>
        <v>#NAME?</v>
      </c>
      <c r="BB104" s="358" t="e">
        <f t="shared" si="154"/>
        <v>#NAME?</v>
      </c>
      <c r="BC104" s="358" t="e">
        <f t="shared" si="155"/>
        <v>#NAME?</v>
      </c>
      <c r="BD104" s="358" t="e">
        <f t="shared" si="134"/>
        <v>#NAME?</v>
      </c>
      <c r="BE104" s="358" t="e">
        <f t="shared" si="135"/>
        <v>#NAME?</v>
      </c>
      <c r="BF104" s="358" t="e">
        <f t="shared" si="136"/>
        <v>#NAME?</v>
      </c>
      <c r="BG104" s="235" t="e">
        <f t="shared" si="165"/>
        <v>#NAME?</v>
      </c>
      <c r="BH104" s="235" t="e">
        <f t="shared" si="156"/>
        <v>#NAME?</v>
      </c>
      <c r="BI104" s="235" t="e">
        <f t="shared" si="166"/>
        <v>#NAME?</v>
      </c>
      <c r="BJ104" s="175" t="e">
        <f t="shared" si="167"/>
        <v>#NAME?</v>
      </c>
      <c r="BK104" s="233">
        <f>CHOOSE(MODE, I104*1000, 'PFM Efficiency'!BI104)</f>
        <v>147</v>
      </c>
      <c r="BL104" s="175">
        <v>88.69162393514253</v>
      </c>
      <c r="BM104" s="235">
        <f t="shared" si="157"/>
        <v>0.88691623935142527</v>
      </c>
      <c r="BN104" s="293" t="e">
        <f t="shared" si="137"/>
        <v>#NAME?</v>
      </c>
      <c r="BO104" s="294"/>
      <c r="BP104" s="235" t="e">
        <f t="shared" si="168"/>
        <v>#NAME?</v>
      </c>
      <c r="BQ104" s="294"/>
      <c r="BR104" s="175" t="e">
        <f t="shared" si="169"/>
        <v>#NAME?</v>
      </c>
      <c r="BS104" s="175" t="e">
        <f t="shared" si="170"/>
        <v>#NAME?</v>
      </c>
      <c r="BT104" s="175" t="e">
        <f t="shared" si="138"/>
        <v>#NAME?</v>
      </c>
      <c r="BU104" s="235"/>
      <c r="BV104" s="235"/>
      <c r="BW104" s="175" t="e">
        <f>IF(MODE=1, BJ104, 'PFM Efficiency'!BH104)</f>
        <v>#NAME?</v>
      </c>
      <c r="BX104" s="175" t="e">
        <f>IF(MODE=1, BR104, 'PFM Efficiency'!BN104)</f>
        <v>#NAME?</v>
      </c>
      <c r="BY104" s="175" t="e">
        <f>IF(MODE=1, BS104, 'PFM Efficiency'!BO104)</f>
        <v>#NAME?</v>
      </c>
      <c r="BZ104" s="175" t="e">
        <f>IF(MODE=1, BT104, 'PFM Efficiency'!BP104)</f>
        <v>#NAME?</v>
      </c>
    </row>
    <row r="105" spans="8:78" x14ac:dyDescent="0.2">
      <c r="H105" s="173">
        <v>99</v>
      </c>
      <c r="I105" s="522">
        <f t="shared" si="172"/>
        <v>0.14849999999999999</v>
      </c>
      <c r="J105" s="233" t="e">
        <f t="shared" si="173"/>
        <v>#NAME?</v>
      </c>
      <c r="K105" s="233" t="e">
        <f t="shared" si="174"/>
        <v>#NAME?</v>
      </c>
      <c r="L105" s="233" t="e">
        <f t="shared" si="175"/>
        <v>#NAME?</v>
      </c>
      <c r="M105" s="290" t="e">
        <f t="shared" si="117"/>
        <v>#NAME?</v>
      </c>
      <c r="N105" s="232" t="e">
        <f t="shared" si="158"/>
        <v>#NAME?</v>
      </c>
      <c r="O105" s="208" t="e">
        <f t="shared" si="118"/>
        <v>#NAME?</v>
      </c>
      <c r="P105" s="291" t="e">
        <f>IF(1/O105-OnTime-M105&gt;Tsleep, OnTime+M105+Tsleep, 1/O105)</f>
        <v>#NAME?</v>
      </c>
      <c r="Q105" s="291" t="e">
        <f t="shared" si="140"/>
        <v>#NAME?</v>
      </c>
      <c r="R105" s="291" t="e">
        <f>P105*O105*Iq_active+Q105*O105*Iq_sleep</f>
        <v>#NAME?</v>
      </c>
      <c r="S105" s="232" t="e">
        <f t="shared" si="142"/>
        <v>#NAME?</v>
      </c>
      <c r="T105" s="232" t="e">
        <f t="shared" si="143"/>
        <v>#NAME?</v>
      </c>
      <c r="U105" s="173" t="e">
        <f t="shared" si="144"/>
        <v>#NAME?</v>
      </c>
      <c r="V105" s="232" t="e">
        <f t="shared" si="159"/>
        <v>#NAME?</v>
      </c>
      <c r="W105" s="233" t="e">
        <f t="shared" si="145"/>
        <v>#NAME?</v>
      </c>
      <c r="X105" s="232" t="e">
        <f t="shared" si="146"/>
        <v>#NAME?</v>
      </c>
      <c r="Y105" s="232" t="e">
        <f t="shared" si="160"/>
        <v>#NAME?</v>
      </c>
      <c r="Z105" s="232" t="e">
        <f t="shared" si="147"/>
        <v>#NAME?</v>
      </c>
      <c r="AA105" s="234" t="e">
        <f t="shared" si="148"/>
        <v>#NAME?</v>
      </c>
      <c r="AB105" s="234" t="e">
        <f t="shared" si="161"/>
        <v>#NAME?</v>
      </c>
      <c r="AC105" s="232" t="e">
        <f t="shared" si="149"/>
        <v>#NAME?</v>
      </c>
      <c r="AD105" s="232" t="e">
        <f>RdsonTop*AC105^2</f>
        <v>#NAME?</v>
      </c>
      <c r="AE105" s="232" t="e">
        <f t="shared" si="151"/>
        <v>#NAME?</v>
      </c>
      <c r="AF105">
        <v>20</v>
      </c>
      <c r="AG105" s="505" t="e">
        <f t="shared" si="119"/>
        <v>#NAME?</v>
      </c>
      <c r="AH105" s="232" t="e">
        <f t="shared" si="176"/>
        <v>#NAME?</v>
      </c>
      <c r="AI105" s="232" t="e">
        <f t="shared" si="121"/>
        <v>#NAME?</v>
      </c>
      <c r="AJ105" s="232" t="e">
        <f t="shared" si="177"/>
        <v>#NAME?</v>
      </c>
      <c r="AK105" s="232" t="e">
        <f t="shared" si="123"/>
        <v>#NAME?</v>
      </c>
      <c r="AL105" s="232" t="e">
        <f>RdsonBot*AK105^2</f>
        <v>#NAME?</v>
      </c>
      <c r="AM105" s="232" t="e">
        <f t="shared" si="124"/>
        <v>#NAME?</v>
      </c>
      <c r="AN105" s="232" t="e">
        <f t="shared" si="125"/>
        <v>#NAME?</v>
      </c>
      <c r="AO105" s="232" t="e">
        <f t="shared" si="126"/>
        <v>#NAME?</v>
      </c>
      <c r="AP105" s="232" t="e">
        <f t="shared" si="162"/>
        <v>#NAME?</v>
      </c>
      <c r="AQ105" s="232" t="e">
        <f t="shared" si="127"/>
        <v>#NAME?</v>
      </c>
      <c r="AR105" s="232" t="e">
        <f t="shared" si="178"/>
        <v>#NAME?</v>
      </c>
      <c r="AS105" s="232" t="e">
        <f t="shared" si="129"/>
        <v>#NAME?</v>
      </c>
      <c r="AT105" s="232" t="e">
        <f t="shared" si="163"/>
        <v>#NAME?</v>
      </c>
      <c r="AU105" s="232" t="e">
        <f t="shared" si="179"/>
        <v>#NAME?</v>
      </c>
      <c r="AV105" s="232">
        <f t="shared" si="131"/>
        <v>0.74249999999999994</v>
      </c>
      <c r="AW105" s="292" t="e">
        <f t="shared" si="171"/>
        <v>#NAME?</v>
      </c>
      <c r="AX105" s="358" t="e">
        <f t="shared" si="132"/>
        <v>#NAME?</v>
      </c>
      <c r="AY105" s="358" t="e">
        <f t="shared" si="164"/>
        <v>#NAME?</v>
      </c>
      <c r="AZ105" s="358" t="e">
        <f t="shared" si="133"/>
        <v>#NAME?</v>
      </c>
      <c r="BA105" s="358" t="e">
        <f t="shared" si="153"/>
        <v>#NAME?</v>
      </c>
      <c r="BB105" s="358" t="e">
        <f t="shared" si="154"/>
        <v>#NAME?</v>
      </c>
      <c r="BC105" s="358" t="e">
        <f t="shared" si="155"/>
        <v>#NAME?</v>
      </c>
      <c r="BD105" s="358" t="e">
        <f t="shared" si="134"/>
        <v>#NAME?</v>
      </c>
      <c r="BE105" s="358" t="e">
        <f t="shared" si="135"/>
        <v>#NAME?</v>
      </c>
      <c r="BF105" s="358" t="e">
        <f t="shared" si="136"/>
        <v>#NAME?</v>
      </c>
      <c r="BG105" s="235" t="e">
        <f t="shared" si="165"/>
        <v>#NAME?</v>
      </c>
      <c r="BH105" s="235" t="e">
        <f t="shared" si="156"/>
        <v>#NAME?</v>
      </c>
      <c r="BI105" s="235" t="e">
        <f t="shared" si="166"/>
        <v>#NAME?</v>
      </c>
      <c r="BJ105" s="175" t="e">
        <f t="shared" si="167"/>
        <v>#NAME?</v>
      </c>
      <c r="BK105" s="233">
        <f>CHOOSE(MODE, I105*1000, 'PFM Efficiency'!BI105)</f>
        <v>148.5</v>
      </c>
      <c r="BL105" s="175">
        <v>88.695221075083666</v>
      </c>
      <c r="BM105" s="235">
        <f t="shared" si="157"/>
        <v>0.88695221075083663</v>
      </c>
      <c r="BN105" s="293" t="e">
        <f t="shared" si="137"/>
        <v>#NAME?</v>
      </c>
      <c r="BO105" s="294"/>
      <c r="BP105" s="235" t="e">
        <f t="shared" si="168"/>
        <v>#NAME?</v>
      </c>
      <c r="BQ105" s="294"/>
      <c r="BR105" s="175" t="e">
        <f t="shared" si="169"/>
        <v>#NAME?</v>
      </c>
      <c r="BS105" s="175" t="e">
        <f t="shared" si="170"/>
        <v>#NAME?</v>
      </c>
      <c r="BT105" s="175" t="e">
        <f t="shared" si="138"/>
        <v>#NAME?</v>
      </c>
      <c r="BU105" s="235"/>
      <c r="BV105" s="235"/>
      <c r="BW105" s="175" t="e">
        <f>IF(MODE=1, BJ105, 'PFM Efficiency'!BH105)</f>
        <v>#NAME?</v>
      </c>
      <c r="BX105" s="175" t="e">
        <f>IF(MODE=1, BR105, 'PFM Efficiency'!BN105)</f>
        <v>#NAME?</v>
      </c>
      <c r="BY105" s="175" t="e">
        <f>IF(MODE=1, BS105, 'PFM Efficiency'!BO105)</f>
        <v>#NAME?</v>
      </c>
      <c r="BZ105" s="175" t="e">
        <f>IF(MODE=1, BT105, 'PFM Efficiency'!BP105)</f>
        <v>#NAME?</v>
      </c>
    </row>
    <row r="106" spans="8:78" x14ac:dyDescent="0.2">
      <c r="H106" s="173">
        <v>100</v>
      </c>
      <c r="I106" s="522">
        <f t="shared" si="172"/>
        <v>0.15</v>
      </c>
      <c r="J106" s="233" t="e">
        <f t="shared" si="173"/>
        <v>#NAME?</v>
      </c>
      <c r="K106" s="233" t="e">
        <f t="shared" si="174"/>
        <v>#NAME?</v>
      </c>
      <c r="L106" s="233" t="e">
        <f t="shared" si="175"/>
        <v>#NAME?</v>
      </c>
      <c r="M106" s="290" t="e">
        <f t="shared" si="117"/>
        <v>#NAME?</v>
      </c>
      <c r="N106" s="232" t="e">
        <f t="shared" si="158"/>
        <v>#NAME?</v>
      </c>
      <c r="O106" s="208" t="e">
        <f t="shared" si="118"/>
        <v>#NAME?</v>
      </c>
      <c r="P106" s="291" t="e">
        <f>IF(1/O106-OnTime-M106&gt;Tsleep, OnTime+M106+Tsleep, 1/O106)</f>
        <v>#NAME?</v>
      </c>
      <c r="Q106" s="291" t="e">
        <f t="shared" si="140"/>
        <v>#NAME?</v>
      </c>
      <c r="R106" s="291" t="e">
        <f>P106*O106*Iq_active+Q106*O106*Iq_sleep</f>
        <v>#NAME?</v>
      </c>
      <c r="S106" s="232" t="e">
        <f t="shared" si="142"/>
        <v>#NAME?</v>
      </c>
      <c r="T106" s="232" t="e">
        <f t="shared" si="143"/>
        <v>#NAME?</v>
      </c>
      <c r="U106" s="173" t="e">
        <f t="shared" si="144"/>
        <v>#NAME?</v>
      </c>
      <c r="V106" s="232" t="e">
        <f t="shared" si="159"/>
        <v>#NAME?</v>
      </c>
      <c r="W106" s="233" t="e">
        <f t="shared" si="145"/>
        <v>#NAME?</v>
      </c>
      <c r="X106" s="232" t="e">
        <f t="shared" si="146"/>
        <v>#NAME?</v>
      </c>
      <c r="Y106" s="232" t="e">
        <f t="shared" si="160"/>
        <v>#NAME?</v>
      </c>
      <c r="Z106" s="232" t="e">
        <f t="shared" si="147"/>
        <v>#NAME?</v>
      </c>
      <c r="AA106" s="234" t="e">
        <f t="shared" si="148"/>
        <v>#NAME?</v>
      </c>
      <c r="AB106" s="234" t="e">
        <f t="shared" si="161"/>
        <v>#NAME?</v>
      </c>
      <c r="AC106" s="232" t="e">
        <f t="shared" si="149"/>
        <v>#NAME?</v>
      </c>
      <c r="AD106" s="232" t="e">
        <f>RdsonTop*AC106^2</f>
        <v>#NAME?</v>
      </c>
      <c r="AE106" s="232" t="e">
        <f t="shared" si="151"/>
        <v>#NAME?</v>
      </c>
      <c r="AF106">
        <v>20</v>
      </c>
      <c r="AG106" s="505" t="e">
        <f t="shared" si="119"/>
        <v>#NAME?</v>
      </c>
      <c r="AH106" s="232" t="e">
        <f t="shared" si="176"/>
        <v>#NAME?</v>
      </c>
      <c r="AI106" s="232" t="e">
        <f t="shared" si="121"/>
        <v>#NAME?</v>
      </c>
      <c r="AJ106" s="232" t="e">
        <f t="shared" si="177"/>
        <v>#NAME?</v>
      </c>
      <c r="AK106" s="232" t="e">
        <f t="shared" si="123"/>
        <v>#NAME?</v>
      </c>
      <c r="AL106" s="232" t="e">
        <f>RdsonBot*AK106^2</f>
        <v>#NAME?</v>
      </c>
      <c r="AM106" s="232" t="e">
        <f t="shared" si="124"/>
        <v>#NAME?</v>
      </c>
      <c r="AN106" s="232" t="e">
        <f t="shared" si="125"/>
        <v>#NAME?</v>
      </c>
      <c r="AO106" s="232" t="e">
        <f t="shared" si="126"/>
        <v>#NAME?</v>
      </c>
      <c r="AP106" s="232" t="e">
        <f t="shared" si="162"/>
        <v>#NAME?</v>
      </c>
      <c r="AQ106" s="232" t="e">
        <f t="shared" si="127"/>
        <v>#NAME?</v>
      </c>
      <c r="AR106" s="232" t="e">
        <f t="shared" si="178"/>
        <v>#NAME?</v>
      </c>
      <c r="AS106" s="232" t="e">
        <f t="shared" si="129"/>
        <v>#NAME?</v>
      </c>
      <c r="AT106" s="232" t="e">
        <f t="shared" si="163"/>
        <v>#NAME?</v>
      </c>
      <c r="AU106" s="232" t="e">
        <f t="shared" si="179"/>
        <v>#NAME?</v>
      </c>
      <c r="AV106" s="232">
        <f t="shared" si="131"/>
        <v>0.75</v>
      </c>
      <c r="AW106" s="292" t="e">
        <f t="shared" si="171"/>
        <v>#NAME?</v>
      </c>
      <c r="AX106" s="358" t="e">
        <f t="shared" si="132"/>
        <v>#NAME?</v>
      </c>
      <c r="AY106" s="358" t="e">
        <f t="shared" si="164"/>
        <v>#NAME?</v>
      </c>
      <c r="AZ106" s="358" t="e">
        <f t="shared" si="133"/>
        <v>#NAME?</v>
      </c>
      <c r="BA106" s="358" t="e">
        <f t="shared" si="153"/>
        <v>#NAME?</v>
      </c>
      <c r="BB106" s="358" t="e">
        <f t="shared" si="154"/>
        <v>#NAME?</v>
      </c>
      <c r="BC106" s="358" t="e">
        <f t="shared" si="155"/>
        <v>#NAME?</v>
      </c>
      <c r="BD106" s="358" t="e">
        <f t="shared" si="134"/>
        <v>#NAME?</v>
      </c>
      <c r="BE106" s="358" t="e">
        <f t="shared" si="135"/>
        <v>#NAME?</v>
      </c>
      <c r="BF106" s="358" t="e">
        <f t="shared" si="136"/>
        <v>#NAME?</v>
      </c>
      <c r="BG106" s="235" t="e">
        <f t="shared" si="165"/>
        <v>#NAME?</v>
      </c>
      <c r="BH106" s="235" t="e">
        <f t="shared" si="156"/>
        <v>#NAME?</v>
      </c>
      <c r="BI106" s="235" t="e">
        <f t="shared" si="166"/>
        <v>#NAME?</v>
      </c>
      <c r="BJ106" s="175" t="e">
        <f t="shared" si="167"/>
        <v>#NAME?</v>
      </c>
      <c r="BK106" s="233">
        <f>CHOOSE(MODE, I106*1000, 'PFM Efficiency'!BI106)</f>
        <v>150</v>
      </c>
      <c r="BL106" s="175">
        <v>88.698181382326453</v>
      </c>
      <c r="BM106" s="235">
        <f t="shared" si="157"/>
        <v>0.88698181382326458</v>
      </c>
      <c r="BN106" s="293" t="e">
        <f t="shared" si="137"/>
        <v>#NAME?</v>
      </c>
      <c r="BO106" s="294"/>
      <c r="BP106" s="235" t="e">
        <f t="shared" si="168"/>
        <v>#NAME?</v>
      </c>
      <c r="BQ106" s="294"/>
      <c r="BR106" s="175" t="e">
        <f t="shared" si="169"/>
        <v>#NAME?</v>
      </c>
      <c r="BS106" s="175" t="e">
        <f t="shared" si="170"/>
        <v>#NAME?</v>
      </c>
      <c r="BT106" s="175" t="e">
        <f t="shared" si="138"/>
        <v>#NAME?</v>
      </c>
      <c r="BU106" s="235"/>
      <c r="BV106" s="235"/>
      <c r="BW106" s="175" t="e">
        <f>IF(MODE=1, BJ106, 'PFM Efficiency'!BH106)</f>
        <v>#NAME?</v>
      </c>
      <c r="BX106" s="175" t="e">
        <f>IF(MODE=1, BR106, 'PFM Efficiency'!BN106)</f>
        <v>#NAME?</v>
      </c>
      <c r="BY106" s="175" t="e">
        <f>IF(MODE=1, BS106, 'PFM Efficiency'!BO106)</f>
        <v>#NAME?</v>
      </c>
      <c r="BZ106" s="175" t="e">
        <f>IF(MODE=1, BT106, 'PFM Efficiency'!BP106)</f>
        <v>#NAME?</v>
      </c>
    </row>
    <row r="107" spans="8:78" x14ac:dyDescent="0.2">
      <c r="BN107" s="293"/>
      <c r="BO107" s="294"/>
      <c r="BP107" s="294"/>
      <c r="BQ107" s="294"/>
      <c r="BU107" s="235"/>
      <c r="BV107" s="235"/>
    </row>
    <row r="108" spans="8:78" x14ac:dyDescent="0.2">
      <c r="H108" s="342">
        <v>1.0000000000000001E-5</v>
      </c>
      <c r="I108" s="233" t="s">
        <v>2</v>
      </c>
      <c r="J108" s="232" t="s">
        <v>395</v>
      </c>
      <c r="AD108" s="232">
        <v>4.9516878778202269E-3</v>
      </c>
      <c r="AE108" s="232">
        <v>3.7188236700537959E-3</v>
      </c>
      <c r="AF108">
        <v>20</v>
      </c>
      <c r="AG108" s="232">
        <v>18.943591787921068</v>
      </c>
      <c r="AH108" s="232">
        <v>4.1453367485397245E-3</v>
      </c>
      <c r="AI108" s="232">
        <v>7.1640215182307235E-3</v>
      </c>
      <c r="AK108" s="232">
        <v>9.1940431932401354E-2</v>
      </c>
      <c r="AL108" s="232">
        <v>8.4530430239165271E-3</v>
      </c>
      <c r="AM108" s="232">
        <v>9.3281530185295868E-4</v>
      </c>
      <c r="AN108" s="232">
        <v>9.1178757202630047E-3</v>
      </c>
      <c r="AO108" s="232">
        <v>1.2140752334887425E-3</v>
      </c>
      <c r="AP108" s="232">
        <v>1.8784993977668273E-2</v>
      </c>
      <c r="AW108" s="343" t="s">
        <v>399</v>
      </c>
      <c r="AX108" s="365">
        <v>3.6409104085968987E-3</v>
      </c>
      <c r="AY108" s="365">
        <v>6.5692245841190103E-3</v>
      </c>
      <c r="AZ108" s="365">
        <v>5.4394694205683519E-2</v>
      </c>
      <c r="BA108" s="365">
        <v>4.5907837520612008E-3</v>
      </c>
      <c r="BB108" s="365">
        <v>0</v>
      </c>
      <c r="BC108" s="365">
        <v>7.3751579484765363E-4</v>
      </c>
      <c r="BD108" s="365">
        <v>7.2151246180390156E-3</v>
      </c>
      <c r="BE108" s="365">
        <v>1.4929120352630757E-2</v>
      </c>
      <c r="BF108" s="365">
        <v>5.5024434421027814E-6</v>
      </c>
      <c r="BG108" s="365">
        <v>8.2551506228875166E-2</v>
      </c>
    </row>
    <row r="109" spans="8:78" x14ac:dyDescent="0.2">
      <c r="H109" s="289">
        <f>Iout_maxload_COT</f>
        <v>0.15</v>
      </c>
      <c r="I109" s="233" t="s">
        <v>2</v>
      </c>
      <c r="J109" s="232" t="s">
        <v>396</v>
      </c>
      <c r="AW109" s="343" t="s">
        <v>397</v>
      </c>
      <c r="AX109" s="365">
        <v>8.1000709018000279E-3</v>
      </c>
      <c r="AY109" s="365">
        <v>1.4614802049391215E-2</v>
      </c>
      <c r="AZ109" s="365">
        <v>2.4831534664325892E-2</v>
      </c>
      <c r="BA109" s="365">
        <v>9.9057039827182662E-3</v>
      </c>
      <c r="BB109" s="365">
        <v>1.1631608311305648E-2</v>
      </c>
      <c r="BC109" s="365">
        <v>1.6465542803473395E-3</v>
      </c>
      <c r="BD109" s="365">
        <v>1.6051760250250457E-2</v>
      </c>
      <c r="BE109" s="365">
        <v>6.8152413568584669E-3</v>
      </c>
      <c r="BF109" s="365">
        <v>1.7517781122613987E-5</v>
      </c>
      <c r="BG109" s="365">
        <v>1.2837829865088564E-2</v>
      </c>
    </row>
    <row r="110" spans="8:78" x14ac:dyDescent="0.2">
      <c r="H110" s="289">
        <f>LOG(max_I/min_I,EXP(1))</f>
        <v>9.6158054800843473</v>
      </c>
      <c r="I110" s="233"/>
      <c r="J110" s="232" t="s">
        <v>398</v>
      </c>
    </row>
    <row r="111" spans="8:78" x14ac:dyDescent="0.2">
      <c r="AW111" s="343"/>
      <c r="AX111" s="365"/>
      <c r="AY111" s="365"/>
      <c r="AZ111" s="365"/>
      <c r="BA111" s="365"/>
      <c r="BB111" s="365"/>
      <c r="BC111" s="365"/>
      <c r="BD111" s="365"/>
      <c r="BE111" s="365"/>
      <c r="BF111" s="365"/>
      <c r="BG111" s="365"/>
    </row>
    <row r="112" spans="8:78" x14ac:dyDescent="0.2">
      <c r="J112" s="345"/>
      <c r="O112" s="346"/>
      <c r="P112" s="346"/>
      <c r="Q112" s="346"/>
      <c r="R112" s="346"/>
      <c r="S112" s="347"/>
    </row>
    <row r="113" spans="10:19" x14ac:dyDescent="0.2">
      <c r="J113" s="345"/>
      <c r="O113" s="346"/>
      <c r="P113" s="346"/>
      <c r="Q113" s="346"/>
      <c r="R113" s="346"/>
      <c r="S113" s="347"/>
    </row>
    <row r="114" spans="10:19" x14ac:dyDescent="0.2">
      <c r="O114" s="346"/>
      <c r="P114" s="346"/>
      <c r="Q114" s="346"/>
      <c r="R114" s="346"/>
      <c r="S114" s="347"/>
    </row>
    <row r="116" spans="10:19" x14ac:dyDescent="0.2">
      <c r="O116" s="346"/>
      <c r="P116" s="346"/>
      <c r="Q116" s="346"/>
      <c r="R116" s="346"/>
      <c r="S116" s="347"/>
    </row>
    <row r="126" spans="10:19" x14ac:dyDescent="0.2">
      <c r="J126" s="173"/>
    </row>
    <row r="127" spans="10:19" x14ac:dyDescent="0.2">
      <c r="J127" s="173"/>
    </row>
    <row r="128" spans="10:19" x14ac:dyDescent="0.2">
      <c r="J128" s="173"/>
    </row>
    <row r="129" spans="10:10" x14ac:dyDescent="0.2">
      <c r="J129" s="233"/>
    </row>
    <row r="130" spans="10:10" x14ac:dyDescent="0.2">
      <c r="J130" s="233"/>
    </row>
    <row r="131" spans="10:10" x14ac:dyDescent="0.2">
      <c r="J131" s="233"/>
    </row>
    <row r="132" spans="10:10" x14ac:dyDescent="0.2">
      <c r="J132" s="233"/>
    </row>
    <row r="133" spans="10:10" x14ac:dyDescent="0.2">
      <c r="J133" s="233"/>
    </row>
  </sheetData>
  <mergeCells count="4">
    <mergeCell ref="A1:E3"/>
    <mergeCell ref="G2:H2"/>
    <mergeCell ref="A4:E4"/>
    <mergeCell ref="K4:R4"/>
  </mergeCells>
  <conditionalFormatting sqref="B26:B28">
    <cfRule type="cellIs" dxfId="11" priority="7" stopIfTrue="1" operator="notEqual">
      <formula>G28</formula>
    </cfRule>
  </conditionalFormatting>
  <conditionalFormatting sqref="B27:B28">
    <cfRule type="cellIs" dxfId="10" priority="6" stopIfTrue="1" operator="notEqual">
      <formula>G29</formula>
    </cfRule>
  </conditionalFormatting>
  <conditionalFormatting sqref="B29:B32 B37:B38">
    <cfRule type="cellIs" dxfId="9" priority="5" stopIfTrue="1" operator="notEqual">
      <formula>G36</formula>
    </cfRule>
  </conditionalFormatting>
  <conditionalFormatting sqref="B34:B36">
    <cfRule type="cellIs" dxfId="8" priority="4" stopIfTrue="1" operator="notEqual">
      <formula>G42</formula>
    </cfRule>
  </conditionalFormatting>
  <conditionalFormatting sqref="B40:B41">
    <cfRule type="cellIs" dxfId="7" priority="3" stopIfTrue="1" operator="notEqual">
      <formula>G53</formula>
    </cfRule>
  </conditionalFormatting>
  <conditionalFormatting sqref="B49:B52">
    <cfRule type="cellIs" dxfId="6" priority="8" stopIfTrue="1" operator="notEqual">
      <formula>G70</formula>
    </cfRule>
  </conditionalFormatting>
  <conditionalFormatting sqref="B45">
    <cfRule type="cellIs" dxfId="5" priority="9" stopIfTrue="1" operator="notEqual">
      <formula>G64</formula>
    </cfRule>
  </conditionalFormatting>
  <conditionalFormatting sqref="B47">
    <cfRule type="cellIs" dxfId="4" priority="10" stopIfTrue="1" operator="notEqual">
      <formula>G66</formula>
    </cfRule>
  </conditionalFormatting>
  <conditionalFormatting sqref="B48">
    <cfRule type="cellIs" dxfId="3" priority="11" stopIfTrue="1" operator="notEqual">
      <formula>G68</formula>
    </cfRule>
  </conditionalFormatting>
  <conditionalFormatting sqref="B42:B43">
    <cfRule type="cellIs" dxfId="2" priority="12" stopIfTrue="1" operator="notEqual">
      <formula>G55</formula>
    </cfRule>
  </conditionalFormatting>
  <conditionalFormatting sqref="B46">
    <cfRule type="cellIs" dxfId="1" priority="2" stopIfTrue="1" operator="notEqual">
      <formula>G66</formula>
    </cfRule>
  </conditionalFormatting>
  <conditionalFormatting sqref="B53">
    <cfRule type="cellIs" dxfId="0" priority="1" stopIfTrue="1" operator="notEqual">
      <formula>G66</formula>
    </cfRule>
  </conditionalFormatting>
  <pageMargins left="0.75" right="0.75" top="1" bottom="1" header="0.5" footer="0.5"/>
  <pageSetup scale="79" orientation="portrait" r:id="rId1"/>
  <headerFooter alignWithMargins="0"/>
  <colBreaks count="1" manualBreakCount="1">
    <brk id="7" max="1048575" man="1"/>
  </colBreaks>
  <ignoredErrors>
    <ignoredError sqref="B8:B9 BN6:BN7" unlockedFormula="1"/>
    <ignoredError sqref="D11" formula="1"/>
  </ignoredErrors>
  <drawing r:id="rId2"/>
  <legacyDrawing r:id="rId3"/>
  <oleObjects>
    <mc:AlternateContent xmlns:mc="http://schemas.openxmlformats.org/markup-compatibility/2006">
      <mc:Choice Requires="x14">
        <oleObject progId="Visio.Drawing.11" shapeId="683009" r:id="rId4">
          <objectPr defaultSize="0" autoPict="0" r:id="rId5">
            <anchor moveWithCells="1">
              <from>
                <xdr:col>19</xdr:col>
                <xdr:colOff>180975</xdr:colOff>
                <xdr:row>111</xdr:row>
                <xdr:rowOff>142875</xdr:rowOff>
              </from>
              <to>
                <xdr:col>33</xdr:col>
                <xdr:colOff>9525</xdr:colOff>
                <xdr:row>125</xdr:row>
                <xdr:rowOff>142875</xdr:rowOff>
              </to>
            </anchor>
          </objectPr>
        </oleObject>
      </mc:Choice>
      <mc:Fallback>
        <oleObject progId="Visio.Drawing.11" shapeId="683009" r:id="rId4"/>
      </mc:Fallback>
    </mc:AlternateContent>
  </oleObjects>
  <mc:AlternateContent xmlns:mc="http://schemas.openxmlformats.org/markup-compatibility/2006">
    <mc:Choice Requires="x14">
      <controls>
        <mc:AlternateContent xmlns:mc="http://schemas.openxmlformats.org/markup-compatibility/2006">
          <mc:Choice Requires="x14">
            <control shapeId="683010" r:id="rId6" name="Button 2">
              <controlPr defaultSize="0" autoFill="0" autoPict="0" macro="[0]!Store_old_data" altText="Store Efficiency Data">
                <anchor moveWithCells="1" sizeWithCells="1">
                  <from>
                    <xdr:col>5</xdr:col>
                    <xdr:colOff>314325</xdr:colOff>
                    <xdr:row>46</xdr:row>
                    <xdr:rowOff>152400</xdr:rowOff>
                  </from>
                  <to>
                    <xdr:col>6</xdr:col>
                    <xdr:colOff>447675</xdr:colOff>
                    <xdr:row>52</xdr:row>
                    <xdr:rowOff>9525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2:K159"/>
  <sheetViews>
    <sheetView workbookViewId="0">
      <selection activeCell="I4" sqref="I4"/>
    </sheetView>
  </sheetViews>
  <sheetFormatPr defaultRowHeight="12.75" x14ac:dyDescent="0.2"/>
  <cols>
    <col min="1" max="1" width="17.28515625" customWidth="1"/>
    <col min="2" max="2" width="12" bestFit="1" customWidth="1"/>
    <col min="8" max="8" width="12.140625" customWidth="1"/>
    <col min="9" max="9" width="12.42578125" bestFit="1" customWidth="1"/>
    <col min="10" max="10" width="15.42578125" customWidth="1"/>
  </cols>
  <sheetData>
    <row r="2" spans="1:11" x14ac:dyDescent="0.2">
      <c r="A2" t="s">
        <v>89</v>
      </c>
      <c r="B2" t="s">
        <v>86</v>
      </c>
      <c r="C2" t="s">
        <v>21</v>
      </c>
      <c r="D2" t="s">
        <v>39</v>
      </c>
      <c r="E2" t="s">
        <v>96</v>
      </c>
    </row>
    <row r="3" spans="1:11" x14ac:dyDescent="0.2">
      <c r="A3" t="s">
        <v>92</v>
      </c>
      <c r="B3">
        <f>Css</f>
        <v>4.8599999999999998E-8</v>
      </c>
      <c r="C3">
        <f>Cout</f>
        <v>1E-4</v>
      </c>
      <c r="D3">
        <f>Cin</f>
        <v>4.6999999999999999E-6</v>
      </c>
      <c r="E3">
        <f>Cb</f>
        <v>0</v>
      </c>
      <c r="H3" t="s">
        <v>94</v>
      </c>
      <c r="I3" t="s">
        <v>95</v>
      </c>
      <c r="J3" s="3" t="s">
        <v>91</v>
      </c>
    </row>
    <row r="4" spans="1:11" x14ac:dyDescent="0.2">
      <c r="A4" s="6" t="s">
        <v>91</v>
      </c>
      <c r="B4" s="6">
        <f>SUM(B6:B158)/1000000000000</f>
        <v>4.6999999999999997E-8</v>
      </c>
      <c r="C4" s="6">
        <f>SUM(C6:C158)/1000000000000</f>
        <v>1E-4</v>
      </c>
      <c r="D4" s="6">
        <f>SUM(D6:D158)/1000000000000</f>
        <v>4.6999999999999999E-6</v>
      </c>
      <c r="E4" s="6">
        <f t="shared" ref="E4" si="0">IF(E3="OPEN","OPEN",SUM(E6:E158)/1000000000000)</f>
        <v>0</v>
      </c>
      <c r="H4" s="63" t="s">
        <v>181</v>
      </c>
      <c r="I4">
        <f>Rt</f>
        <v>125000</v>
      </c>
      <c r="J4" s="3">
        <f t="shared" ref="J4:J9" si="1">IF(I4&gt;(INT(0.5+100*POWER(10,IF(96*(LOG(I4)-INT(LOG(I4)))-ROUND(96*(LOG(I4)-INT(LOG(I4))),0)&lt;0,ROUND(96*(LOG(I4)-INT(LOG(I4))),0)-1,ROUND(96*(LOG(I4)-INT(LOG(I4))),0))/96))*POWER(10,INT(LOG(I4))-2)+INT(0.5+100*POWER(10,(IF(96*(LOG(I4)-INT(LOG(I4)))-ROUND(96*(LOG(I4)-INT(LOG(I4))),0)&lt;0,ROUND(96*(LOG(I4)-INT(LOG(I4))),0)-1,ROUND(96*(LOG(I4)-INT(LOG(I4))),0))+1)/96))*POWER(10,INT(LOG(I4))-2))/2,INT(0.5+100*POWER(10,(IF(96*(LOG(I4)-INT(LOG(I4)))-ROUND(96*(LOG(I4)-INT(LOG(I4))),0)&lt;0,ROUND(96*(LOG(I4)-INT(LOG(I4))),0)-1,ROUND(96*(LOG(I4)-INT(LOG(I4))),0))+1)/96))*POWER(10,INT(LOG(I4))-2),INT(0.5+100*POWER(10,IF(96*(LOG(I4)-INT(LOG(I4)))-ROUND(96*(LOG(I4)-INT(LOG(I4))),0)&lt;0,ROUND(96*(LOG(I4)-INT(LOG(I4))),0)-1,ROUND(96*(LOG(I4)-INT(LOG(I4))),0))/96))*POWER(10,INT(LOG(I4))-2))</f>
        <v>124000</v>
      </c>
      <c r="K4" s="12" t="s">
        <v>177</v>
      </c>
    </row>
    <row r="5" spans="1:11" x14ac:dyDescent="0.2">
      <c r="A5" t="s">
        <v>90</v>
      </c>
      <c r="J5" s="3"/>
      <c r="K5" s="12"/>
    </row>
    <row r="6" spans="1:11" x14ac:dyDescent="0.2">
      <c r="A6">
        <v>0.47</v>
      </c>
      <c r="B6">
        <f t="shared" ref="B6:E6" si="2">IF(IF((B$3*10^12-$A7)*(B$3*10^12-$A6)*-1&lt;0,0,1)*IF(ABS(B$3*10^12-$A7)&gt;(B$3*10^12-$A6),$A6,$A7)=B7,0,IF((B$3*10^12-$A7)*(B$3*10^12-$A6)*-1&lt;0,0,1)*IF(ABS(B$3*10^12-$A7)&gt;(B$3*10^12-$A6),$A6,$A7))</f>
        <v>0</v>
      </c>
      <c r="C6">
        <f t="shared" si="2"/>
        <v>0</v>
      </c>
      <c r="D6">
        <f t="shared" si="2"/>
        <v>0</v>
      </c>
      <c r="E6">
        <f t="shared" si="2"/>
        <v>0</v>
      </c>
      <c r="H6" s="63" t="s">
        <v>226</v>
      </c>
      <c r="I6" t="e">
        <f>Rshunt</f>
        <v>#NAME?</v>
      </c>
      <c r="J6" s="3" t="e">
        <f t="shared" si="1"/>
        <v>#NAME?</v>
      </c>
      <c r="K6" s="12" t="s">
        <v>177</v>
      </c>
    </row>
    <row r="7" spans="1:11" x14ac:dyDescent="0.2">
      <c r="A7">
        <v>0.56000000000000005</v>
      </c>
      <c r="B7">
        <f t="shared" ref="B7:B70" si="3">IF(IF((B$3*10^12-$A8)*(B$3*10^12-$A7)*-1&lt;0,0,1)*IF(ABS(B$3*10^12-$A8)&gt;(B$3*10^12-$A7),$A7,$A8)=B8,0,IF((B$3*10^12-$A8)*(B$3*10^12-$A7)*-1&lt;0,0,1)*IF(ABS(B$3*10^12-$A8)&gt;(B$3*10^12-$A7),$A7,$A8))</f>
        <v>0</v>
      </c>
      <c r="C7">
        <f t="shared" ref="C7:C69" si="4">IF(IF((C$3*10^12-$A8)*(C$3*10^12-$A7)*-1&lt;0,0,1)*IF(ABS(C$3*10^12-$A8)&gt;(C$3*10^12-$A7),$A7,$A8)=C8,0,IF((C$3*10^12-$A8)*(C$3*10^12-$A7)*-1&lt;0,0,1)*IF(ABS(C$3*10^12-$A8)&gt;(C$3*10^12-$A7),$A7,$A8))</f>
        <v>0</v>
      </c>
      <c r="D7">
        <f t="shared" ref="D7:D69" si="5">IF(IF((D$3*10^12-$A8)*(D$3*10^12-$A7)*-1&lt;0,0,1)*IF(ABS(D$3*10^12-$A8)&gt;(D$3*10^12-$A7),$A7,$A8)=D8,0,IF((D$3*10^12-$A8)*(D$3*10^12-$A7)*-1&lt;0,0,1)*IF(ABS(D$3*10^12-$A8)&gt;(D$3*10^12-$A7),$A7,$A8))</f>
        <v>0</v>
      </c>
      <c r="E7">
        <f t="shared" ref="E7:E37" si="6">IF(IF((E$3*10^12-$A8)*(E$3*10^12-$A7)*-1&lt;0,0,1)*IF(ABS(E$3*10^12-$A8)&gt;(E$3*10^12-$A7),$A7,$A8)=E8,0,IF((E$3*10^12-$A8)*(E$3*10^12-$A7)*-1&lt;0,0,1)*IF(ABS(E$3*10^12-$A8)&gt;(E$3*10^12-$A7),$A7,$A8))</f>
        <v>0</v>
      </c>
      <c r="H7" t="s">
        <v>107</v>
      </c>
      <c r="I7" t="e">
        <f>Rcea1</f>
        <v>#NAME?</v>
      </c>
      <c r="J7" s="3" t="e">
        <f t="shared" si="1"/>
        <v>#NAME?</v>
      </c>
      <c r="K7" s="12" t="s">
        <v>177</v>
      </c>
    </row>
    <row r="8" spans="1:11" x14ac:dyDescent="0.2">
      <c r="A8">
        <v>0.68</v>
      </c>
      <c r="B8">
        <f t="shared" si="3"/>
        <v>0</v>
      </c>
      <c r="C8">
        <f t="shared" si="4"/>
        <v>0</v>
      </c>
      <c r="D8">
        <f t="shared" si="5"/>
        <v>0</v>
      </c>
      <c r="E8">
        <f t="shared" si="6"/>
        <v>0</v>
      </c>
      <c r="J8" s="3"/>
      <c r="K8" s="12"/>
    </row>
    <row r="9" spans="1:11" x14ac:dyDescent="0.2">
      <c r="A9">
        <v>0.82</v>
      </c>
      <c r="B9">
        <f t="shared" si="3"/>
        <v>0</v>
      </c>
      <c r="C9">
        <f t="shared" si="4"/>
        <v>0</v>
      </c>
      <c r="D9">
        <f t="shared" si="5"/>
        <v>0</v>
      </c>
      <c r="E9">
        <f t="shared" si="6"/>
        <v>0</v>
      </c>
      <c r="H9" t="s">
        <v>22</v>
      </c>
      <c r="I9">
        <f>Rfb1_</f>
        <v>210000</v>
      </c>
      <c r="J9" s="3">
        <f t="shared" si="1"/>
        <v>210000</v>
      </c>
      <c r="K9" s="12" t="s">
        <v>177</v>
      </c>
    </row>
    <row r="10" spans="1:11" x14ac:dyDescent="0.2">
      <c r="A10">
        <v>1</v>
      </c>
      <c r="B10">
        <f t="shared" si="3"/>
        <v>0</v>
      </c>
      <c r="C10">
        <f t="shared" si="4"/>
        <v>0</v>
      </c>
      <c r="D10">
        <f t="shared" si="5"/>
        <v>0</v>
      </c>
      <c r="E10">
        <f t="shared" si="6"/>
        <v>0</v>
      </c>
      <c r="H10" t="s">
        <v>26</v>
      </c>
      <c r="I10">
        <f>Rfb2_</f>
        <v>67998.411437648931</v>
      </c>
      <c r="J10" s="3">
        <f>IF(I10="OPEN","OPEN",IF(I10&gt;(INT(0.5+100*POWER(10,IF(96*(LOG(I10)-INT(LOG(I10)))-ROUND(96*(LOG(I10)-INT(LOG(I10))),0)&lt;0,ROUND(96*(LOG(I10)-INT(LOG(I10))),0)-1,ROUND(96*(LOG(I10)-INT(LOG(I10))),0))/96))*POWER(10,INT(LOG(I10))-2)+INT(0.5+100*POWER(10,(IF(96*(LOG(I10)-INT(LOG(I10)))-ROUND(96*(LOG(I10)-INT(LOG(I10))),0)&lt;0,ROUND(96*(LOG(I10)-INT(LOG(I10))),0)-1,ROUND(96*(LOG(I10)-INT(LOG(I10))),0))+1)/96))*POWER(10,INT(LOG(I10))-2))/2,INT(0.5+100*POWER(10,(IF(96*(LOG(I10)-INT(LOG(I10)))-ROUND(96*(LOG(I10)-INT(LOG(I10))),0)&lt;0,ROUND(96*(LOG(I10)-INT(LOG(I10))),0)-1,ROUND(96*(LOG(I10)-INT(LOG(I10))),0))+1)/96))*POWER(10,INT(LOG(I10))-2),INT(0.5+100*POWER(10,IF(96*(LOG(I10)-INT(LOG(I10)))-ROUND(96*(LOG(I10)-INT(LOG(I10))),0)&lt;0,ROUND(96*(LOG(I10)-INT(LOG(I10))),0)-1,ROUND(96*(LOG(I10)-INT(LOG(I10))),0))/96))*POWER(10,INT(LOG(I10))-2)))</f>
        <v>68100</v>
      </c>
      <c r="K10" s="12" t="s">
        <v>177</v>
      </c>
    </row>
    <row r="11" spans="1:11" x14ac:dyDescent="0.2">
      <c r="A11">
        <v>1.2</v>
      </c>
      <c r="B11">
        <f t="shared" si="3"/>
        <v>0</v>
      </c>
      <c r="C11">
        <f t="shared" si="4"/>
        <v>0</v>
      </c>
      <c r="D11">
        <f t="shared" si="5"/>
        <v>0</v>
      </c>
      <c r="E11">
        <f t="shared" si="6"/>
        <v>0</v>
      </c>
      <c r="J11" s="3"/>
    </row>
    <row r="12" spans="1:11" x14ac:dyDescent="0.2">
      <c r="A12">
        <v>1.5</v>
      </c>
      <c r="B12">
        <f t="shared" si="3"/>
        <v>0</v>
      </c>
      <c r="C12">
        <f t="shared" si="4"/>
        <v>0</v>
      </c>
      <c r="D12">
        <f t="shared" si="5"/>
        <v>0</v>
      </c>
      <c r="E12">
        <f t="shared" si="6"/>
        <v>0</v>
      </c>
      <c r="J12" s="3"/>
    </row>
    <row r="13" spans="1:11" x14ac:dyDescent="0.2">
      <c r="A13">
        <v>1.8</v>
      </c>
      <c r="B13">
        <f t="shared" si="3"/>
        <v>0</v>
      </c>
      <c r="C13">
        <f t="shared" si="4"/>
        <v>0</v>
      </c>
      <c r="D13">
        <f t="shared" si="5"/>
        <v>0</v>
      </c>
      <c r="E13">
        <f t="shared" si="6"/>
        <v>0</v>
      </c>
      <c r="H13" s="63" t="s">
        <v>97</v>
      </c>
      <c r="I13" t="e">
        <f>Rs_ideal*1000</f>
        <v>#NAME?</v>
      </c>
      <c r="J13" s="3" t="e">
        <f>IF(I13=0,0,IF(I13&gt;(INT(0.5+100*POWER(10,IF(96*(LOG(I13)-INT(LOG(I13)))-ROUND(96*(LOG(I13)-INT(LOG(I13))),0)&lt;0,ROUND(96*(LOG(I13)-INT(LOG(I13))),0)-1,ROUND(96*(LOG(I13)-INT(LOG(I13))),0))/96))*POWER(10,INT(LOG(I13))-2)+INT(0.5+100*POWER(10,(IF(96*(LOG(I13)-INT(LOG(I13)))-ROUND(96*(LOG(I13)-INT(LOG(I13))),0)&lt;0,ROUND(96*(LOG(I13)-INT(LOG(I13))),0)-1,ROUND(96*(LOG(I13)-INT(LOG(I13))),0))+1)/96))*POWER(10,INT(LOG(I13))-2))/2,INT(0.5+100*POWER(10,(IF(96*(LOG(I13)-INT(LOG(I13)))-ROUND(96*(LOG(I13)-INT(LOG(I13))),0)&lt;0,ROUND(96*(LOG(I13)-INT(LOG(I13))),0)-1,ROUND(96*(LOG(I13)-INT(LOG(I13))),0))+1)/96))*POWER(10,INT(LOG(I13))-2),INT(0.5+100*POWER(10,IF(96*(LOG(I13)-INT(LOG(I13)))-ROUND(96*(LOG(I13)-INT(LOG(I13))),0)&lt;0,ROUND(96*(LOG(I13)-INT(LOG(I13))),0)-1,ROUND(96*(LOG(I13)-INT(LOG(I13))),0))/96))*POWER(10,INT(LOG(I13))-2)))</f>
        <v>#NAME?</v>
      </c>
      <c r="K13" s="12" t="s">
        <v>225</v>
      </c>
    </row>
    <row r="14" spans="1:11" x14ac:dyDescent="0.2">
      <c r="A14">
        <v>2.2000000000000002</v>
      </c>
      <c r="B14">
        <f t="shared" ref="B14:E14" si="7">IF(IF((B$3*10^12-$A15)*(B$3*10^12-$A14)*-1&lt;0,0,1)*IF(ABS(B$3*10^12-$A15)&gt;(B$3*10^12-$A14),$A14,$A15)=B15,0,IF((B$3*10^12-$A15)*(B$3*10^12-$A14)*-1&lt;0,0,1)*IF(ABS(B$3*10^12-$A15)&gt;(B$3*10^12-$A14),$A14,$A15))</f>
        <v>0</v>
      </c>
      <c r="C14">
        <f t="shared" si="7"/>
        <v>0</v>
      </c>
      <c r="D14">
        <f t="shared" si="7"/>
        <v>0</v>
      </c>
      <c r="E14">
        <f t="shared" si="7"/>
        <v>0</v>
      </c>
      <c r="H14" s="63" t="s">
        <v>224</v>
      </c>
      <c r="I14" t="e">
        <f>Cslope_ideal</f>
        <v>#NAME?</v>
      </c>
      <c r="J14" t="e">
        <f>#REF!*1000000000000</f>
        <v>#REF!</v>
      </c>
      <c r="K14" s="63" t="s">
        <v>23</v>
      </c>
    </row>
    <row r="15" spans="1:11" x14ac:dyDescent="0.2">
      <c r="A15">
        <v>2.7</v>
      </c>
      <c r="B15">
        <f t="shared" si="3"/>
        <v>0</v>
      </c>
      <c r="C15">
        <f t="shared" si="4"/>
        <v>0</v>
      </c>
      <c r="D15">
        <f t="shared" si="5"/>
        <v>0</v>
      </c>
      <c r="E15">
        <f t="shared" si="6"/>
        <v>0</v>
      </c>
    </row>
    <row r="16" spans="1:11" x14ac:dyDescent="0.2">
      <c r="A16">
        <v>3.3</v>
      </c>
      <c r="B16">
        <f t="shared" si="3"/>
        <v>0</v>
      </c>
      <c r="C16">
        <f t="shared" si="4"/>
        <v>0</v>
      </c>
      <c r="D16">
        <f t="shared" si="5"/>
        <v>0</v>
      </c>
      <c r="E16">
        <f t="shared" si="6"/>
        <v>0</v>
      </c>
      <c r="H16" s="63" t="s">
        <v>171</v>
      </c>
      <c r="I16">
        <f>Ruvlo1</f>
        <v>1000</v>
      </c>
      <c r="J16" s="3">
        <f>IF(I16="OPEN","OPEN",IF(I16&gt;(INT(0.5+100*POWER(10,IF(96*(LOG(I16)-INT(LOG(I16)))-ROUND(96*(LOG(I16)-INT(LOG(I16))),0)&lt;0,ROUND(96*(LOG(I16)-INT(LOG(I16))),0)-1,ROUND(96*(LOG(I16)-INT(LOG(I16))),0))/96))*POWER(10,INT(LOG(I16))-2)+INT(0.5+100*POWER(10,(IF(96*(LOG(I16)-INT(LOG(I16)))-ROUND(96*(LOG(I16)-INT(LOG(I16))),0)&lt;0,ROUND(96*(LOG(I16)-INT(LOG(I16))),0)-1,ROUND(96*(LOG(I16)-INT(LOG(I16))),0))+1)/96))*POWER(10,INT(LOG(I16))-2))/2,INT(0.5+100*POWER(10,(IF(96*(LOG(I16)-INT(LOG(I16)))-ROUND(96*(LOG(I16)-INT(LOG(I16))),0)&lt;0,ROUND(96*(LOG(I16)-INT(LOG(I16))),0)-1,ROUND(96*(LOG(I16)-INT(LOG(I16))),0))+1)/96))*POWER(10,INT(LOG(I16))-2),INT(0.5+100*POWER(10,IF(96*(LOG(I16)-INT(LOG(I16)))-ROUND(96*(LOG(I16)-INT(LOG(I16))),0)&lt;0,ROUND(96*(LOG(I16)-INT(LOG(I16))),0)-1,ROUND(96*(LOG(I16)-INT(LOG(I16))),0))/96))*POWER(10,INT(LOG(I16))-2)))</f>
        <v>1000</v>
      </c>
      <c r="K16" s="12" t="s">
        <v>151</v>
      </c>
    </row>
    <row r="17" spans="1:11" x14ac:dyDescent="0.2">
      <c r="A17">
        <v>3.9</v>
      </c>
      <c r="B17">
        <f t="shared" si="3"/>
        <v>0</v>
      </c>
      <c r="C17">
        <f t="shared" si="4"/>
        <v>0</v>
      </c>
      <c r="D17">
        <f t="shared" si="5"/>
        <v>0</v>
      </c>
      <c r="E17">
        <f t="shared" si="6"/>
        <v>0</v>
      </c>
      <c r="H17" s="63" t="s">
        <v>172</v>
      </c>
      <c r="I17" s="176">
        <f>Ruvlo2</f>
        <v>64.509261230572704</v>
      </c>
      <c r="J17" s="3">
        <f>IF(I17="OPEN","OPEN",IF(I17&gt;(INT(0.5+100*POWER(10,IF(96*(LOG(I17)-INT(LOG(I17)))-ROUND(96*(LOG(I17)-INT(LOG(I17))),0)&lt;0,ROUND(96*(LOG(I17)-INT(LOG(I17))),0)-1,ROUND(96*(LOG(I17)-INT(LOG(I17))),0))/96))*POWER(10,INT(LOG(I17))-2)+INT(0.5+100*POWER(10,(IF(96*(LOG(I17)-INT(LOG(I17)))-ROUND(96*(LOG(I17)-INT(LOG(I17))),0)&lt;0,ROUND(96*(LOG(I17)-INT(LOG(I17))),0)-1,ROUND(96*(LOG(I17)-INT(LOG(I17))),0))+1)/96))*POWER(10,INT(LOG(I17))-2))/2,INT(0.5+100*POWER(10,(IF(96*(LOG(I17)-INT(LOG(I17)))-ROUND(96*(LOG(I17)-INT(LOG(I17))),0)&lt;0,ROUND(96*(LOG(I17)-INT(LOG(I17))),0)-1,ROUND(96*(LOG(I17)-INT(LOG(I17))),0))+1)/96))*POWER(10,INT(LOG(I17))-2),INT(0.5+100*POWER(10,IF(96*(LOG(I17)-INT(LOG(I17)))-ROUND(96*(LOG(I17)-INT(LOG(I17))),0)&lt;0,ROUND(96*(LOG(I17)-INT(LOG(I17))),0)-1,ROUND(96*(LOG(I17)-INT(LOG(I17))),0))/96))*POWER(10,INT(LOG(I17))-2)))</f>
        <v>64.900000000000006</v>
      </c>
      <c r="K17" s="12" t="s">
        <v>151</v>
      </c>
    </row>
    <row r="18" spans="1:11" x14ac:dyDescent="0.2">
      <c r="A18">
        <v>4.7</v>
      </c>
      <c r="B18">
        <f t="shared" si="3"/>
        <v>0</v>
      </c>
      <c r="C18">
        <f t="shared" si="4"/>
        <v>0</v>
      </c>
      <c r="D18">
        <f t="shared" si="5"/>
        <v>0</v>
      </c>
      <c r="E18">
        <f t="shared" si="6"/>
        <v>0</v>
      </c>
      <c r="H18" s="63" t="s">
        <v>472</v>
      </c>
      <c r="I18" s="176">
        <f>Rhys</f>
        <v>3.3597468377709037</v>
      </c>
      <c r="J18" s="3">
        <f>IF(I18="OPEN","OPEN",IF(I18&gt;(INT(0.5+100*POWER(10,IF(96*(LOG(I18)-INT(LOG(I18)))-ROUND(96*(LOG(I18)-INT(LOG(I18))),0)&lt;0,ROUND(96*(LOG(I18)-INT(LOG(I18))),0)-1,ROUND(96*(LOG(I18)-INT(LOG(I18))),0))/96))*POWER(10,INT(LOG(I18))-2)+INT(0.5+100*POWER(10,(IF(96*(LOG(I18)-INT(LOG(I18)))-ROUND(96*(LOG(I18)-INT(LOG(I18))),0)&lt;0,ROUND(96*(LOG(I18)-INT(LOG(I18))),0)-1,ROUND(96*(LOG(I18)-INT(LOG(I18))),0))+1)/96))*POWER(10,INT(LOG(I18))-2))/2,INT(0.5+100*POWER(10,(IF(96*(LOG(I18)-INT(LOG(I18)))-ROUND(96*(LOG(I18)-INT(LOG(I18))),0)&lt;0,ROUND(96*(LOG(I18)-INT(LOG(I18))),0)-1,ROUND(96*(LOG(I18)-INT(LOG(I18))),0))+1)/96))*POWER(10,INT(LOG(I18))-2),INT(0.5+100*POWER(10,IF(96*(LOG(I18)-INT(LOG(I18)))-ROUND(96*(LOG(I18)-INT(LOG(I18))),0)&lt;0,ROUND(96*(LOG(I18)-INT(LOG(I18))),0)-1,ROUND(96*(LOG(I18)-INT(LOG(I18))),0))/96))*POWER(10,INT(LOG(I18))-2)))</f>
        <v>3.3200000000000003</v>
      </c>
      <c r="K18" s="12" t="s">
        <v>151</v>
      </c>
    </row>
    <row r="19" spans="1:11" x14ac:dyDescent="0.2">
      <c r="A19">
        <v>5.6</v>
      </c>
      <c r="B19">
        <f t="shared" si="3"/>
        <v>0</v>
      </c>
      <c r="C19">
        <f t="shared" si="4"/>
        <v>0</v>
      </c>
      <c r="D19">
        <f t="shared" si="5"/>
        <v>0</v>
      </c>
      <c r="E19">
        <f t="shared" si="6"/>
        <v>0</v>
      </c>
    </row>
    <row r="20" spans="1:11" x14ac:dyDescent="0.2">
      <c r="A20">
        <v>6.8</v>
      </c>
      <c r="B20">
        <f t="shared" si="3"/>
        <v>0</v>
      </c>
      <c r="C20">
        <f t="shared" si="4"/>
        <v>0</v>
      </c>
      <c r="D20">
        <f t="shared" si="5"/>
        <v>0</v>
      </c>
      <c r="E20">
        <f t="shared" si="6"/>
        <v>0</v>
      </c>
      <c r="H20" s="63"/>
      <c r="J20" s="3"/>
    </row>
    <row r="21" spans="1:11" x14ac:dyDescent="0.2">
      <c r="A21">
        <v>8.1999999999999993</v>
      </c>
      <c r="B21">
        <f t="shared" si="3"/>
        <v>0</v>
      </c>
      <c r="C21">
        <f t="shared" si="4"/>
        <v>0</v>
      </c>
      <c r="D21">
        <f t="shared" si="5"/>
        <v>0</v>
      </c>
      <c r="E21">
        <f t="shared" si="6"/>
        <v>0</v>
      </c>
      <c r="J21" s="3"/>
    </row>
    <row r="22" spans="1:11" x14ac:dyDescent="0.2">
      <c r="A22">
        <v>10</v>
      </c>
      <c r="B22">
        <f t="shared" si="3"/>
        <v>0</v>
      </c>
      <c r="C22">
        <f t="shared" si="4"/>
        <v>0</v>
      </c>
      <c r="D22">
        <f t="shared" si="5"/>
        <v>0</v>
      </c>
      <c r="E22">
        <f t="shared" si="6"/>
        <v>0</v>
      </c>
      <c r="H22" s="63"/>
      <c r="J22" s="3"/>
      <c r="K22" s="12"/>
    </row>
    <row r="23" spans="1:11" x14ac:dyDescent="0.2">
      <c r="A23">
        <v>12</v>
      </c>
      <c r="B23">
        <f t="shared" si="3"/>
        <v>0</v>
      </c>
      <c r="C23">
        <f t="shared" si="4"/>
        <v>0</v>
      </c>
      <c r="D23">
        <f t="shared" si="5"/>
        <v>0</v>
      </c>
      <c r="E23">
        <f t="shared" si="6"/>
        <v>0</v>
      </c>
    </row>
    <row r="24" spans="1:11" x14ac:dyDescent="0.2">
      <c r="A24">
        <v>15</v>
      </c>
      <c r="B24">
        <f t="shared" si="3"/>
        <v>0</v>
      </c>
      <c r="C24">
        <f t="shared" si="4"/>
        <v>0</v>
      </c>
      <c r="D24">
        <f t="shared" si="5"/>
        <v>0</v>
      </c>
      <c r="E24">
        <f t="shared" si="6"/>
        <v>0</v>
      </c>
      <c r="J24" s="3"/>
    </row>
    <row r="25" spans="1:11" x14ac:dyDescent="0.2">
      <c r="A25">
        <v>18</v>
      </c>
      <c r="B25">
        <f t="shared" si="3"/>
        <v>0</v>
      </c>
      <c r="C25">
        <f t="shared" si="4"/>
        <v>0</v>
      </c>
      <c r="D25">
        <f t="shared" si="5"/>
        <v>0</v>
      </c>
      <c r="E25">
        <f t="shared" si="6"/>
        <v>0</v>
      </c>
      <c r="H25" s="63"/>
      <c r="J25" s="3"/>
      <c r="K25" s="12"/>
    </row>
    <row r="26" spans="1:11" x14ac:dyDescent="0.2">
      <c r="A26">
        <v>22</v>
      </c>
      <c r="B26">
        <f t="shared" si="3"/>
        <v>0</v>
      </c>
      <c r="C26">
        <f t="shared" si="4"/>
        <v>0</v>
      </c>
      <c r="D26">
        <f t="shared" si="5"/>
        <v>0</v>
      </c>
      <c r="E26">
        <f t="shared" si="6"/>
        <v>0</v>
      </c>
    </row>
    <row r="27" spans="1:11" x14ac:dyDescent="0.2">
      <c r="A27">
        <v>27</v>
      </c>
      <c r="B27">
        <f t="shared" si="3"/>
        <v>0</v>
      </c>
      <c r="C27">
        <f t="shared" si="4"/>
        <v>0</v>
      </c>
      <c r="D27">
        <f t="shared" si="5"/>
        <v>0</v>
      </c>
      <c r="E27">
        <f t="shared" si="6"/>
        <v>0</v>
      </c>
    </row>
    <row r="28" spans="1:11" x14ac:dyDescent="0.2">
      <c r="A28">
        <v>33</v>
      </c>
      <c r="B28">
        <f t="shared" si="3"/>
        <v>0</v>
      </c>
      <c r="C28">
        <f t="shared" si="4"/>
        <v>0</v>
      </c>
      <c r="D28">
        <f t="shared" si="5"/>
        <v>0</v>
      </c>
      <c r="E28">
        <f t="shared" si="6"/>
        <v>0</v>
      </c>
      <c r="H28" s="4"/>
      <c r="K28" s="12"/>
    </row>
    <row r="29" spans="1:11" x14ac:dyDescent="0.2">
      <c r="A29">
        <v>39</v>
      </c>
      <c r="B29">
        <f t="shared" si="3"/>
        <v>0</v>
      </c>
      <c r="C29">
        <f t="shared" si="4"/>
        <v>0</v>
      </c>
      <c r="D29">
        <f t="shared" si="5"/>
        <v>0</v>
      </c>
      <c r="E29">
        <f t="shared" si="6"/>
        <v>0</v>
      </c>
      <c r="H29" s="4"/>
      <c r="K29" s="63"/>
    </row>
    <row r="30" spans="1:11" x14ac:dyDescent="0.2">
      <c r="A30">
        <v>47</v>
      </c>
      <c r="B30">
        <f t="shared" si="3"/>
        <v>0</v>
      </c>
      <c r="C30">
        <f t="shared" si="4"/>
        <v>0</v>
      </c>
      <c r="D30">
        <f t="shared" si="5"/>
        <v>0</v>
      </c>
      <c r="E30">
        <f t="shared" si="6"/>
        <v>0</v>
      </c>
      <c r="H30" s="4"/>
      <c r="K30" s="63"/>
    </row>
    <row r="31" spans="1:11" x14ac:dyDescent="0.2">
      <c r="A31">
        <v>56</v>
      </c>
      <c r="B31">
        <f t="shared" si="3"/>
        <v>0</v>
      </c>
      <c r="C31">
        <f t="shared" si="4"/>
        <v>0</v>
      </c>
      <c r="D31">
        <f t="shared" si="5"/>
        <v>0</v>
      </c>
      <c r="E31">
        <f t="shared" si="6"/>
        <v>0</v>
      </c>
      <c r="H31" s="4"/>
      <c r="K31" s="12"/>
    </row>
    <row r="32" spans="1:11" x14ac:dyDescent="0.2">
      <c r="A32">
        <v>68</v>
      </c>
      <c r="B32">
        <f t="shared" si="3"/>
        <v>0</v>
      </c>
      <c r="C32">
        <f t="shared" si="4"/>
        <v>0</v>
      </c>
      <c r="D32">
        <f t="shared" si="5"/>
        <v>0</v>
      </c>
      <c r="E32">
        <f t="shared" si="6"/>
        <v>0</v>
      </c>
      <c r="H32" s="4"/>
      <c r="K32" s="63"/>
    </row>
    <row r="33" spans="1:8" x14ac:dyDescent="0.2">
      <c r="A33">
        <v>82</v>
      </c>
      <c r="B33">
        <f t="shared" si="3"/>
        <v>0</v>
      </c>
      <c r="C33">
        <f t="shared" si="4"/>
        <v>0</v>
      </c>
      <c r="D33">
        <f t="shared" si="5"/>
        <v>0</v>
      </c>
      <c r="E33">
        <f t="shared" si="6"/>
        <v>0</v>
      </c>
    </row>
    <row r="34" spans="1:8" x14ac:dyDescent="0.2">
      <c r="A34">
        <f>A22*10</f>
        <v>100</v>
      </c>
      <c r="B34">
        <f t="shared" si="3"/>
        <v>0</v>
      </c>
      <c r="C34">
        <f t="shared" si="4"/>
        <v>0</v>
      </c>
      <c r="D34">
        <f t="shared" si="5"/>
        <v>0</v>
      </c>
      <c r="E34">
        <f t="shared" si="6"/>
        <v>0</v>
      </c>
      <c r="H34" s="63"/>
    </row>
    <row r="35" spans="1:8" x14ac:dyDescent="0.2">
      <c r="A35">
        <f t="shared" ref="A35:A98" si="8">A23*10</f>
        <v>120</v>
      </c>
      <c r="B35">
        <f t="shared" si="3"/>
        <v>0</v>
      </c>
      <c r="C35">
        <f t="shared" si="4"/>
        <v>0</v>
      </c>
      <c r="D35">
        <f t="shared" si="5"/>
        <v>0</v>
      </c>
      <c r="E35">
        <f t="shared" si="6"/>
        <v>0</v>
      </c>
      <c r="H35" s="63"/>
    </row>
    <row r="36" spans="1:8" x14ac:dyDescent="0.2">
      <c r="A36">
        <f t="shared" si="8"/>
        <v>150</v>
      </c>
      <c r="B36">
        <f t="shared" si="3"/>
        <v>0</v>
      </c>
      <c r="C36">
        <f t="shared" si="4"/>
        <v>0</v>
      </c>
      <c r="D36">
        <f t="shared" si="5"/>
        <v>0</v>
      </c>
      <c r="E36">
        <f t="shared" si="6"/>
        <v>0</v>
      </c>
    </row>
    <row r="37" spans="1:8" x14ac:dyDescent="0.2">
      <c r="A37">
        <f t="shared" si="8"/>
        <v>180</v>
      </c>
      <c r="B37">
        <f t="shared" si="3"/>
        <v>0</v>
      </c>
      <c r="C37">
        <f t="shared" si="4"/>
        <v>0</v>
      </c>
      <c r="D37">
        <f t="shared" si="5"/>
        <v>0</v>
      </c>
      <c r="E37">
        <f t="shared" si="6"/>
        <v>0</v>
      </c>
    </row>
    <row r="38" spans="1:8" x14ac:dyDescent="0.2">
      <c r="A38">
        <f t="shared" si="8"/>
        <v>220</v>
      </c>
      <c r="B38">
        <f t="shared" si="3"/>
        <v>0</v>
      </c>
      <c r="C38">
        <f t="shared" si="4"/>
        <v>0</v>
      </c>
      <c r="D38">
        <f t="shared" si="5"/>
        <v>0</v>
      </c>
      <c r="E38">
        <f t="shared" ref="E38:E69" si="9">IF(IF((E$3*10^12-$A39)*(E$3*10^12-$A38)*-1&lt;0,0,1)*IF(ABS(E$3*10^12-$A39)&gt;(E$3*10^12-$A38),$A38,$A39)=E39,0,IF((E$3*10^12-$A39)*(E$3*10^12-$A38)*-1&lt;0,0,1)*IF(ABS(E$3*10^12-$A39)&gt;(E$3*10^12-$A38),$A38,$A39))</f>
        <v>0</v>
      </c>
    </row>
    <row r="39" spans="1:8" x14ac:dyDescent="0.2">
      <c r="A39">
        <f t="shared" si="8"/>
        <v>270</v>
      </c>
      <c r="B39">
        <f t="shared" si="3"/>
        <v>0</v>
      </c>
      <c r="C39">
        <f t="shared" si="4"/>
        <v>0</v>
      </c>
      <c r="D39">
        <f t="shared" si="5"/>
        <v>0</v>
      </c>
      <c r="E39">
        <f t="shared" si="9"/>
        <v>0</v>
      </c>
    </row>
    <row r="40" spans="1:8" x14ac:dyDescent="0.2">
      <c r="A40">
        <f t="shared" si="8"/>
        <v>330</v>
      </c>
      <c r="B40">
        <f t="shared" si="3"/>
        <v>0</v>
      </c>
      <c r="C40">
        <f t="shared" si="4"/>
        <v>0</v>
      </c>
      <c r="D40">
        <f t="shared" si="5"/>
        <v>0</v>
      </c>
      <c r="E40">
        <f t="shared" si="9"/>
        <v>0</v>
      </c>
    </row>
    <row r="41" spans="1:8" x14ac:dyDescent="0.2">
      <c r="A41">
        <f t="shared" si="8"/>
        <v>390</v>
      </c>
      <c r="B41">
        <f t="shared" si="3"/>
        <v>0</v>
      </c>
      <c r="C41">
        <f t="shared" si="4"/>
        <v>0</v>
      </c>
      <c r="D41">
        <f t="shared" si="5"/>
        <v>0</v>
      </c>
      <c r="E41">
        <f t="shared" si="9"/>
        <v>0</v>
      </c>
    </row>
    <row r="42" spans="1:8" x14ac:dyDescent="0.2">
      <c r="A42">
        <f t="shared" si="8"/>
        <v>470</v>
      </c>
      <c r="B42">
        <f t="shared" si="3"/>
        <v>0</v>
      </c>
      <c r="C42">
        <f t="shared" si="4"/>
        <v>0</v>
      </c>
      <c r="D42">
        <f t="shared" si="5"/>
        <v>0</v>
      </c>
      <c r="E42">
        <f t="shared" si="9"/>
        <v>0</v>
      </c>
    </row>
    <row r="43" spans="1:8" x14ac:dyDescent="0.2">
      <c r="A43">
        <f t="shared" si="8"/>
        <v>560</v>
      </c>
      <c r="B43">
        <f t="shared" si="3"/>
        <v>0</v>
      </c>
      <c r="C43">
        <f t="shared" si="4"/>
        <v>0</v>
      </c>
      <c r="D43">
        <f t="shared" si="5"/>
        <v>0</v>
      </c>
      <c r="E43">
        <f t="shared" si="9"/>
        <v>0</v>
      </c>
    </row>
    <row r="44" spans="1:8" x14ac:dyDescent="0.2">
      <c r="A44">
        <f t="shared" si="8"/>
        <v>680</v>
      </c>
      <c r="B44">
        <f t="shared" si="3"/>
        <v>0</v>
      </c>
      <c r="C44">
        <f t="shared" si="4"/>
        <v>0</v>
      </c>
      <c r="D44">
        <f t="shared" si="5"/>
        <v>0</v>
      </c>
      <c r="E44">
        <f t="shared" si="9"/>
        <v>0</v>
      </c>
    </row>
    <row r="45" spans="1:8" x14ac:dyDescent="0.2">
      <c r="A45">
        <f>A33*10</f>
        <v>820</v>
      </c>
      <c r="B45">
        <f t="shared" si="3"/>
        <v>0</v>
      </c>
      <c r="C45">
        <f t="shared" si="4"/>
        <v>0</v>
      </c>
      <c r="D45">
        <f t="shared" si="5"/>
        <v>0</v>
      </c>
      <c r="E45">
        <f t="shared" si="9"/>
        <v>0</v>
      </c>
    </row>
    <row r="46" spans="1:8" x14ac:dyDescent="0.2">
      <c r="A46">
        <f t="shared" si="8"/>
        <v>1000</v>
      </c>
      <c r="B46">
        <f t="shared" si="3"/>
        <v>0</v>
      </c>
      <c r="C46">
        <f t="shared" si="4"/>
        <v>0</v>
      </c>
      <c r="D46">
        <f t="shared" si="5"/>
        <v>0</v>
      </c>
      <c r="E46">
        <f t="shared" si="9"/>
        <v>0</v>
      </c>
    </row>
    <row r="47" spans="1:8" x14ac:dyDescent="0.2">
      <c r="A47">
        <f t="shared" si="8"/>
        <v>1200</v>
      </c>
      <c r="B47">
        <f t="shared" si="3"/>
        <v>0</v>
      </c>
      <c r="C47">
        <f t="shared" si="4"/>
        <v>0</v>
      </c>
      <c r="D47">
        <f t="shared" si="5"/>
        <v>0</v>
      </c>
      <c r="E47">
        <f t="shared" si="9"/>
        <v>0</v>
      </c>
    </row>
    <row r="48" spans="1:8" x14ac:dyDescent="0.2">
      <c r="A48">
        <f t="shared" si="8"/>
        <v>1500</v>
      </c>
      <c r="B48">
        <f t="shared" si="3"/>
        <v>0</v>
      </c>
      <c r="C48">
        <f t="shared" si="4"/>
        <v>0</v>
      </c>
      <c r="D48">
        <f t="shared" si="5"/>
        <v>0</v>
      </c>
      <c r="E48">
        <f t="shared" si="9"/>
        <v>0</v>
      </c>
    </row>
    <row r="49" spans="1:5" x14ac:dyDescent="0.2">
      <c r="A49">
        <f t="shared" si="8"/>
        <v>1800</v>
      </c>
      <c r="B49">
        <f t="shared" si="3"/>
        <v>0</v>
      </c>
      <c r="C49">
        <f t="shared" si="4"/>
        <v>0</v>
      </c>
      <c r="D49">
        <f t="shared" si="5"/>
        <v>0</v>
      </c>
      <c r="E49">
        <f t="shared" si="9"/>
        <v>0</v>
      </c>
    </row>
    <row r="50" spans="1:5" x14ac:dyDescent="0.2">
      <c r="A50">
        <f t="shared" si="8"/>
        <v>2200</v>
      </c>
      <c r="B50">
        <f t="shared" si="3"/>
        <v>0</v>
      </c>
      <c r="C50">
        <f t="shared" si="4"/>
        <v>0</v>
      </c>
      <c r="D50">
        <f t="shared" si="5"/>
        <v>0</v>
      </c>
      <c r="E50">
        <f t="shared" si="9"/>
        <v>0</v>
      </c>
    </row>
    <row r="51" spans="1:5" x14ac:dyDescent="0.2">
      <c r="A51">
        <f t="shared" si="8"/>
        <v>2700</v>
      </c>
      <c r="B51">
        <f t="shared" si="3"/>
        <v>0</v>
      </c>
      <c r="C51">
        <f t="shared" si="4"/>
        <v>0</v>
      </c>
      <c r="D51">
        <f t="shared" si="5"/>
        <v>0</v>
      </c>
      <c r="E51">
        <f t="shared" si="9"/>
        <v>0</v>
      </c>
    </row>
    <row r="52" spans="1:5" x14ac:dyDescent="0.2">
      <c r="A52">
        <f t="shared" si="8"/>
        <v>3300</v>
      </c>
      <c r="B52">
        <f t="shared" si="3"/>
        <v>0</v>
      </c>
      <c r="C52">
        <f t="shared" si="4"/>
        <v>0</v>
      </c>
      <c r="D52">
        <f t="shared" si="5"/>
        <v>0</v>
      </c>
      <c r="E52">
        <f t="shared" si="9"/>
        <v>0</v>
      </c>
    </row>
    <row r="53" spans="1:5" x14ac:dyDescent="0.2">
      <c r="A53">
        <f t="shared" si="8"/>
        <v>3900</v>
      </c>
      <c r="B53">
        <f t="shared" si="3"/>
        <v>0</v>
      </c>
      <c r="C53">
        <f t="shared" si="4"/>
        <v>0</v>
      </c>
      <c r="D53">
        <f t="shared" si="5"/>
        <v>0</v>
      </c>
      <c r="E53">
        <f t="shared" si="9"/>
        <v>0</v>
      </c>
    </row>
    <row r="54" spans="1:5" x14ac:dyDescent="0.2">
      <c r="A54">
        <f t="shared" si="8"/>
        <v>4700</v>
      </c>
      <c r="B54">
        <f t="shared" si="3"/>
        <v>0</v>
      </c>
      <c r="C54">
        <f t="shared" si="4"/>
        <v>0</v>
      </c>
      <c r="D54">
        <f t="shared" si="5"/>
        <v>0</v>
      </c>
      <c r="E54">
        <f t="shared" si="9"/>
        <v>0</v>
      </c>
    </row>
    <row r="55" spans="1:5" x14ac:dyDescent="0.2">
      <c r="A55">
        <f t="shared" si="8"/>
        <v>5600</v>
      </c>
      <c r="B55">
        <f t="shared" si="3"/>
        <v>0</v>
      </c>
      <c r="C55">
        <f t="shared" si="4"/>
        <v>0</v>
      </c>
      <c r="D55">
        <f t="shared" si="5"/>
        <v>0</v>
      </c>
      <c r="E55">
        <f t="shared" si="9"/>
        <v>0</v>
      </c>
    </row>
    <row r="56" spans="1:5" x14ac:dyDescent="0.2">
      <c r="A56">
        <f t="shared" si="8"/>
        <v>6800</v>
      </c>
      <c r="B56">
        <f t="shared" si="3"/>
        <v>0</v>
      </c>
      <c r="C56">
        <f t="shared" si="4"/>
        <v>0</v>
      </c>
      <c r="D56">
        <f t="shared" si="5"/>
        <v>0</v>
      </c>
      <c r="E56">
        <f t="shared" si="9"/>
        <v>0</v>
      </c>
    </row>
    <row r="57" spans="1:5" x14ac:dyDescent="0.2">
      <c r="A57">
        <f t="shared" si="8"/>
        <v>8200</v>
      </c>
      <c r="B57">
        <f t="shared" si="3"/>
        <v>0</v>
      </c>
      <c r="C57">
        <f t="shared" si="4"/>
        <v>0</v>
      </c>
      <c r="D57">
        <f t="shared" si="5"/>
        <v>0</v>
      </c>
      <c r="E57">
        <f t="shared" si="9"/>
        <v>0</v>
      </c>
    </row>
    <row r="58" spans="1:5" x14ac:dyDescent="0.2">
      <c r="A58">
        <f t="shared" si="8"/>
        <v>10000</v>
      </c>
      <c r="B58">
        <f t="shared" si="3"/>
        <v>0</v>
      </c>
      <c r="C58">
        <f t="shared" si="4"/>
        <v>0</v>
      </c>
      <c r="D58">
        <f t="shared" si="5"/>
        <v>0</v>
      </c>
      <c r="E58">
        <f t="shared" si="9"/>
        <v>0</v>
      </c>
    </row>
    <row r="59" spans="1:5" x14ac:dyDescent="0.2">
      <c r="A59">
        <f t="shared" si="8"/>
        <v>12000</v>
      </c>
      <c r="B59">
        <f t="shared" si="3"/>
        <v>0</v>
      </c>
      <c r="C59">
        <f t="shared" si="4"/>
        <v>0</v>
      </c>
      <c r="D59">
        <f t="shared" si="5"/>
        <v>0</v>
      </c>
      <c r="E59">
        <f t="shared" si="9"/>
        <v>0</v>
      </c>
    </row>
    <row r="60" spans="1:5" x14ac:dyDescent="0.2">
      <c r="A60">
        <f t="shared" si="8"/>
        <v>15000</v>
      </c>
      <c r="B60">
        <f t="shared" si="3"/>
        <v>0</v>
      </c>
      <c r="C60">
        <f t="shared" si="4"/>
        <v>0</v>
      </c>
      <c r="D60">
        <f t="shared" si="5"/>
        <v>0</v>
      </c>
      <c r="E60">
        <f t="shared" si="9"/>
        <v>0</v>
      </c>
    </row>
    <row r="61" spans="1:5" x14ac:dyDescent="0.2">
      <c r="A61">
        <f t="shared" si="8"/>
        <v>18000</v>
      </c>
      <c r="B61">
        <f t="shared" si="3"/>
        <v>0</v>
      </c>
      <c r="C61">
        <f t="shared" si="4"/>
        <v>0</v>
      </c>
      <c r="D61">
        <f t="shared" si="5"/>
        <v>0</v>
      </c>
      <c r="E61">
        <f t="shared" si="9"/>
        <v>0</v>
      </c>
    </row>
    <row r="62" spans="1:5" x14ac:dyDescent="0.2">
      <c r="A62">
        <f t="shared" si="8"/>
        <v>22000</v>
      </c>
      <c r="B62">
        <f t="shared" si="3"/>
        <v>0</v>
      </c>
      <c r="C62">
        <f t="shared" si="4"/>
        <v>0</v>
      </c>
      <c r="D62">
        <f t="shared" si="5"/>
        <v>0</v>
      </c>
      <c r="E62">
        <f t="shared" si="9"/>
        <v>0</v>
      </c>
    </row>
    <row r="63" spans="1:5" x14ac:dyDescent="0.2">
      <c r="A63">
        <f t="shared" si="8"/>
        <v>27000</v>
      </c>
      <c r="B63">
        <f t="shared" si="3"/>
        <v>0</v>
      </c>
      <c r="C63">
        <f t="shared" si="4"/>
        <v>0</v>
      </c>
      <c r="D63">
        <f t="shared" si="5"/>
        <v>0</v>
      </c>
      <c r="E63">
        <f t="shared" si="9"/>
        <v>0</v>
      </c>
    </row>
    <row r="64" spans="1:5" x14ac:dyDescent="0.2">
      <c r="A64">
        <f t="shared" si="8"/>
        <v>33000</v>
      </c>
      <c r="B64">
        <f t="shared" si="3"/>
        <v>0</v>
      </c>
      <c r="C64">
        <f t="shared" si="4"/>
        <v>0</v>
      </c>
      <c r="D64">
        <f t="shared" si="5"/>
        <v>0</v>
      </c>
      <c r="E64">
        <f t="shared" si="9"/>
        <v>0</v>
      </c>
    </row>
    <row r="65" spans="1:5" x14ac:dyDescent="0.2">
      <c r="A65">
        <f t="shared" si="8"/>
        <v>39000</v>
      </c>
      <c r="B65">
        <f t="shared" si="3"/>
        <v>0</v>
      </c>
      <c r="C65">
        <f t="shared" si="4"/>
        <v>0</v>
      </c>
      <c r="D65">
        <f t="shared" si="5"/>
        <v>0</v>
      </c>
      <c r="E65">
        <f t="shared" si="9"/>
        <v>0</v>
      </c>
    </row>
    <row r="66" spans="1:5" x14ac:dyDescent="0.2">
      <c r="A66">
        <f t="shared" si="8"/>
        <v>47000</v>
      </c>
      <c r="B66">
        <f t="shared" si="3"/>
        <v>47000</v>
      </c>
      <c r="C66">
        <f t="shared" si="4"/>
        <v>0</v>
      </c>
      <c r="D66">
        <f t="shared" si="5"/>
        <v>0</v>
      </c>
      <c r="E66">
        <f t="shared" si="9"/>
        <v>0</v>
      </c>
    </row>
    <row r="67" spans="1:5" x14ac:dyDescent="0.2">
      <c r="A67">
        <f t="shared" si="8"/>
        <v>56000</v>
      </c>
      <c r="B67">
        <f t="shared" si="3"/>
        <v>0</v>
      </c>
      <c r="C67">
        <f t="shared" si="4"/>
        <v>0</v>
      </c>
      <c r="D67">
        <f t="shared" si="5"/>
        <v>0</v>
      </c>
      <c r="E67">
        <f t="shared" si="9"/>
        <v>0</v>
      </c>
    </row>
    <row r="68" spans="1:5" x14ac:dyDescent="0.2">
      <c r="A68">
        <f t="shared" si="8"/>
        <v>68000</v>
      </c>
      <c r="B68">
        <f t="shared" si="3"/>
        <v>0</v>
      </c>
      <c r="C68">
        <f t="shared" si="4"/>
        <v>0</v>
      </c>
      <c r="D68">
        <f t="shared" si="5"/>
        <v>0</v>
      </c>
      <c r="E68">
        <f t="shared" si="9"/>
        <v>0</v>
      </c>
    </row>
    <row r="69" spans="1:5" x14ac:dyDescent="0.2">
      <c r="A69">
        <f t="shared" si="8"/>
        <v>82000</v>
      </c>
      <c r="B69">
        <f t="shared" si="3"/>
        <v>0</v>
      </c>
      <c r="C69">
        <f t="shared" si="4"/>
        <v>0</v>
      </c>
      <c r="D69">
        <f t="shared" si="5"/>
        <v>0</v>
      </c>
      <c r="E69">
        <f t="shared" si="9"/>
        <v>0</v>
      </c>
    </row>
    <row r="70" spans="1:5" x14ac:dyDescent="0.2">
      <c r="A70">
        <f t="shared" si="8"/>
        <v>100000</v>
      </c>
      <c r="B70">
        <f t="shared" si="3"/>
        <v>0</v>
      </c>
      <c r="C70">
        <f t="shared" ref="C70:D70" si="10">IF(IF((C$3*10^12-$A71)*(C$3*10^12-$A70)*-1&lt;0,0,1)*IF(ABS(C$3*10^12-$A71)&gt;(C$3*10^12-$A70),$A70,$A71)=C71,0,IF((C$3*10^12-$A71)*(C$3*10^12-$A70)*-1&lt;0,0,1)*IF(ABS(C$3*10^12-$A71)&gt;(C$3*10^12-$A70),$A70,$A71))</f>
        <v>0</v>
      </c>
      <c r="D70">
        <f t="shared" si="10"/>
        <v>0</v>
      </c>
      <c r="E70">
        <f t="shared" ref="E70:E101" si="11">IF(IF((E$3*10^12-$A71)*(E$3*10^12-$A70)*-1&lt;0,0,1)*IF(ABS(E$3*10^12-$A71)&gt;(E$3*10^12-$A70),$A70,$A71)=E71,0,IF((E$3*10^12-$A71)*(E$3*10^12-$A70)*-1&lt;0,0,1)*IF(ABS(E$3*10^12-$A71)&gt;(E$3*10^12-$A70),$A70,$A71))</f>
        <v>0</v>
      </c>
    </row>
    <row r="71" spans="1:5" x14ac:dyDescent="0.2">
      <c r="A71">
        <f t="shared" si="8"/>
        <v>120000</v>
      </c>
      <c r="B71">
        <f t="shared" ref="B71:B134" si="12">IF(IF((B$3*10^12-$A72)*(B$3*10^12-$A71)*-1&lt;0,0,1)*IF(ABS(B$3*10^12-$A72)&gt;(B$3*10^12-$A71),$A71,$A72)=B72,0,IF((B$3*10^12-$A72)*(B$3*10^12-$A71)*-1&lt;0,0,1)*IF(ABS(B$3*10^12-$A72)&gt;(B$3*10^12-$A71),$A71,$A72))</f>
        <v>0</v>
      </c>
      <c r="C71">
        <f t="shared" ref="C71:C133" si="13">IF(IF((C$3*10^12-$A72)*(C$3*10^12-$A71)*-1&lt;0,0,1)*IF(ABS(C$3*10^12-$A72)&gt;(C$3*10^12-$A71),$A71,$A72)=C72,0,IF((C$3*10^12-$A72)*(C$3*10^12-$A71)*-1&lt;0,0,1)*IF(ABS(C$3*10^12-$A72)&gt;(C$3*10^12-$A71),$A71,$A72))</f>
        <v>0</v>
      </c>
      <c r="D71">
        <f t="shared" ref="D71:D102" si="14">IF(IF((D$3*10^12-$A72)*(D$3*10^12-$A71)*-1&lt;0,0,1)*IF(ABS(D$3*10^12-$A72)&gt;(D$3*10^12-$A71),$A71,$A72)=D72,0,IF((D$3*10^12-$A72)*(D$3*10^12-$A71)*-1&lt;0,0,1)*IF(ABS(D$3*10^12-$A72)&gt;(D$3*10^12-$A71),$A71,$A72))</f>
        <v>0</v>
      </c>
      <c r="E71">
        <f t="shared" si="11"/>
        <v>0</v>
      </c>
    </row>
    <row r="72" spans="1:5" x14ac:dyDescent="0.2">
      <c r="A72">
        <f t="shared" si="8"/>
        <v>150000</v>
      </c>
      <c r="B72">
        <f t="shared" si="12"/>
        <v>0</v>
      </c>
      <c r="C72">
        <f t="shared" si="13"/>
        <v>0</v>
      </c>
      <c r="D72">
        <f t="shared" si="14"/>
        <v>0</v>
      </c>
      <c r="E72">
        <f t="shared" si="11"/>
        <v>0</v>
      </c>
    </row>
    <row r="73" spans="1:5" x14ac:dyDescent="0.2">
      <c r="A73">
        <f t="shared" si="8"/>
        <v>180000</v>
      </c>
      <c r="B73">
        <f t="shared" si="12"/>
        <v>0</v>
      </c>
      <c r="C73">
        <f t="shared" si="13"/>
        <v>0</v>
      </c>
      <c r="D73">
        <f t="shared" si="14"/>
        <v>0</v>
      </c>
      <c r="E73">
        <f t="shared" si="11"/>
        <v>0</v>
      </c>
    </row>
    <row r="74" spans="1:5" x14ac:dyDescent="0.2">
      <c r="A74">
        <f t="shared" si="8"/>
        <v>220000</v>
      </c>
      <c r="B74">
        <f t="shared" si="12"/>
        <v>0</v>
      </c>
      <c r="C74">
        <f t="shared" si="13"/>
        <v>0</v>
      </c>
      <c r="D74">
        <f t="shared" si="14"/>
        <v>0</v>
      </c>
      <c r="E74">
        <f t="shared" si="11"/>
        <v>0</v>
      </c>
    </row>
    <row r="75" spans="1:5" x14ac:dyDescent="0.2">
      <c r="A75">
        <f t="shared" si="8"/>
        <v>270000</v>
      </c>
      <c r="B75">
        <f t="shared" si="12"/>
        <v>0</v>
      </c>
      <c r="C75">
        <f t="shared" si="13"/>
        <v>0</v>
      </c>
      <c r="D75">
        <f t="shared" si="14"/>
        <v>0</v>
      </c>
      <c r="E75">
        <f t="shared" si="11"/>
        <v>0</v>
      </c>
    </row>
    <row r="76" spans="1:5" x14ac:dyDescent="0.2">
      <c r="A76">
        <f t="shared" si="8"/>
        <v>330000</v>
      </c>
      <c r="B76">
        <f t="shared" si="12"/>
        <v>0</v>
      </c>
      <c r="C76">
        <f t="shared" si="13"/>
        <v>0</v>
      </c>
      <c r="D76">
        <f t="shared" si="14"/>
        <v>0</v>
      </c>
      <c r="E76">
        <f t="shared" si="11"/>
        <v>0</v>
      </c>
    </row>
    <row r="77" spans="1:5" x14ac:dyDescent="0.2">
      <c r="A77">
        <f t="shared" si="8"/>
        <v>390000</v>
      </c>
      <c r="B77">
        <f t="shared" si="12"/>
        <v>0</v>
      </c>
      <c r="C77">
        <f t="shared" si="13"/>
        <v>0</v>
      </c>
      <c r="D77">
        <f t="shared" si="14"/>
        <v>0</v>
      </c>
      <c r="E77">
        <f t="shared" si="11"/>
        <v>0</v>
      </c>
    </row>
    <row r="78" spans="1:5" x14ac:dyDescent="0.2">
      <c r="A78">
        <f t="shared" si="8"/>
        <v>470000</v>
      </c>
      <c r="B78">
        <f t="shared" si="12"/>
        <v>0</v>
      </c>
      <c r="C78">
        <f t="shared" si="13"/>
        <v>0</v>
      </c>
      <c r="D78">
        <f t="shared" si="14"/>
        <v>0</v>
      </c>
      <c r="E78">
        <f t="shared" si="11"/>
        <v>0</v>
      </c>
    </row>
    <row r="79" spans="1:5" x14ac:dyDescent="0.2">
      <c r="A79">
        <f t="shared" si="8"/>
        <v>560000</v>
      </c>
      <c r="B79">
        <f t="shared" si="12"/>
        <v>0</v>
      </c>
      <c r="C79">
        <f t="shared" si="13"/>
        <v>0</v>
      </c>
      <c r="D79">
        <f t="shared" si="14"/>
        <v>0</v>
      </c>
      <c r="E79">
        <f t="shared" si="11"/>
        <v>0</v>
      </c>
    </row>
    <row r="80" spans="1:5" x14ac:dyDescent="0.2">
      <c r="A80">
        <f t="shared" si="8"/>
        <v>680000</v>
      </c>
      <c r="B80">
        <f t="shared" si="12"/>
        <v>0</v>
      </c>
      <c r="C80">
        <f t="shared" si="13"/>
        <v>0</v>
      </c>
      <c r="D80">
        <f t="shared" si="14"/>
        <v>0</v>
      </c>
      <c r="E80">
        <f t="shared" si="11"/>
        <v>0</v>
      </c>
    </row>
    <row r="81" spans="1:5" x14ac:dyDescent="0.2">
      <c r="A81">
        <f t="shared" si="8"/>
        <v>820000</v>
      </c>
      <c r="B81">
        <f t="shared" si="12"/>
        <v>0</v>
      </c>
      <c r="C81">
        <f t="shared" si="13"/>
        <v>0</v>
      </c>
      <c r="D81">
        <f t="shared" si="14"/>
        <v>0</v>
      </c>
      <c r="E81">
        <f t="shared" si="11"/>
        <v>0</v>
      </c>
    </row>
    <row r="82" spans="1:5" x14ac:dyDescent="0.2">
      <c r="A82">
        <f t="shared" si="8"/>
        <v>1000000</v>
      </c>
      <c r="B82">
        <f t="shared" si="12"/>
        <v>0</v>
      </c>
      <c r="C82">
        <f t="shared" si="13"/>
        <v>0</v>
      </c>
      <c r="D82">
        <f t="shared" si="14"/>
        <v>0</v>
      </c>
      <c r="E82">
        <f t="shared" si="11"/>
        <v>0</v>
      </c>
    </row>
    <row r="83" spans="1:5" x14ac:dyDescent="0.2">
      <c r="A83">
        <f t="shared" si="8"/>
        <v>1200000</v>
      </c>
      <c r="B83">
        <f t="shared" si="12"/>
        <v>0</v>
      </c>
      <c r="C83">
        <f t="shared" si="13"/>
        <v>0</v>
      </c>
      <c r="D83">
        <f t="shared" si="14"/>
        <v>0</v>
      </c>
      <c r="E83">
        <f t="shared" si="11"/>
        <v>0</v>
      </c>
    </row>
    <row r="84" spans="1:5" x14ac:dyDescent="0.2">
      <c r="A84">
        <f t="shared" si="8"/>
        <v>1500000</v>
      </c>
      <c r="B84">
        <f t="shared" si="12"/>
        <v>0</v>
      </c>
      <c r="C84">
        <f t="shared" si="13"/>
        <v>0</v>
      </c>
      <c r="D84">
        <f t="shared" si="14"/>
        <v>0</v>
      </c>
      <c r="E84">
        <f t="shared" si="11"/>
        <v>0</v>
      </c>
    </row>
    <row r="85" spans="1:5" x14ac:dyDescent="0.2">
      <c r="A85">
        <f t="shared" si="8"/>
        <v>1800000</v>
      </c>
      <c r="B85">
        <f t="shared" si="12"/>
        <v>0</v>
      </c>
      <c r="C85">
        <f t="shared" si="13"/>
        <v>0</v>
      </c>
      <c r="D85">
        <f t="shared" si="14"/>
        <v>0</v>
      </c>
      <c r="E85">
        <f t="shared" si="11"/>
        <v>0</v>
      </c>
    </row>
    <row r="86" spans="1:5" x14ac:dyDescent="0.2">
      <c r="A86">
        <f t="shared" si="8"/>
        <v>2200000</v>
      </c>
      <c r="B86">
        <f t="shared" si="12"/>
        <v>0</v>
      </c>
      <c r="C86">
        <f t="shared" si="13"/>
        <v>0</v>
      </c>
      <c r="D86">
        <f t="shared" si="14"/>
        <v>0</v>
      </c>
      <c r="E86">
        <f t="shared" si="11"/>
        <v>0</v>
      </c>
    </row>
    <row r="87" spans="1:5" x14ac:dyDescent="0.2">
      <c r="A87">
        <f t="shared" si="8"/>
        <v>2700000</v>
      </c>
      <c r="B87">
        <f t="shared" si="12"/>
        <v>0</v>
      </c>
      <c r="C87">
        <f t="shared" si="13"/>
        <v>0</v>
      </c>
      <c r="D87">
        <f t="shared" si="14"/>
        <v>0</v>
      </c>
      <c r="E87">
        <f t="shared" si="11"/>
        <v>0</v>
      </c>
    </row>
    <row r="88" spans="1:5" x14ac:dyDescent="0.2">
      <c r="A88">
        <f t="shared" si="8"/>
        <v>3300000</v>
      </c>
      <c r="B88">
        <f t="shared" si="12"/>
        <v>0</v>
      </c>
      <c r="C88">
        <f t="shared" si="13"/>
        <v>0</v>
      </c>
      <c r="D88">
        <f t="shared" si="14"/>
        <v>0</v>
      </c>
      <c r="E88">
        <f t="shared" si="11"/>
        <v>0</v>
      </c>
    </row>
    <row r="89" spans="1:5" x14ac:dyDescent="0.2">
      <c r="A89">
        <f t="shared" si="8"/>
        <v>3900000</v>
      </c>
      <c r="B89">
        <f t="shared" si="12"/>
        <v>0</v>
      </c>
      <c r="C89">
        <f t="shared" si="13"/>
        <v>0</v>
      </c>
      <c r="D89">
        <f t="shared" si="14"/>
        <v>0</v>
      </c>
      <c r="E89">
        <f t="shared" si="11"/>
        <v>0</v>
      </c>
    </row>
    <row r="90" spans="1:5" x14ac:dyDescent="0.2">
      <c r="A90">
        <f t="shared" si="8"/>
        <v>4700000</v>
      </c>
      <c r="B90">
        <f t="shared" si="12"/>
        <v>0</v>
      </c>
      <c r="C90">
        <f t="shared" si="13"/>
        <v>0</v>
      </c>
      <c r="D90">
        <f t="shared" si="14"/>
        <v>4700000</v>
      </c>
      <c r="E90">
        <f t="shared" si="11"/>
        <v>0</v>
      </c>
    </row>
    <row r="91" spans="1:5" x14ac:dyDescent="0.2">
      <c r="A91">
        <f t="shared" si="8"/>
        <v>5600000</v>
      </c>
      <c r="B91">
        <f t="shared" si="12"/>
        <v>0</v>
      </c>
      <c r="C91">
        <f t="shared" si="13"/>
        <v>0</v>
      </c>
      <c r="D91">
        <f t="shared" si="14"/>
        <v>0</v>
      </c>
      <c r="E91">
        <f t="shared" si="11"/>
        <v>0</v>
      </c>
    </row>
    <row r="92" spans="1:5" x14ac:dyDescent="0.2">
      <c r="A92">
        <f t="shared" si="8"/>
        <v>6800000</v>
      </c>
      <c r="B92">
        <f t="shared" si="12"/>
        <v>0</v>
      </c>
      <c r="C92">
        <f t="shared" si="13"/>
        <v>0</v>
      </c>
      <c r="D92">
        <f t="shared" si="14"/>
        <v>0</v>
      </c>
      <c r="E92">
        <f t="shared" si="11"/>
        <v>0</v>
      </c>
    </row>
    <row r="93" spans="1:5" x14ac:dyDescent="0.2">
      <c r="A93">
        <f t="shared" si="8"/>
        <v>8200000</v>
      </c>
      <c r="B93">
        <f t="shared" si="12"/>
        <v>0</v>
      </c>
      <c r="C93">
        <f t="shared" si="13"/>
        <v>0</v>
      </c>
      <c r="D93">
        <f t="shared" si="14"/>
        <v>0</v>
      </c>
      <c r="E93">
        <f t="shared" si="11"/>
        <v>0</v>
      </c>
    </row>
    <row r="94" spans="1:5" x14ac:dyDescent="0.2">
      <c r="A94">
        <f t="shared" si="8"/>
        <v>10000000</v>
      </c>
      <c r="B94">
        <f t="shared" si="12"/>
        <v>0</v>
      </c>
      <c r="C94">
        <f t="shared" si="13"/>
        <v>0</v>
      </c>
      <c r="D94">
        <f t="shared" si="14"/>
        <v>0</v>
      </c>
      <c r="E94">
        <f t="shared" si="11"/>
        <v>0</v>
      </c>
    </row>
    <row r="95" spans="1:5" x14ac:dyDescent="0.2">
      <c r="A95">
        <f t="shared" si="8"/>
        <v>12000000</v>
      </c>
      <c r="B95">
        <f t="shared" si="12"/>
        <v>0</v>
      </c>
      <c r="C95">
        <f t="shared" si="13"/>
        <v>0</v>
      </c>
      <c r="D95">
        <f t="shared" si="14"/>
        <v>0</v>
      </c>
      <c r="E95">
        <f t="shared" si="11"/>
        <v>0</v>
      </c>
    </row>
    <row r="96" spans="1:5" x14ac:dyDescent="0.2">
      <c r="A96">
        <f t="shared" si="8"/>
        <v>15000000</v>
      </c>
      <c r="B96">
        <f t="shared" si="12"/>
        <v>0</v>
      </c>
      <c r="C96">
        <f t="shared" si="13"/>
        <v>0</v>
      </c>
      <c r="D96">
        <f t="shared" si="14"/>
        <v>0</v>
      </c>
      <c r="E96">
        <f t="shared" si="11"/>
        <v>0</v>
      </c>
    </row>
    <row r="97" spans="1:5" x14ac:dyDescent="0.2">
      <c r="A97">
        <f t="shared" si="8"/>
        <v>18000000</v>
      </c>
      <c r="B97">
        <f t="shared" si="12"/>
        <v>0</v>
      </c>
      <c r="C97">
        <f t="shared" si="13"/>
        <v>0</v>
      </c>
      <c r="D97">
        <f t="shared" si="14"/>
        <v>0</v>
      </c>
      <c r="E97">
        <f t="shared" si="11"/>
        <v>0</v>
      </c>
    </row>
    <row r="98" spans="1:5" x14ac:dyDescent="0.2">
      <c r="A98">
        <f t="shared" si="8"/>
        <v>22000000</v>
      </c>
      <c r="B98">
        <f t="shared" si="12"/>
        <v>0</v>
      </c>
      <c r="C98">
        <f t="shared" si="13"/>
        <v>0</v>
      </c>
      <c r="D98">
        <f t="shared" si="14"/>
        <v>0</v>
      </c>
      <c r="E98">
        <f t="shared" si="11"/>
        <v>0</v>
      </c>
    </row>
    <row r="99" spans="1:5" x14ac:dyDescent="0.2">
      <c r="A99">
        <f t="shared" ref="A99:A159" si="15">A87*10</f>
        <v>27000000</v>
      </c>
      <c r="B99">
        <f t="shared" si="12"/>
        <v>0</v>
      </c>
      <c r="C99">
        <f t="shared" si="13"/>
        <v>0</v>
      </c>
      <c r="D99">
        <f t="shared" si="14"/>
        <v>0</v>
      </c>
      <c r="E99">
        <f t="shared" si="11"/>
        <v>0</v>
      </c>
    </row>
    <row r="100" spans="1:5" x14ac:dyDescent="0.2">
      <c r="A100">
        <f t="shared" si="15"/>
        <v>33000000</v>
      </c>
      <c r="B100">
        <f t="shared" si="12"/>
        <v>0</v>
      </c>
      <c r="C100">
        <f t="shared" si="13"/>
        <v>0</v>
      </c>
      <c r="D100">
        <f t="shared" si="14"/>
        <v>0</v>
      </c>
      <c r="E100">
        <f t="shared" si="11"/>
        <v>0</v>
      </c>
    </row>
    <row r="101" spans="1:5" x14ac:dyDescent="0.2">
      <c r="A101">
        <f t="shared" si="15"/>
        <v>39000000</v>
      </c>
      <c r="B101">
        <f t="shared" si="12"/>
        <v>0</v>
      </c>
      <c r="C101">
        <f t="shared" si="13"/>
        <v>0</v>
      </c>
      <c r="D101">
        <f t="shared" si="14"/>
        <v>0</v>
      </c>
      <c r="E101">
        <f t="shared" si="11"/>
        <v>0</v>
      </c>
    </row>
    <row r="102" spans="1:5" x14ac:dyDescent="0.2">
      <c r="A102">
        <f t="shared" si="15"/>
        <v>47000000</v>
      </c>
      <c r="B102">
        <f t="shared" si="12"/>
        <v>0</v>
      </c>
      <c r="C102">
        <f t="shared" si="13"/>
        <v>0</v>
      </c>
      <c r="D102">
        <f t="shared" si="14"/>
        <v>0</v>
      </c>
      <c r="E102">
        <f t="shared" ref="E102:E133" si="16">IF(IF((E$3*10^12-$A103)*(E$3*10^12-$A102)*-1&lt;0,0,1)*IF(ABS(E$3*10^12-$A103)&gt;(E$3*10^12-$A102),$A102,$A103)=E103,0,IF((E$3*10^12-$A103)*(E$3*10^12-$A102)*-1&lt;0,0,1)*IF(ABS(E$3*10^12-$A103)&gt;(E$3*10^12-$A102),$A102,$A103))</f>
        <v>0</v>
      </c>
    </row>
    <row r="103" spans="1:5" x14ac:dyDescent="0.2">
      <c r="A103">
        <f t="shared" si="15"/>
        <v>56000000</v>
      </c>
      <c r="B103">
        <f t="shared" si="12"/>
        <v>0</v>
      </c>
      <c r="C103">
        <f t="shared" si="13"/>
        <v>0</v>
      </c>
      <c r="D103">
        <f t="shared" ref="D103:D134" si="17">IF(IF((D$3*10^12-$A104)*(D$3*10^12-$A103)*-1&lt;0,0,1)*IF(ABS(D$3*10^12-$A104)&gt;(D$3*10^12-$A103),$A103,$A104)=D104,0,IF((D$3*10^12-$A104)*(D$3*10^12-$A103)*-1&lt;0,0,1)*IF(ABS(D$3*10^12-$A104)&gt;(D$3*10^12-$A103),$A103,$A104))</f>
        <v>0</v>
      </c>
      <c r="E103">
        <f t="shared" si="16"/>
        <v>0</v>
      </c>
    </row>
    <row r="104" spans="1:5" x14ac:dyDescent="0.2">
      <c r="A104">
        <f t="shared" si="15"/>
        <v>68000000</v>
      </c>
      <c r="B104">
        <f t="shared" si="12"/>
        <v>0</v>
      </c>
      <c r="C104">
        <f t="shared" si="13"/>
        <v>0</v>
      </c>
      <c r="D104">
        <f t="shared" si="17"/>
        <v>0</v>
      </c>
      <c r="E104">
        <f t="shared" si="16"/>
        <v>0</v>
      </c>
    </row>
    <row r="105" spans="1:5" x14ac:dyDescent="0.2">
      <c r="A105">
        <f t="shared" si="15"/>
        <v>82000000</v>
      </c>
      <c r="B105">
        <f t="shared" si="12"/>
        <v>0</v>
      </c>
      <c r="C105">
        <f t="shared" si="13"/>
        <v>0</v>
      </c>
      <c r="D105">
        <f t="shared" si="17"/>
        <v>0</v>
      </c>
      <c r="E105">
        <f t="shared" si="16"/>
        <v>0</v>
      </c>
    </row>
    <row r="106" spans="1:5" x14ac:dyDescent="0.2">
      <c r="A106">
        <f t="shared" si="15"/>
        <v>100000000</v>
      </c>
      <c r="B106">
        <f t="shared" si="12"/>
        <v>0</v>
      </c>
      <c r="C106">
        <f t="shared" si="13"/>
        <v>100000000</v>
      </c>
      <c r="D106">
        <f t="shared" si="17"/>
        <v>0</v>
      </c>
      <c r="E106">
        <f t="shared" si="16"/>
        <v>0</v>
      </c>
    </row>
    <row r="107" spans="1:5" x14ac:dyDescent="0.2">
      <c r="A107">
        <f t="shared" si="15"/>
        <v>120000000</v>
      </c>
      <c r="B107">
        <f t="shared" si="12"/>
        <v>0</v>
      </c>
      <c r="C107">
        <f t="shared" si="13"/>
        <v>0</v>
      </c>
      <c r="D107">
        <f t="shared" si="17"/>
        <v>0</v>
      </c>
      <c r="E107">
        <f t="shared" si="16"/>
        <v>0</v>
      </c>
    </row>
    <row r="108" spans="1:5" x14ac:dyDescent="0.2">
      <c r="A108">
        <f t="shared" si="15"/>
        <v>150000000</v>
      </c>
      <c r="B108">
        <f t="shared" si="12"/>
        <v>0</v>
      </c>
      <c r="C108">
        <f t="shared" si="13"/>
        <v>0</v>
      </c>
      <c r="D108">
        <f t="shared" si="17"/>
        <v>0</v>
      </c>
      <c r="E108">
        <f t="shared" si="16"/>
        <v>0</v>
      </c>
    </row>
    <row r="109" spans="1:5" x14ac:dyDescent="0.2">
      <c r="A109">
        <f t="shared" si="15"/>
        <v>180000000</v>
      </c>
      <c r="B109">
        <f t="shared" si="12"/>
        <v>0</v>
      </c>
      <c r="C109">
        <f t="shared" si="13"/>
        <v>0</v>
      </c>
      <c r="D109">
        <f t="shared" si="17"/>
        <v>0</v>
      </c>
      <c r="E109">
        <f t="shared" si="16"/>
        <v>0</v>
      </c>
    </row>
    <row r="110" spans="1:5" x14ac:dyDescent="0.2">
      <c r="A110">
        <f t="shared" si="15"/>
        <v>220000000</v>
      </c>
      <c r="B110">
        <f t="shared" si="12"/>
        <v>0</v>
      </c>
      <c r="C110">
        <f t="shared" si="13"/>
        <v>0</v>
      </c>
      <c r="D110">
        <f t="shared" si="17"/>
        <v>0</v>
      </c>
      <c r="E110">
        <f t="shared" si="16"/>
        <v>0</v>
      </c>
    </row>
    <row r="111" spans="1:5" x14ac:dyDescent="0.2">
      <c r="A111">
        <f t="shared" si="15"/>
        <v>270000000</v>
      </c>
      <c r="B111">
        <f t="shared" si="12"/>
        <v>0</v>
      </c>
      <c r="C111">
        <f t="shared" si="13"/>
        <v>0</v>
      </c>
      <c r="D111">
        <f t="shared" si="17"/>
        <v>0</v>
      </c>
      <c r="E111">
        <f t="shared" si="16"/>
        <v>0</v>
      </c>
    </row>
    <row r="112" spans="1:5" x14ac:dyDescent="0.2">
      <c r="A112">
        <f t="shared" si="15"/>
        <v>330000000</v>
      </c>
      <c r="B112">
        <f t="shared" si="12"/>
        <v>0</v>
      </c>
      <c r="C112">
        <f t="shared" si="13"/>
        <v>0</v>
      </c>
      <c r="D112">
        <f t="shared" si="17"/>
        <v>0</v>
      </c>
      <c r="E112">
        <f t="shared" si="16"/>
        <v>0</v>
      </c>
    </row>
    <row r="113" spans="1:5" x14ac:dyDescent="0.2">
      <c r="A113">
        <f t="shared" si="15"/>
        <v>390000000</v>
      </c>
      <c r="B113">
        <f t="shared" si="12"/>
        <v>0</v>
      </c>
      <c r="C113">
        <f t="shared" si="13"/>
        <v>0</v>
      </c>
      <c r="D113">
        <f t="shared" si="17"/>
        <v>0</v>
      </c>
      <c r="E113">
        <f t="shared" si="16"/>
        <v>0</v>
      </c>
    </row>
    <row r="114" spans="1:5" x14ac:dyDescent="0.2">
      <c r="A114">
        <f t="shared" si="15"/>
        <v>470000000</v>
      </c>
      <c r="B114">
        <f t="shared" si="12"/>
        <v>0</v>
      </c>
      <c r="C114">
        <f t="shared" si="13"/>
        <v>0</v>
      </c>
      <c r="D114">
        <f t="shared" si="17"/>
        <v>0</v>
      </c>
      <c r="E114">
        <f t="shared" si="16"/>
        <v>0</v>
      </c>
    </row>
    <row r="115" spans="1:5" x14ac:dyDescent="0.2">
      <c r="A115">
        <f t="shared" si="15"/>
        <v>560000000</v>
      </c>
      <c r="B115">
        <f t="shared" si="12"/>
        <v>0</v>
      </c>
      <c r="C115">
        <f t="shared" si="13"/>
        <v>0</v>
      </c>
      <c r="D115">
        <f t="shared" si="17"/>
        <v>0</v>
      </c>
      <c r="E115">
        <f t="shared" si="16"/>
        <v>0</v>
      </c>
    </row>
    <row r="116" spans="1:5" x14ac:dyDescent="0.2">
      <c r="A116">
        <f t="shared" si="15"/>
        <v>680000000</v>
      </c>
      <c r="B116">
        <f t="shared" si="12"/>
        <v>0</v>
      </c>
      <c r="C116">
        <f t="shared" si="13"/>
        <v>0</v>
      </c>
      <c r="D116">
        <f t="shared" si="17"/>
        <v>0</v>
      </c>
      <c r="E116">
        <f t="shared" si="16"/>
        <v>0</v>
      </c>
    </row>
    <row r="117" spans="1:5" x14ac:dyDescent="0.2">
      <c r="A117">
        <f t="shared" si="15"/>
        <v>820000000</v>
      </c>
      <c r="B117">
        <f t="shared" si="12"/>
        <v>0</v>
      </c>
      <c r="C117">
        <f t="shared" si="13"/>
        <v>0</v>
      </c>
      <c r="D117">
        <f t="shared" si="17"/>
        <v>0</v>
      </c>
      <c r="E117">
        <f t="shared" si="16"/>
        <v>0</v>
      </c>
    </row>
    <row r="118" spans="1:5" x14ac:dyDescent="0.2">
      <c r="A118">
        <f t="shared" si="15"/>
        <v>1000000000</v>
      </c>
      <c r="B118">
        <f t="shared" si="12"/>
        <v>0</v>
      </c>
      <c r="C118">
        <f t="shared" si="13"/>
        <v>0</v>
      </c>
      <c r="D118">
        <f t="shared" si="17"/>
        <v>0</v>
      </c>
      <c r="E118">
        <f t="shared" si="16"/>
        <v>0</v>
      </c>
    </row>
    <row r="119" spans="1:5" x14ac:dyDescent="0.2">
      <c r="A119">
        <f t="shared" si="15"/>
        <v>1200000000</v>
      </c>
      <c r="B119">
        <f t="shared" si="12"/>
        <v>0</v>
      </c>
      <c r="C119">
        <f t="shared" si="13"/>
        <v>0</v>
      </c>
      <c r="D119">
        <f t="shared" si="17"/>
        <v>0</v>
      </c>
      <c r="E119">
        <f t="shared" si="16"/>
        <v>0</v>
      </c>
    </row>
    <row r="120" spans="1:5" x14ac:dyDescent="0.2">
      <c r="A120">
        <f t="shared" si="15"/>
        <v>1500000000</v>
      </c>
      <c r="B120">
        <f t="shared" si="12"/>
        <v>0</v>
      </c>
      <c r="C120">
        <f t="shared" si="13"/>
        <v>0</v>
      </c>
      <c r="D120">
        <f t="shared" si="17"/>
        <v>0</v>
      </c>
      <c r="E120">
        <f t="shared" si="16"/>
        <v>0</v>
      </c>
    </row>
    <row r="121" spans="1:5" x14ac:dyDescent="0.2">
      <c r="A121">
        <f t="shared" si="15"/>
        <v>1800000000</v>
      </c>
      <c r="B121">
        <f t="shared" si="12"/>
        <v>0</v>
      </c>
      <c r="C121">
        <f t="shared" si="13"/>
        <v>0</v>
      </c>
      <c r="D121">
        <f t="shared" si="17"/>
        <v>0</v>
      </c>
      <c r="E121">
        <f t="shared" si="16"/>
        <v>0</v>
      </c>
    </row>
    <row r="122" spans="1:5" x14ac:dyDescent="0.2">
      <c r="A122">
        <f t="shared" si="15"/>
        <v>2200000000</v>
      </c>
      <c r="B122">
        <f t="shared" si="12"/>
        <v>0</v>
      </c>
      <c r="C122">
        <f t="shared" si="13"/>
        <v>0</v>
      </c>
      <c r="D122">
        <f t="shared" si="17"/>
        <v>0</v>
      </c>
      <c r="E122">
        <f t="shared" si="16"/>
        <v>0</v>
      </c>
    </row>
    <row r="123" spans="1:5" x14ac:dyDescent="0.2">
      <c r="A123">
        <f t="shared" si="15"/>
        <v>2700000000</v>
      </c>
      <c r="B123">
        <f t="shared" si="12"/>
        <v>0</v>
      </c>
      <c r="C123">
        <f t="shared" si="13"/>
        <v>0</v>
      </c>
      <c r="D123">
        <f t="shared" si="17"/>
        <v>0</v>
      </c>
      <c r="E123">
        <f t="shared" si="16"/>
        <v>0</v>
      </c>
    </row>
    <row r="124" spans="1:5" x14ac:dyDescent="0.2">
      <c r="A124">
        <f t="shared" si="15"/>
        <v>3300000000</v>
      </c>
      <c r="B124">
        <f t="shared" si="12"/>
        <v>0</v>
      </c>
      <c r="C124">
        <f t="shared" si="13"/>
        <v>0</v>
      </c>
      <c r="D124">
        <f t="shared" si="17"/>
        <v>0</v>
      </c>
      <c r="E124">
        <f t="shared" si="16"/>
        <v>0</v>
      </c>
    </row>
    <row r="125" spans="1:5" x14ac:dyDescent="0.2">
      <c r="A125">
        <f t="shared" si="15"/>
        <v>3900000000</v>
      </c>
      <c r="B125">
        <f t="shared" si="12"/>
        <v>0</v>
      </c>
      <c r="C125">
        <f t="shared" si="13"/>
        <v>0</v>
      </c>
      <c r="D125">
        <f t="shared" si="17"/>
        <v>0</v>
      </c>
      <c r="E125">
        <f t="shared" si="16"/>
        <v>0</v>
      </c>
    </row>
    <row r="126" spans="1:5" x14ac:dyDescent="0.2">
      <c r="A126">
        <f t="shared" si="15"/>
        <v>4700000000</v>
      </c>
      <c r="B126">
        <f t="shared" si="12"/>
        <v>0</v>
      </c>
      <c r="C126">
        <f t="shared" si="13"/>
        <v>0</v>
      </c>
      <c r="D126">
        <f t="shared" si="17"/>
        <v>0</v>
      </c>
      <c r="E126">
        <f t="shared" si="16"/>
        <v>0</v>
      </c>
    </row>
    <row r="127" spans="1:5" x14ac:dyDescent="0.2">
      <c r="A127">
        <f t="shared" si="15"/>
        <v>5600000000</v>
      </c>
      <c r="B127">
        <f t="shared" si="12"/>
        <v>0</v>
      </c>
      <c r="C127">
        <f t="shared" si="13"/>
        <v>0</v>
      </c>
      <c r="D127">
        <f t="shared" si="17"/>
        <v>0</v>
      </c>
      <c r="E127">
        <f t="shared" si="16"/>
        <v>0</v>
      </c>
    </row>
    <row r="128" spans="1:5" x14ac:dyDescent="0.2">
      <c r="A128">
        <f t="shared" si="15"/>
        <v>6800000000</v>
      </c>
      <c r="B128">
        <f t="shared" si="12"/>
        <v>0</v>
      </c>
      <c r="C128">
        <f t="shared" si="13"/>
        <v>0</v>
      </c>
      <c r="D128">
        <f t="shared" si="17"/>
        <v>0</v>
      </c>
      <c r="E128">
        <f t="shared" si="16"/>
        <v>0</v>
      </c>
    </row>
    <row r="129" spans="1:5" x14ac:dyDescent="0.2">
      <c r="A129">
        <f t="shared" si="15"/>
        <v>8200000000</v>
      </c>
      <c r="B129">
        <f t="shared" si="12"/>
        <v>0</v>
      </c>
      <c r="C129">
        <f t="shared" si="13"/>
        <v>0</v>
      </c>
      <c r="D129">
        <f t="shared" si="17"/>
        <v>0</v>
      </c>
      <c r="E129">
        <f t="shared" si="16"/>
        <v>0</v>
      </c>
    </row>
    <row r="130" spans="1:5" x14ac:dyDescent="0.2">
      <c r="A130">
        <f t="shared" si="15"/>
        <v>10000000000</v>
      </c>
      <c r="B130">
        <f t="shared" si="12"/>
        <v>0</v>
      </c>
      <c r="C130">
        <f t="shared" si="13"/>
        <v>0</v>
      </c>
      <c r="D130">
        <f t="shared" si="17"/>
        <v>0</v>
      </c>
      <c r="E130">
        <f t="shared" si="16"/>
        <v>0</v>
      </c>
    </row>
    <row r="131" spans="1:5" x14ac:dyDescent="0.2">
      <c r="A131">
        <f t="shared" si="15"/>
        <v>12000000000</v>
      </c>
      <c r="B131">
        <f t="shared" si="12"/>
        <v>0</v>
      </c>
      <c r="C131">
        <f t="shared" si="13"/>
        <v>0</v>
      </c>
      <c r="D131">
        <f t="shared" si="17"/>
        <v>0</v>
      </c>
      <c r="E131">
        <f t="shared" si="16"/>
        <v>0</v>
      </c>
    </row>
    <row r="132" spans="1:5" x14ac:dyDescent="0.2">
      <c r="A132">
        <f t="shared" si="15"/>
        <v>15000000000</v>
      </c>
      <c r="B132">
        <f t="shared" si="12"/>
        <v>0</v>
      </c>
      <c r="C132">
        <f t="shared" si="13"/>
        <v>0</v>
      </c>
      <c r="D132">
        <f t="shared" si="17"/>
        <v>0</v>
      </c>
      <c r="E132">
        <f t="shared" si="16"/>
        <v>0</v>
      </c>
    </row>
    <row r="133" spans="1:5" x14ac:dyDescent="0.2">
      <c r="A133">
        <f t="shared" si="15"/>
        <v>18000000000</v>
      </c>
      <c r="B133">
        <f t="shared" si="12"/>
        <v>0</v>
      </c>
      <c r="C133">
        <f t="shared" si="13"/>
        <v>0</v>
      </c>
      <c r="D133">
        <f t="shared" si="17"/>
        <v>0</v>
      </c>
      <c r="E133">
        <f t="shared" si="16"/>
        <v>0</v>
      </c>
    </row>
    <row r="134" spans="1:5" x14ac:dyDescent="0.2">
      <c r="A134">
        <f t="shared" si="15"/>
        <v>22000000000</v>
      </c>
      <c r="B134">
        <f t="shared" si="12"/>
        <v>0</v>
      </c>
      <c r="C134">
        <f t="shared" ref="C134:D159" si="18">IF(IF((C$3*10^12-$A135)*(C$3*10^12-$A134)*-1&lt;0,0,1)*IF(ABS(C$3*10^12-$A135)&gt;(C$3*10^12-$A134),$A134,$A135)=C135,0,IF((C$3*10^12-$A135)*(C$3*10^12-$A134)*-1&lt;0,0,1)*IF(ABS(C$3*10^12-$A135)&gt;(C$3*10^12-$A134),$A134,$A135))</f>
        <v>0</v>
      </c>
      <c r="D134">
        <f t="shared" si="17"/>
        <v>0</v>
      </c>
      <c r="E134">
        <f t="shared" ref="E134:E159" si="19">IF(IF((E$3*10^12-$A135)*(E$3*10^12-$A134)*-1&lt;0,0,1)*IF(ABS(E$3*10^12-$A135)&gt;(E$3*10^12-$A134),$A134,$A135)=E135,0,IF((E$3*10^12-$A135)*(E$3*10^12-$A134)*-1&lt;0,0,1)*IF(ABS(E$3*10^12-$A135)&gt;(E$3*10^12-$A134),$A134,$A135))</f>
        <v>0</v>
      </c>
    </row>
    <row r="135" spans="1:5" x14ac:dyDescent="0.2">
      <c r="A135">
        <f t="shared" si="15"/>
        <v>27000000000</v>
      </c>
      <c r="B135">
        <f t="shared" ref="B135:B159" si="20">IF(IF((B$3*10^12-$A136)*(B$3*10^12-$A135)*-1&lt;0,0,1)*IF(ABS(B$3*10^12-$A136)&gt;(B$3*10^12-$A135),$A135,$A136)=B136,0,IF((B$3*10^12-$A136)*(B$3*10^12-$A135)*-1&lt;0,0,1)*IF(ABS(B$3*10^12-$A136)&gt;(B$3*10^12-$A135),$A135,$A136))</f>
        <v>0</v>
      </c>
      <c r="C135">
        <f t="shared" si="18"/>
        <v>0</v>
      </c>
      <c r="D135">
        <f t="shared" si="18"/>
        <v>0</v>
      </c>
      <c r="E135">
        <f t="shared" si="19"/>
        <v>0</v>
      </c>
    </row>
    <row r="136" spans="1:5" x14ac:dyDescent="0.2">
      <c r="A136">
        <f t="shared" si="15"/>
        <v>33000000000</v>
      </c>
      <c r="B136">
        <f t="shared" si="20"/>
        <v>0</v>
      </c>
      <c r="C136">
        <f t="shared" si="18"/>
        <v>0</v>
      </c>
      <c r="D136">
        <f t="shared" si="18"/>
        <v>0</v>
      </c>
      <c r="E136">
        <f t="shared" si="19"/>
        <v>0</v>
      </c>
    </row>
    <row r="137" spans="1:5" x14ac:dyDescent="0.2">
      <c r="A137">
        <f t="shared" si="15"/>
        <v>39000000000</v>
      </c>
      <c r="B137">
        <f t="shared" si="20"/>
        <v>0</v>
      </c>
      <c r="C137">
        <f t="shared" si="18"/>
        <v>0</v>
      </c>
      <c r="D137">
        <f t="shared" si="18"/>
        <v>0</v>
      </c>
      <c r="E137">
        <f t="shared" si="19"/>
        <v>0</v>
      </c>
    </row>
    <row r="138" spans="1:5" x14ac:dyDescent="0.2">
      <c r="A138">
        <f t="shared" si="15"/>
        <v>47000000000</v>
      </c>
      <c r="B138">
        <f t="shared" si="20"/>
        <v>0</v>
      </c>
      <c r="C138">
        <f t="shared" si="18"/>
        <v>0</v>
      </c>
      <c r="D138">
        <f t="shared" si="18"/>
        <v>0</v>
      </c>
      <c r="E138">
        <f t="shared" si="19"/>
        <v>0</v>
      </c>
    </row>
    <row r="139" spans="1:5" x14ac:dyDescent="0.2">
      <c r="A139">
        <f t="shared" si="15"/>
        <v>56000000000</v>
      </c>
      <c r="B139">
        <f t="shared" si="20"/>
        <v>0</v>
      </c>
      <c r="C139">
        <f t="shared" si="18"/>
        <v>0</v>
      </c>
      <c r="D139">
        <f t="shared" si="18"/>
        <v>0</v>
      </c>
      <c r="E139">
        <f t="shared" si="19"/>
        <v>0</v>
      </c>
    </row>
    <row r="140" spans="1:5" x14ac:dyDescent="0.2">
      <c r="A140">
        <f t="shared" si="15"/>
        <v>68000000000</v>
      </c>
      <c r="B140">
        <f t="shared" si="20"/>
        <v>0</v>
      </c>
      <c r="C140">
        <f t="shared" si="18"/>
        <v>0</v>
      </c>
      <c r="D140">
        <f t="shared" si="18"/>
        <v>0</v>
      </c>
      <c r="E140">
        <f t="shared" si="19"/>
        <v>0</v>
      </c>
    </row>
    <row r="141" spans="1:5" x14ac:dyDescent="0.2">
      <c r="A141">
        <f t="shared" si="15"/>
        <v>82000000000</v>
      </c>
      <c r="B141">
        <f t="shared" si="20"/>
        <v>0</v>
      </c>
      <c r="C141">
        <f t="shared" si="18"/>
        <v>0</v>
      </c>
      <c r="D141">
        <f t="shared" si="18"/>
        <v>0</v>
      </c>
      <c r="E141">
        <f t="shared" si="19"/>
        <v>0</v>
      </c>
    </row>
    <row r="142" spans="1:5" x14ac:dyDescent="0.2">
      <c r="A142">
        <f t="shared" si="15"/>
        <v>100000000000</v>
      </c>
      <c r="B142">
        <f t="shared" si="20"/>
        <v>0</v>
      </c>
      <c r="C142">
        <f t="shared" si="18"/>
        <v>0</v>
      </c>
      <c r="D142">
        <f t="shared" si="18"/>
        <v>0</v>
      </c>
      <c r="E142">
        <f t="shared" si="19"/>
        <v>0</v>
      </c>
    </row>
    <row r="143" spans="1:5" x14ac:dyDescent="0.2">
      <c r="A143">
        <f t="shared" si="15"/>
        <v>120000000000</v>
      </c>
      <c r="B143">
        <f t="shared" si="20"/>
        <v>0</v>
      </c>
      <c r="C143">
        <f t="shared" si="18"/>
        <v>0</v>
      </c>
      <c r="D143">
        <f t="shared" si="18"/>
        <v>0</v>
      </c>
      <c r="E143">
        <f t="shared" si="19"/>
        <v>0</v>
      </c>
    </row>
    <row r="144" spans="1:5" x14ac:dyDescent="0.2">
      <c r="A144">
        <f t="shared" si="15"/>
        <v>150000000000</v>
      </c>
      <c r="B144">
        <f t="shared" si="20"/>
        <v>0</v>
      </c>
      <c r="C144">
        <f t="shared" si="18"/>
        <v>0</v>
      </c>
      <c r="D144">
        <f t="shared" si="18"/>
        <v>0</v>
      </c>
      <c r="E144">
        <f t="shared" si="19"/>
        <v>0</v>
      </c>
    </row>
    <row r="145" spans="1:5" x14ac:dyDescent="0.2">
      <c r="A145">
        <f t="shared" si="15"/>
        <v>180000000000</v>
      </c>
      <c r="B145">
        <f t="shared" si="20"/>
        <v>0</v>
      </c>
      <c r="C145">
        <f t="shared" si="18"/>
        <v>0</v>
      </c>
      <c r="D145">
        <f t="shared" si="18"/>
        <v>0</v>
      </c>
      <c r="E145">
        <f t="shared" si="19"/>
        <v>0</v>
      </c>
    </row>
    <row r="146" spans="1:5" x14ac:dyDescent="0.2">
      <c r="A146">
        <f t="shared" si="15"/>
        <v>220000000000</v>
      </c>
      <c r="B146">
        <f t="shared" si="20"/>
        <v>0</v>
      </c>
      <c r="C146">
        <f t="shared" si="18"/>
        <v>0</v>
      </c>
      <c r="D146">
        <f t="shared" si="18"/>
        <v>0</v>
      </c>
      <c r="E146">
        <f t="shared" si="19"/>
        <v>0</v>
      </c>
    </row>
    <row r="147" spans="1:5" x14ac:dyDescent="0.2">
      <c r="A147">
        <f t="shared" si="15"/>
        <v>270000000000</v>
      </c>
      <c r="B147">
        <f t="shared" si="20"/>
        <v>0</v>
      </c>
      <c r="C147">
        <f t="shared" si="18"/>
        <v>0</v>
      </c>
      <c r="D147">
        <f t="shared" si="18"/>
        <v>0</v>
      </c>
      <c r="E147">
        <f t="shared" si="19"/>
        <v>0</v>
      </c>
    </row>
    <row r="148" spans="1:5" x14ac:dyDescent="0.2">
      <c r="A148">
        <f t="shared" si="15"/>
        <v>330000000000</v>
      </c>
      <c r="B148">
        <f t="shared" si="20"/>
        <v>0</v>
      </c>
      <c r="C148">
        <f t="shared" si="18"/>
        <v>0</v>
      </c>
      <c r="D148">
        <f t="shared" si="18"/>
        <v>0</v>
      </c>
      <c r="E148">
        <f t="shared" si="19"/>
        <v>0</v>
      </c>
    </row>
    <row r="149" spans="1:5" x14ac:dyDescent="0.2">
      <c r="A149">
        <f t="shared" si="15"/>
        <v>390000000000</v>
      </c>
      <c r="B149">
        <f t="shared" si="20"/>
        <v>0</v>
      </c>
      <c r="C149">
        <f t="shared" si="18"/>
        <v>0</v>
      </c>
      <c r="D149">
        <f t="shared" si="18"/>
        <v>0</v>
      </c>
      <c r="E149">
        <f t="shared" si="19"/>
        <v>0</v>
      </c>
    </row>
    <row r="150" spans="1:5" x14ac:dyDescent="0.2">
      <c r="A150">
        <f t="shared" si="15"/>
        <v>470000000000</v>
      </c>
      <c r="B150">
        <f t="shared" si="20"/>
        <v>0</v>
      </c>
      <c r="C150">
        <f t="shared" si="18"/>
        <v>0</v>
      </c>
      <c r="D150">
        <f t="shared" si="18"/>
        <v>0</v>
      </c>
      <c r="E150">
        <f t="shared" si="19"/>
        <v>0</v>
      </c>
    </row>
    <row r="151" spans="1:5" x14ac:dyDescent="0.2">
      <c r="A151">
        <f t="shared" si="15"/>
        <v>560000000000</v>
      </c>
      <c r="B151">
        <f t="shared" si="20"/>
        <v>0</v>
      </c>
      <c r="C151">
        <f t="shared" si="18"/>
        <v>0</v>
      </c>
      <c r="D151">
        <f t="shared" si="18"/>
        <v>0</v>
      </c>
      <c r="E151">
        <f t="shared" si="19"/>
        <v>0</v>
      </c>
    </row>
    <row r="152" spans="1:5" x14ac:dyDescent="0.2">
      <c r="A152">
        <f t="shared" si="15"/>
        <v>680000000000</v>
      </c>
      <c r="B152">
        <f t="shared" si="20"/>
        <v>0</v>
      </c>
      <c r="C152">
        <f t="shared" si="18"/>
        <v>0</v>
      </c>
      <c r="D152">
        <f t="shared" si="18"/>
        <v>0</v>
      </c>
      <c r="E152">
        <f t="shared" si="19"/>
        <v>0</v>
      </c>
    </row>
    <row r="153" spans="1:5" x14ac:dyDescent="0.2">
      <c r="A153">
        <f t="shared" si="15"/>
        <v>820000000000</v>
      </c>
      <c r="B153">
        <f t="shared" si="20"/>
        <v>0</v>
      </c>
      <c r="C153">
        <f t="shared" si="18"/>
        <v>0</v>
      </c>
      <c r="D153">
        <f t="shared" si="18"/>
        <v>0</v>
      </c>
      <c r="E153">
        <f t="shared" si="19"/>
        <v>0</v>
      </c>
    </row>
    <row r="154" spans="1:5" x14ac:dyDescent="0.2">
      <c r="A154">
        <f t="shared" si="15"/>
        <v>1000000000000</v>
      </c>
      <c r="B154">
        <f t="shared" si="20"/>
        <v>0</v>
      </c>
      <c r="C154">
        <f t="shared" si="18"/>
        <v>0</v>
      </c>
      <c r="D154">
        <f t="shared" si="18"/>
        <v>0</v>
      </c>
      <c r="E154">
        <f t="shared" si="19"/>
        <v>0</v>
      </c>
    </row>
    <row r="155" spans="1:5" x14ac:dyDescent="0.2">
      <c r="A155">
        <f t="shared" si="15"/>
        <v>1200000000000</v>
      </c>
      <c r="B155">
        <f t="shared" si="20"/>
        <v>0</v>
      </c>
      <c r="C155">
        <f t="shared" si="18"/>
        <v>0</v>
      </c>
      <c r="D155">
        <f t="shared" si="18"/>
        <v>0</v>
      </c>
      <c r="E155">
        <f t="shared" si="19"/>
        <v>0</v>
      </c>
    </row>
    <row r="156" spans="1:5" x14ac:dyDescent="0.2">
      <c r="A156">
        <f t="shared" si="15"/>
        <v>1500000000000</v>
      </c>
      <c r="B156">
        <f t="shared" si="20"/>
        <v>0</v>
      </c>
      <c r="C156">
        <f t="shared" si="18"/>
        <v>0</v>
      </c>
      <c r="D156">
        <f t="shared" si="18"/>
        <v>0</v>
      </c>
      <c r="E156">
        <f t="shared" si="19"/>
        <v>0</v>
      </c>
    </row>
    <row r="157" spans="1:5" x14ac:dyDescent="0.2">
      <c r="A157">
        <f t="shared" si="15"/>
        <v>1800000000000</v>
      </c>
      <c r="B157">
        <f t="shared" si="20"/>
        <v>0</v>
      </c>
      <c r="C157">
        <f t="shared" si="18"/>
        <v>0</v>
      </c>
      <c r="D157">
        <f t="shared" si="18"/>
        <v>0</v>
      </c>
      <c r="E157">
        <f t="shared" si="19"/>
        <v>0</v>
      </c>
    </row>
    <row r="158" spans="1:5" x14ac:dyDescent="0.2">
      <c r="A158">
        <f t="shared" si="15"/>
        <v>2200000000000</v>
      </c>
      <c r="B158">
        <f t="shared" si="20"/>
        <v>0</v>
      </c>
      <c r="C158">
        <f t="shared" si="18"/>
        <v>0</v>
      </c>
      <c r="D158">
        <f t="shared" si="18"/>
        <v>0</v>
      </c>
      <c r="E158">
        <f t="shared" si="19"/>
        <v>0</v>
      </c>
    </row>
    <row r="159" spans="1:5" x14ac:dyDescent="0.2">
      <c r="A159" s="10">
        <f t="shared" si="15"/>
        <v>2700000000000</v>
      </c>
      <c r="B159">
        <f t="shared" si="20"/>
        <v>2700000000000</v>
      </c>
      <c r="C159">
        <f t="shared" si="18"/>
        <v>2700000000000</v>
      </c>
      <c r="D159">
        <f t="shared" si="18"/>
        <v>2700000000000</v>
      </c>
      <c r="E159">
        <f t="shared" si="19"/>
        <v>2700000000000</v>
      </c>
    </row>
  </sheetData>
  <phoneticPr fontId="6"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C4:H21"/>
  <sheetViews>
    <sheetView workbookViewId="0">
      <selection activeCell="G24" sqref="G24"/>
    </sheetView>
  </sheetViews>
  <sheetFormatPr defaultRowHeight="12.75" x14ac:dyDescent="0.2"/>
  <cols>
    <col min="5" max="5" width="12.42578125" bestFit="1" customWidth="1"/>
  </cols>
  <sheetData>
    <row r="4" spans="3:8" x14ac:dyDescent="0.2">
      <c r="D4" s="63" t="s">
        <v>629</v>
      </c>
      <c r="E4" s="3">
        <f>Rfb1_</f>
        <v>210000</v>
      </c>
      <c r="F4" s="570" t="s">
        <v>64</v>
      </c>
    </row>
    <row r="5" spans="3:8" x14ac:dyDescent="0.2">
      <c r="D5" s="63" t="s">
        <v>630</v>
      </c>
      <c r="E5" s="3">
        <f>Rfb2_u</f>
        <v>68100</v>
      </c>
      <c r="F5" s="570" t="s">
        <v>64</v>
      </c>
    </row>
    <row r="6" spans="3:8" x14ac:dyDescent="0.2">
      <c r="E6" s="3"/>
      <c r="F6" s="570"/>
    </row>
    <row r="7" spans="3:8" x14ac:dyDescent="0.2">
      <c r="D7" s="154" t="s">
        <v>631</v>
      </c>
      <c r="E7" s="464">
        <f>Rfb1_*Rfb2_u/(Rfb1_+Rfb2_u)</f>
        <v>51423.948220064725</v>
      </c>
      <c r="F7" s="570" t="s">
        <v>64</v>
      </c>
    </row>
    <row r="8" spans="3:8" x14ac:dyDescent="0.2">
      <c r="F8" s="3"/>
    </row>
    <row r="9" spans="3:8" x14ac:dyDescent="0.2">
      <c r="F9" s="3"/>
    </row>
    <row r="10" spans="3:8" x14ac:dyDescent="0.2">
      <c r="C10" s="63"/>
      <c r="D10" s="63" t="s">
        <v>632</v>
      </c>
      <c r="E10" s="185">
        <f>5/(Pi*Fsw*E7)</f>
        <v>1.2379830703987593E-10</v>
      </c>
      <c r="F10" s="3" t="s">
        <v>20</v>
      </c>
      <c r="G10" s="169">
        <f>E10*1000000000000</f>
        <v>123.79830703987594</v>
      </c>
      <c r="H10" s="63" t="s">
        <v>23</v>
      </c>
    </row>
    <row r="15" spans="3:8" x14ac:dyDescent="0.2">
      <c r="E15">
        <f>1/(2*Pi*Fsw*Rfb1_)</f>
        <v>3.0315227290239307E-12</v>
      </c>
      <c r="G15">
        <f>E15*1000000000000</f>
        <v>3.0315227290239308</v>
      </c>
    </row>
    <row r="19" spans="4:6" x14ac:dyDescent="0.2">
      <c r="D19" s="3" t="s">
        <v>632</v>
      </c>
      <c r="E19" s="569">
        <v>2.1999999999999998E-9</v>
      </c>
      <c r="F19" s="3" t="s">
        <v>20</v>
      </c>
    </row>
    <row r="20" spans="4:6" x14ac:dyDescent="0.2">
      <c r="D20" s="3"/>
      <c r="F20" s="3"/>
    </row>
    <row r="21" spans="4:6" x14ac:dyDescent="0.2">
      <c r="D21" s="3" t="s">
        <v>633</v>
      </c>
      <c r="E21" s="398">
        <f>(VIN_nom-Vout)/(Cr*0.03*Fsw)</f>
        <v>2303030.3030303032</v>
      </c>
      <c r="F21" s="570" t="s">
        <v>64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Folhas de Cálculo</vt:lpstr>
      </vt:variant>
      <vt:variant>
        <vt:i4>10</vt:i4>
      </vt:variant>
      <vt:variant>
        <vt:lpstr>Intervalos com Nome</vt:lpstr>
      </vt:variant>
      <vt:variant>
        <vt:i4>221</vt:i4>
      </vt:variant>
    </vt:vector>
  </HeadingPairs>
  <TitlesOfParts>
    <vt:vector size="231" baseType="lpstr">
      <vt:lpstr>Design Regulator</vt:lpstr>
      <vt:lpstr>BOM &amp; Schematic</vt:lpstr>
      <vt:lpstr>EVM</vt:lpstr>
      <vt:lpstr>Variable Mgmt</vt:lpstr>
      <vt:lpstr>Schematic Mgmt</vt:lpstr>
      <vt:lpstr>Efficiency Plots</vt:lpstr>
      <vt:lpstr>PFM Efficiency</vt:lpstr>
      <vt:lpstr>COT Efficiency</vt:lpstr>
      <vt:lpstr>Standard Value Calculator</vt:lpstr>
      <vt:lpstr>Ripple Injection</vt:lpstr>
      <vt:lpstr>_Don1</vt:lpstr>
      <vt:lpstr>_Don2</vt:lpstr>
      <vt:lpstr>'BOM &amp; Schematic'!Área_de_Impressão</vt:lpstr>
      <vt:lpstr>'Design Regulator'!Área_de_Impressão</vt:lpstr>
      <vt:lpstr>'PFM Efficiency'!BDserR</vt:lpstr>
      <vt:lpstr>BDserR</vt:lpstr>
      <vt:lpstr>Cb</vt:lpstr>
      <vt:lpstr>'COT Efficiency'!Cin</vt:lpstr>
      <vt:lpstr>'PFM Efficiency'!Cin</vt:lpstr>
      <vt:lpstr>Cin</vt:lpstr>
      <vt:lpstr>CinEsrMax</vt:lpstr>
      <vt:lpstr>Cinmin</vt:lpstr>
      <vt:lpstr>'PFM Efficiency'!Coss</vt:lpstr>
      <vt:lpstr>Coss</vt:lpstr>
      <vt:lpstr>'COT Efficiency'!Cout</vt:lpstr>
      <vt:lpstr>'PFM Efficiency'!Cout</vt:lpstr>
      <vt:lpstr>Cout</vt:lpstr>
      <vt:lpstr>Cout_Voltage_Rating</vt:lpstr>
      <vt:lpstr>CoutEsr</vt:lpstr>
      <vt:lpstr>CoutEsrMax</vt:lpstr>
      <vt:lpstr>Coutmin</vt:lpstr>
      <vt:lpstr>Cr</vt:lpstr>
      <vt:lpstr>Css</vt:lpstr>
      <vt:lpstr>Css_u</vt:lpstr>
      <vt:lpstr>Csw</vt:lpstr>
      <vt:lpstr>'PFM Efficiency'!D</vt:lpstr>
      <vt:lpstr>'PFM Efficiency'!dead1</vt:lpstr>
      <vt:lpstr>dead1</vt:lpstr>
      <vt:lpstr>'PFM Efficiency'!dead2</vt:lpstr>
      <vt:lpstr>dead2</vt:lpstr>
      <vt:lpstr>'COT Efficiency'!Deadtime</vt:lpstr>
      <vt:lpstr>'PFM Efficiency'!Deadtime</vt:lpstr>
      <vt:lpstr>Deadtime</vt:lpstr>
      <vt:lpstr>Doff1</vt:lpstr>
      <vt:lpstr>Doff2</vt:lpstr>
      <vt:lpstr>Don_Vinmax</vt:lpstr>
      <vt:lpstr>Don_Vinmax_2</vt:lpstr>
      <vt:lpstr>Don_Vinmin</vt:lpstr>
      <vt:lpstr>Don_Vinmin_2</vt:lpstr>
      <vt:lpstr>Don_Vinnom</vt:lpstr>
      <vt:lpstr>Don_Vinnom_2</vt:lpstr>
      <vt:lpstr>EFF_LINEAR</vt:lpstr>
      <vt:lpstr>EFF_LOG</vt:lpstr>
      <vt:lpstr>Efficiency</vt:lpstr>
      <vt:lpstr>FB_hys</vt:lpstr>
      <vt:lpstr>'COT Efficiency'!Fsw</vt:lpstr>
      <vt:lpstr>'PFM Efficiency'!Fsw</vt:lpstr>
      <vt:lpstr>Fsw</vt:lpstr>
      <vt:lpstr>Icinrms</vt:lpstr>
      <vt:lpstr>Icoutrms</vt:lpstr>
      <vt:lpstr>Icrit</vt:lpstr>
      <vt:lpstr>'PFM Efficiency'!Idss</vt:lpstr>
      <vt:lpstr>Idss</vt:lpstr>
      <vt:lpstr>Ifb</vt:lpstr>
      <vt:lpstr>Iin_Vinmax</vt:lpstr>
      <vt:lpstr>Iin_Vinmin</vt:lpstr>
      <vt:lpstr>Iin_Vinnom</vt:lpstr>
      <vt:lpstr>IL_peak</vt:lpstr>
      <vt:lpstr>IL_valley</vt:lpstr>
      <vt:lpstr>Ilim</vt:lpstr>
      <vt:lpstr>Iout</vt:lpstr>
      <vt:lpstr>Iout_maxload_COT</vt:lpstr>
      <vt:lpstr>Iout_maxload_PFM</vt:lpstr>
      <vt:lpstr>Ioutmax</vt:lpstr>
      <vt:lpstr>Iq</vt:lpstr>
      <vt:lpstr>'PFM Efficiency'!Iq_active</vt:lpstr>
      <vt:lpstr>Iq_active</vt:lpstr>
      <vt:lpstr>'PFM Efficiency'!Iq_sleep</vt:lpstr>
      <vt:lpstr>Iq_sleep</vt:lpstr>
      <vt:lpstr>Iripple</vt:lpstr>
      <vt:lpstr>Iripple_Vinmax</vt:lpstr>
      <vt:lpstr>Iripple_Vinmin</vt:lpstr>
      <vt:lpstr>Iripple_Vinnom</vt:lpstr>
      <vt:lpstr>Iripple1</vt:lpstr>
      <vt:lpstr>IripplePFM</vt:lpstr>
      <vt:lpstr>Iss</vt:lpstr>
      <vt:lpstr>Izx</vt:lpstr>
      <vt:lpstr>'PFM Efficiency'!k_core</vt:lpstr>
      <vt:lpstr>k_core</vt:lpstr>
      <vt:lpstr>Lf</vt:lpstr>
      <vt:lpstr>Lopt</vt:lpstr>
      <vt:lpstr>Ltc</vt:lpstr>
      <vt:lpstr>'PFM Efficiency'!max_I</vt:lpstr>
      <vt:lpstr>max_I</vt:lpstr>
      <vt:lpstr>'PFM Efficiency'!min_I</vt:lpstr>
      <vt:lpstr>min_I</vt:lpstr>
      <vt:lpstr>MODE</vt:lpstr>
      <vt:lpstr>MODE_ILIM</vt:lpstr>
      <vt:lpstr>MODE_SS</vt:lpstr>
      <vt:lpstr>MODE_UVLO</vt:lpstr>
      <vt:lpstr>MODE_VOUT</vt:lpstr>
      <vt:lpstr>'PFM Efficiency'!newVthTop</vt:lpstr>
      <vt:lpstr>newVthTop</vt:lpstr>
      <vt:lpstr>'PFM Efficiency'!OffTime</vt:lpstr>
      <vt:lpstr>OffTime</vt:lpstr>
      <vt:lpstr>'PFM Efficiency'!OnTime</vt:lpstr>
      <vt:lpstr>OnTime</vt:lpstr>
      <vt:lpstr>PFM_Duty_Cycle</vt:lpstr>
      <vt:lpstr>Pi</vt:lpstr>
      <vt:lpstr>Pin</vt:lpstr>
      <vt:lpstr>PLOT_TYPE</vt:lpstr>
      <vt:lpstr>Pout</vt:lpstr>
      <vt:lpstr>'PFM Efficiency'!QgBot</vt:lpstr>
      <vt:lpstr>QgBot</vt:lpstr>
      <vt:lpstr>'PFM Efficiency'!QgTop</vt:lpstr>
      <vt:lpstr>QgTop</vt:lpstr>
      <vt:lpstr>QrrBot</vt:lpstr>
      <vt:lpstr>'COT Efficiency'!RCinEsr</vt:lpstr>
      <vt:lpstr>'PFM Efficiency'!RCinEsr</vt:lpstr>
      <vt:lpstr>RCinEsr</vt:lpstr>
      <vt:lpstr>'COT Efficiency'!RCoutEsr</vt:lpstr>
      <vt:lpstr>'PFM Efficiency'!RCoutEsr</vt:lpstr>
      <vt:lpstr>RCoutEsr</vt:lpstr>
      <vt:lpstr>'COT Efficiency'!Rdcr</vt:lpstr>
      <vt:lpstr>'PFM Efficiency'!Rdcr</vt:lpstr>
      <vt:lpstr>Rdcr</vt:lpstr>
      <vt:lpstr>Rdson1</vt:lpstr>
      <vt:lpstr>Rdson2</vt:lpstr>
      <vt:lpstr>'PFM Efficiency'!RdsonBot</vt:lpstr>
      <vt:lpstr>RdsonBot</vt:lpstr>
      <vt:lpstr>'PFM Efficiency'!RdsonTop</vt:lpstr>
      <vt:lpstr>RdsonTop</vt:lpstr>
      <vt:lpstr>Rfb1_</vt:lpstr>
      <vt:lpstr>Rfb2_</vt:lpstr>
      <vt:lpstr>Rfb2_u</vt:lpstr>
      <vt:lpstr>Rfets</vt:lpstr>
      <vt:lpstr>Rhys</vt:lpstr>
      <vt:lpstr>Rout</vt:lpstr>
      <vt:lpstr>Rpg</vt:lpstr>
      <vt:lpstr>'PFM Efficiency'!rr</vt:lpstr>
      <vt:lpstr>rr</vt:lpstr>
      <vt:lpstr>Rt</vt:lpstr>
      <vt:lpstr>Ruvlo1</vt:lpstr>
      <vt:lpstr>Ruvlo2</vt:lpstr>
      <vt:lpstr>SCH_COT_VOUTAdj_UVLOAdj_SSAdj_IlimGND</vt:lpstr>
      <vt:lpstr>SCH_COT_VOUTAdj_UVLOAdj_SSAdj_IlimRes</vt:lpstr>
      <vt:lpstr>SCH_COT_VOUTAdj_UVLOAdj_SSfix_IlimGND</vt:lpstr>
      <vt:lpstr>SCH_COT_VOUTAdj_UVLOAdj_SSfix_IlimRes</vt:lpstr>
      <vt:lpstr>SCH_COT_VOUTAdj_UVLOAdj_SSno_IlimGND</vt:lpstr>
      <vt:lpstr>SCH_COT_VOUTAdj_UVLOAdj_SSno_IlimRes</vt:lpstr>
      <vt:lpstr>SCH_COT_VOUTAdj_UVLOint_SSAdj_IlimGND</vt:lpstr>
      <vt:lpstr>SCH_COT_VOUTAdj_UVLOint_SSAdj_IlimRes</vt:lpstr>
      <vt:lpstr>SCH_COT_VOUTAdj_UVLOint_SSfix_IlimGND</vt:lpstr>
      <vt:lpstr>SCH_COT_VOUTAdj_UVLOint_SSfix_IlimRes</vt:lpstr>
      <vt:lpstr>SCH_COT_VOUTAdj_UVLOint_SSno_IlimGND</vt:lpstr>
      <vt:lpstr>SCH_COT_VOUTAdj_UVLOint_SSno_IlimRes</vt:lpstr>
      <vt:lpstr>SCH_COT_VOUTfixed_UVLOAdj_SSAdj_IlimGND</vt:lpstr>
      <vt:lpstr>SCH_COT_VOUTfixed_UVLOAdj_SSAdj_IlimRes</vt:lpstr>
      <vt:lpstr>SCH_COT_VOUTfixed_UVLOAdj_SSfix_IlimGND</vt:lpstr>
      <vt:lpstr>SCH_COT_VOUTfixed_UVLOAdj_SSfix_IlimRes</vt:lpstr>
      <vt:lpstr>SCH_COT_VOUTfixed_UVLOAdj_SSno_IlimGND</vt:lpstr>
      <vt:lpstr>SCH_COT_VOUTfixed_UVLOAdj_SSno_IlimRes</vt:lpstr>
      <vt:lpstr>SCH_COT_VOUTfixed_UVLOint_SSAdj_IlimGND</vt:lpstr>
      <vt:lpstr>SCH_COT_VOUTfixed_UVLOint_SSAdj_IlimRes</vt:lpstr>
      <vt:lpstr>SCH_COT_VOUTfixed_UVLOint_SSfix_IlimGND</vt:lpstr>
      <vt:lpstr>SCH_COT_VOUTfixed_UVLOint_SSfix_IlimRes</vt:lpstr>
      <vt:lpstr>SCH_COT_VOUTfixed_UVLOint_SSno_IlimGND</vt:lpstr>
      <vt:lpstr>SCH_COT_VOUTfixed_UVLOint_SSno_IlimRes</vt:lpstr>
      <vt:lpstr>SCH_PFM_VOUTAdj_UVLOAdj_SSAdj_IlimGND</vt:lpstr>
      <vt:lpstr>SCH_PFM_VOUTAdj_UVLOAdj_SSAdj_IlimRes</vt:lpstr>
      <vt:lpstr>SCH_PFM_VOUTAdj_UVLOAdj_SSfix_IlimGND</vt:lpstr>
      <vt:lpstr>SCH_PFM_VOUTAdj_UVLOAdj_SSfix_IlimRes</vt:lpstr>
      <vt:lpstr>SCH_PFM_VOUTAdj_UVLOAdj_SSno_IlimGND</vt:lpstr>
      <vt:lpstr>SCH_PFM_VOUTAdj_UVLOAdj_SSno_IlimRes</vt:lpstr>
      <vt:lpstr>SCH_PFM_VOUTAdj_UVLOint_SSAdj_IlimGND</vt:lpstr>
      <vt:lpstr>SCH_PFM_VOUTAdj_UVLOint_SSAdj_IlimRes</vt:lpstr>
      <vt:lpstr>SCH_PFM_VOUTAdj_UVLOint_SSfix_IlimGND</vt:lpstr>
      <vt:lpstr>SCH_PFM_VOUTAdj_UVLOint_SSfix_IlimRes</vt:lpstr>
      <vt:lpstr>SCH_PFM_VOUTAdj_UVLOint_SSno_IlimGND</vt:lpstr>
      <vt:lpstr>SCH_PFM_VOUTAdj_UVLOint_SSno_IlimRes</vt:lpstr>
      <vt:lpstr>SCH_PFM_VOUTfixed_UVLOAdj_SSAdj_IlimGND</vt:lpstr>
      <vt:lpstr>SCH_PFM_VOUTfixed_UVLOAdj_SSAdj_IlimRes</vt:lpstr>
      <vt:lpstr>SCH_PFM_VOUTfixed_UVLOAdj_SSfix_IlimGND</vt:lpstr>
      <vt:lpstr>SCH_PFM_VOUTfixed_UVLOAdj_SSfix_IlimRes</vt:lpstr>
      <vt:lpstr>SCH_PFM_VOUTfixed_UVLOAdj_SSno_IlimGND</vt:lpstr>
      <vt:lpstr>SCH_PFM_VOUTfixed_UVLOAdj_SSno_IlimRes</vt:lpstr>
      <vt:lpstr>SCH_PFM_VOUTfixed_UVLOint_SSAdj_IlimGND</vt:lpstr>
      <vt:lpstr>SCH_PFM_VOUTfixed_UVLOint_SSAdj_IlimRes</vt:lpstr>
      <vt:lpstr>SCH_PFM_VOUTfixed_UVLOint_SSfix_IlimGND</vt:lpstr>
      <vt:lpstr>SCH_PFM_VOUTfixed_UVLOint_SSfix_IlimRes</vt:lpstr>
      <vt:lpstr>SCH_PFM_VOUTfixed_UVLOint_SSno_IlimGND</vt:lpstr>
      <vt:lpstr>SCH_PFM_VOUTfixed_UVLOint_SSno_IlimRes</vt:lpstr>
      <vt:lpstr>SHORT_ILIM</vt:lpstr>
      <vt:lpstr>'COT Efficiency'!Ta</vt:lpstr>
      <vt:lpstr>'PFM Efficiency'!Ta</vt:lpstr>
      <vt:lpstr>Ta</vt:lpstr>
      <vt:lpstr>'COT Efficiency'!Tf</vt:lpstr>
      <vt:lpstr>Tf</vt:lpstr>
      <vt:lpstr>ThetaCa</vt:lpstr>
      <vt:lpstr>TL</vt:lpstr>
      <vt:lpstr>Toff_Vinmax</vt:lpstr>
      <vt:lpstr>Ton_Vinmin</vt:lpstr>
      <vt:lpstr>'COT Efficiency'!Tr</vt:lpstr>
      <vt:lpstr>TrrBot</vt:lpstr>
      <vt:lpstr>'PFM Efficiency'!Tsleep</vt:lpstr>
      <vt:lpstr>Tsleep</vt:lpstr>
      <vt:lpstr>Tss</vt:lpstr>
      <vt:lpstr>'COT Efficiency'!Vdd</vt:lpstr>
      <vt:lpstr>'PFM Efficiency'!Vdd</vt:lpstr>
      <vt:lpstr>Vdd</vt:lpstr>
      <vt:lpstr>Vin</vt:lpstr>
      <vt:lpstr>VIN_max</vt:lpstr>
      <vt:lpstr>VIN_min</vt:lpstr>
      <vt:lpstr>VIN_nom</vt:lpstr>
      <vt:lpstr>Vinripple1</vt:lpstr>
      <vt:lpstr>Vinripple2</vt:lpstr>
      <vt:lpstr>VINuvlo_off</vt:lpstr>
      <vt:lpstr>VINuvlo_on</vt:lpstr>
      <vt:lpstr>Vout</vt:lpstr>
      <vt:lpstr>Vout_hys</vt:lpstr>
      <vt:lpstr>Vref</vt:lpstr>
      <vt:lpstr>Vripple_PFM</vt:lpstr>
      <vt:lpstr>Vripple1</vt:lpstr>
      <vt:lpstr>Vripple2</vt:lpstr>
      <vt:lpstr>'PFM Efficiency'!VSD</vt:lpstr>
      <vt:lpstr>VSD</vt:lpstr>
      <vt:lpstr>'PFM Efficiency'!VsdBot</vt:lpstr>
      <vt:lpstr>VsdBot</vt:lpstr>
      <vt:lpstr>Vuvlo_hys</vt:lpstr>
      <vt:lpstr>Vuvlo_off</vt:lpstr>
      <vt:lpstr>Vuvlo_on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LM5165 Design Calculator</dc:title>
  <dc:creator>Timothy Hegarty</dc:creator>
  <cp:keywords>LM5165, low IQ buck regulator, COT, PFM, PCB layout</cp:keywords>
  <cp:lastModifiedBy>Afonso Daniel Guerreiro Coelho</cp:lastModifiedBy>
  <cp:lastPrinted>2016-03-02T21:18:53Z</cp:lastPrinted>
  <dcterms:created xsi:type="dcterms:W3CDTF">1996-10-14T23:33:28Z</dcterms:created>
  <dcterms:modified xsi:type="dcterms:W3CDTF">2026-04-17T12:32:17Z</dcterms:modified>
</cp:coreProperties>
</file>