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xyOne\Desktop\trabalho5 (1)\"/>
    </mc:Choice>
  </mc:AlternateContent>
  <xr:revisionPtr revIDLastSave="0" documentId="13_ncr:1_{3F3F1A2E-0DF5-46FD-9C7C-34859C0FEEF7}" xr6:coauthVersionLast="47" xr6:coauthVersionMax="47" xr10:uidLastSave="{00000000-0000-0000-0000-000000000000}"/>
  <bookViews>
    <workbookView xWindow="-120" yWindow="-120" windowWidth="29040" windowHeight="15840" activeTab="1" xr2:uid="{298E63E3-C70C-47F1-91BA-4A01CCAC36E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O91" i="1"/>
  <c r="O92" i="1"/>
  <c r="O93" i="1"/>
  <c r="O94" i="1"/>
  <c r="O95" i="1"/>
  <c r="O96" i="1"/>
  <c r="O90" i="1"/>
  <c r="O79" i="1"/>
  <c r="O73" i="1"/>
  <c r="O74" i="1"/>
  <c r="O75" i="1"/>
  <c r="O76" i="1"/>
  <c r="O77" i="1"/>
  <c r="O78" i="1"/>
  <c r="O72" i="1"/>
  <c r="O56" i="1"/>
  <c r="O50" i="1"/>
  <c r="O51" i="1"/>
  <c r="O52" i="1"/>
  <c r="O53" i="1"/>
  <c r="O54" i="1"/>
  <c r="O55" i="1"/>
  <c r="O49" i="1"/>
  <c r="O31" i="1"/>
  <c r="O38" i="1"/>
  <c r="O32" i="1"/>
  <c r="O33" i="1"/>
  <c r="O34" i="1"/>
  <c r="O35" i="1"/>
  <c r="O36" i="1"/>
  <c r="O37" i="1"/>
  <c r="H35" i="1"/>
  <c r="R33" i="1" l="1"/>
  <c r="R97" i="1"/>
  <c r="R73" i="1"/>
  <c r="R74" i="1"/>
  <c r="R75" i="1"/>
  <c r="R76" i="1"/>
  <c r="R77" i="1"/>
  <c r="R78" i="1"/>
  <c r="R79" i="1"/>
  <c r="R72" i="1"/>
  <c r="R56" i="1"/>
  <c r="R32" i="1"/>
  <c r="R34" i="1"/>
  <c r="R35" i="1"/>
  <c r="R36" i="1"/>
  <c r="R37" i="1"/>
  <c r="R38" i="1"/>
  <c r="R31" i="1"/>
  <c r="G26" i="1"/>
  <c r="E11" i="1"/>
  <c r="F37" i="1" s="1"/>
  <c r="D11" i="1"/>
  <c r="E37" i="1" s="1"/>
  <c r="C11" i="1"/>
  <c r="F11" i="1" s="1"/>
  <c r="R96" i="1"/>
  <c r="R95" i="1"/>
  <c r="R94" i="1"/>
  <c r="R93" i="1"/>
  <c r="R92" i="1"/>
  <c r="R91" i="1"/>
  <c r="R90" i="1"/>
  <c r="R55" i="1"/>
  <c r="R54" i="1"/>
  <c r="R53" i="1"/>
  <c r="R52" i="1"/>
  <c r="R51" i="1"/>
  <c r="R50" i="1"/>
  <c r="R49" i="1"/>
  <c r="S7" i="1"/>
  <c r="P79" i="1" s="1"/>
  <c r="O7" i="1"/>
  <c r="P53" i="1" s="1"/>
  <c r="E22" i="1" l="1"/>
  <c r="E34" i="1"/>
  <c r="P56" i="1"/>
  <c r="P31" i="1"/>
  <c r="P50" i="1"/>
  <c r="P51" i="1"/>
  <c r="P49" i="1"/>
  <c r="P75" i="1"/>
  <c r="P77" i="1"/>
  <c r="P74" i="1"/>
  <c r="P90" i="1"/>
  <c r="P92" i="1"/>
  <c r="P72" i="1"/>
  <c r="P76" i="1"/>
  <c r="P97" i="1"/>
  <c r="P38" i="1"/>
  <c r="D34" i="1"/>
  <c r="E39" i="1"/>
  <c r="F38" i="1"/>
  <c r="P52" i="1"/>
  <c r="P73" i="1"/>
  <c r="F20" i="1"/>
  <c r="F39" i="1"/>
  <c r="F34" i="1"/>
  <c r="G34" i="1" s="1"/>
  <c r="D39" i="1"/>
  <c r="F23" i="1"/>
  <c r="G23" i="1" s="1"/>
  <c r="D35" i="1"/>
  <c r="E40" i="1"/>
  <c r="P54" i="1"/>
  <c r="P96" i="1"/>
  <c r="F24" i="1"/>
  <c r="E41" i="1"/>
  <c r="E35" i="1"/>
  <c r="E24" i="1"/>
  <c r="G24" i="1" s="1"/>
  <c r="P55" i="1"/>
  <c r="P95" i="1"/>
  <c r="D19" i="1"/>
  <c r="D36" i="1"/>
  <c r="F40" i="1"/>
  <c r="F35" i="1"/>
  <c r="F19" i="1"/>
  <c r="P94" i="1"/>
  <c r="D22" i="1"/>
  <c r="G22" i="1" s="1"/>
  <c r="D37" i="1"/>
  <c r="G37" i="1" s="1"/>
  <c r="F41" i="1"/>
  <c r="E36" i="1"/>
  <c r="E38" i="1"/>
  <c r="P93" i="1"/>
  <c r="D21" i="1"/>
  <c r="G21" i="1" s="1"/>
  <c r="D38" i="1"/>
  <c r="F36" i="1"/>
  <c r="D20" i="1"/>
  <c r="E25" i="1"/>
  <c r="G25" i="1" s="1"/>
  <c r="D41" i="1"/>
  <c r="P78" i="1"/>
  <c r="P91" i="1"/>
  <c r="E20" i="1"/>
  <c r="D40" i="1"/>
  <c r="J11" i="1"/>
  <c r="I11" i="1"/>
  <c r="H11" i="1"/>
  <c r="P33" i="1"/>
  <c r="P34" i="1"/>
  <c r="P35" i="1"/>
  <c r="P36" i="1"/>
  <c r="P37" i="1"/>
  <c r="P32" i="1"/>
  <c r="G41" i="1" l="1"/>
  <c r="G35" i="1"/>
  <c r="J35" i="1" s="1"/>
  <c r="G38" i="1"/>
  <c r="J38" i="1" s="1"/>
  <c r="G36" i="1"/>
  <c r="I36" i="1" s="1"/>
  <c r="K11" i="1"/>
  <c r="G19" i="1"/>
  <c r="I19" i="1" s="1"/>
  <c r="G39" i="1"/>
  <c r="H39" i="1" s="1"/>
  <c r="H36" i="1"/>
  <c r="J36" i="1"/>
  <c r="J34" i="1"/>
  <c r="H34" i="1"/>
  <c r="K34" i="1" s="1"/>
  <c r="I34" i="1"/>
  <c r="H37" i="1"/>
  <c r="J37" i="1"/>
  <c r="I37" i="1"/>
  <c r="J41" i="1"/>
  <c r="H41" i="1"/>
  <c r="I41" i="1"/>
  <c r="I23" i="1"/>
  <c r="H23" i="1"/>
  <c r="J23" i="1"/>
  <c r="J19" i="1"/>
  <c r="H19" i="1"/>
  <c r="Q52" i="1"/>
  <c r="S52" i="1" s="1"/>
  <c r="Q53" i="1"/>
  <c r="S53" i="1" s="1"/>
  <c r="Q37" i="1"/>
  <c r="S37" i="1" s="1"/>
  <c r="Q38" i="1"/>
  <c r="S38" i="1" s="1"/>
  <c r="Q49" i="1"/>
  <c r="S49" i="1" s="1"/>
  <c r="Q32" i="1"/>
  <c r="S32" i="1" s="1"/>
  <c r="H38" i="1"/>
  <c r="I38" i="1"/>
  <c r="I21" i="1"/>
  <c r="H21" i="1"/>
  <c r="J21" i="1"/>
  <c r="I22" i="1"/>
  <c r="J22" i="1"/>
  <c r="H22" i="1"/>
  <c r="H25" i="1"/>
  <c r="I25" i="1"/>
  <c r="J25" i="1"/>
  <c r="I35" i="1"/>
  <c r="H24" i="1"/>
  <c r="K24" i="1" s="1"/>
  <c r="I24" i="1"/>
  <c r="J24" i="1"/>
  <c r="G20" i="1"/>
  <c r="G40" i="1"/>
  <c r="K36" i="1" l="1"/>
  <c r="K35" i="1"/>
  <c r="Q35" i="1"/>
  <c r="S35" i="1" s="1"/>
  <c r="Q51" i="1"/>
  <c r="S51" i="1" s="1"/>
  <c r="K37" i="1"/>
  <c r="Q33" i="1"/>
  <c r="S33" i="1" s="1"/>
  <c r="K19" i="1"/>
  <c r="Q31" i="1" s="1"/>
  <c r="S31" i="1" s="1"/>
  <c r="K38" i="1"/>
  <c r="Q56" i="1"/>
  <c r="S56" i="1" s="1"/>
  <c r="Q50" i="1"/>
  <c r="S50" i="1" s="1"/>
  <c r="J39" i="1"/>
  <c r="Q55" i="1"/>
  <c r="S55" i="1" s="1"/>
  <c r="Q34" i="1"/>
  <c r="S34" i="1" s="1"/>
  <c r="I39" i="1"/>
  <c r="J40" i="1"/>
  <c r="H40" i="1"/>
  <c r="I40" i="1"/>
  <c r="K25" i="1"/>
  <c r="K22" i="1"/>
  <c r="K41" i="1"/>
  <c r="K21" i="1"/>
  <c r="K23" i="1"/>
  <c r="I20" i="1"/>
  <c r="J20" i="1"/>
  <c r="H20" i="1"/>
  <c r="Q36" i="1"/>
  <c r="S36" i="1" s="1"/>
  <c r="Q54" i="1"/>
  <c r="S54" i="1" s="1"/>
  <c r="Q72" i="1" l="1"/>
  <c r="S72" i="1" s="1"/>
  <c r="Q90" i="1"/>
  <c r="S90" i="1" s="1"/>
  <c r="S39" i="1"/>
  <c r="K20" i="1"/>
  <c r="K39" i="1"/>
  <c r="Q95" i="1" s="1"/>
  <c r="S95" i="1" s="1"/>
  <c r="S57" i="1"/>
  <c r="Q97" i="1"/>
  <c r="S97" i="1" s="1"/>
  <c r="Q79" i="1"/>
  <c r="S79" i="1" s="1"/>
  <c r="Q93" i="1"/>
  <c r="S93" i="1" s="1"/>
  <c r="Q75" i="1"/>
  <c r="S75" i="1" s="1"/>
  <c r="Q91" i="1"/>
  <c r="S91" i="1" s="1"/>
  <c r="Q73" i="1"/>
  <c r="S73" i="1" s="1"/>
  <c r="K40" i="1"/>
  <c r="Q78" i="1" s="1"/>
  <c r="S78" i="1" s="1"/>
  <c r="Q92" i="1"/>
  <c r="S92" i="1" s="1"/>
  <c r="Q74" i="1"/>
  <c r="S74" i="1" s="1"/>
  <c r="Q76" i="1"/>
  <c r="S76" i="1" s="1"/>
  <c r="Q94" i="1"/>
  <c r="S94" i="1" s="1"/>
  <c r="N107" i="1" l="1"/>
  <c r="Q77" i="1"/>
  <c r="S77" i="1" s="1"/>
  <c r="S80" i="1" s="1"/>
  <c r="Q96" i="1"/>
  <c r="S96" i="1" s="1"/>
  <c r="S98" i="1" s="1"/>
  <c r="P107" i="1" l="1"/>
  <c r="R107" i="1" s="1"/>
  <c r="S107" i="1" s="1"/>
</calcChain>
</file>

<file path=xl/sharedStrings.xml><?xml version="1.0" encoding="utf-8"?>
<sst xmlns="http://schemas.openxmlformats.org/spreadsheetml/2006/main" count="106" uniqueCount="59">
  <si>
    <t>externo</t>
  </si>
  <si>
    <t>isolante</t>
  </si>
  <si>
    <t>interior</t>
  </si>
  <si>
    <t>espessura</t>
  </si>
  <si>
    <t>coefiente de condutividade termica</t>
  </si>
  <si>
    <t>Total</t>
  </si>
  <si>
    <t>temperatura exterior</t>
  </si>
  <si>
    <t>horas</t>
  </si>
  <si>
    <t>segundos</t>
  </si>
  <si>
    <t>Materiais</t>
  </si>
  <si>
    <t>Posição</t>
  </si>
  <si>
    <t>Área exposta total (m^2)</t>
  </si>
  <si>
    <t>Posição no navio</t>
  </si>
  <si>
    <t>Área de A (m^2)</t>
  </si>
  <si>
    <t>Área de B (m^2)</t>
  </si>
  <si>
    <t>Área de C (m^2)</t>
  </si>
  <si>
    <t>Resistência térmica (k/w)</t>
  </si>
  <si>
    <t>Externa</t>
  </si>
  <si>
    <t>Isolante</t>
  </si>
  <si>
    <t>Interior</t>
  </si>
  <si>
    <t>Viagem Leixões</t>
  </si>
  <si>
    <t>Tempo (segundos)</t>
  </si>
  <si>
    <t>Quantidade de contentores</t>
  </si>
  <si>
    <t>Total:</t>
  </si>
  <si>
    <t>Taxa de transferência térmica (W)</t>
  </si>
  <si>
    <t>Temperatura</t>
  </si>
  <si>
    <t>Quantidade</t>
  </si>
  <si>
    <t>Viagem Sines</t>
  </si>
  <si>
    <t>Contentor 7ºC</t>
  </si>
  <si>
    <t>Contentor -5ºC</t>
  </si>
  <si>
    <t>Contentores a -5ºC na viagem de Leixões (4 horas, 20ºC)</t>
  </si>
  <si>
    <t>Contentores a 7ºC na viagem de Leixões (4 horas, 20ºC)</t>
  </si>
  <si>
    <t>Contentores a -5ºC na viagem de Sines (8 horas, 28ºC)</t>
  </si>
  <si>
    <t>Contentores a 7ºC na viagem de Sines (8 horas, 28ºC)</t>
  </si>
  <si>
    <t>Energia total por contentor (J)</t>
  </si>
  <si>
    <t>Energia total por soma de contentores (J)</t>
  </si>
  <si>
    <t>Total de Leixões (J)</t>
  </si>
  <si>
    <t>Total de Sines (J)</t>
  </si>
  <si>
    <t>Total viagem (J)</t>
  </si>
  <si>
    <t>Total (MJ)</t>
  </si>
  <si>
    <t>Resultado</t>
  </si>
  <si>
    <t>Medidas do contentor</t>
  </si>
  <si>
    <t>Comprimento</t>
  </si>
  <si>
    <t>Largura</t>
  </si>
  <si>
    <t>Altura</t>
  </si>
  <si>
    <t>Áreas do contentor</t>
  </si>
  <si>
    <t>A (Lar * Alt)</t>
  </si>
  <si>
    <t>B (Com * Alt)</t>
  </si>
  <si>
    <t>C (Com * Lar)</t>
  </si>
  <si>
    <t>Área não exposta total (m^2)</t>
  </si>
  <si>
    <t>Distribuição de contentores</t>
  </si>
  <si>
    <t>Camada inferior</t>
  </si>
  <si>
    <t>Camada superior</t>
  </si>
  <si>
    <t>Proa</t>
  </si>
  <si>
    <t>Popa</t>
  </si>
  <si>
    <t xml:space="preserve">Bombordo </t>
  </si>
  <si>
    <t>Estibordo</t>
  </si>
  <si>
    <t>Resistência térmica para a área não exposta dos contentores</t>
  </si>
  <si>
    <t>Resistência térmica para a área exposta dos contentores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</si>
</sst>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Fill="1" applyBorder="1" applyAlignment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3" borderId="5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28608"/>
        <c:axId val="897627776"/>
      </c:barChart>
      <c:catAx>
        <c:axId val="8976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7776"/>
        <c:crosses val="autoZero"/>
        <c:auto val="1"/>
        <c:lblAlgn val="ctr"/>
        <c:lblOffset val="100"/>
        <c:noMultiLvlLbl val="0"/>
      </c:catAx>
      <c:valAx>
        <c:axId val="897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924AE-1BD4-4BA5-9841-D5F0EEDBE65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A476-7D28-4103-B96B-74396A01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622-5926-41BC-A5C9-046C7171EFA5}">
  <dimension ref="C4:W107"/>
  <sheetViews>
    <sheetView tabSelected="1" topLeftCell="A11" zoomScale="85" zoomScaleNormal="85" workbookViewId="0">
      <selection activeCell="M26" sqref="M26"/>
    </sheetView>
  </sheetViews>
  <sheetFormatPr defaultRowHeight="15" x14ac:dyDescent="0.25"/>
  <cols>
    <col min="3" max="3" width="11.140625" customWidth="1"/>
    <col min="4" max="4" width="12" customWidth="1"/>
    <col min="5" max="5" width="12.5703125" customWidth="1"/>
    <col min="6" max="6" width="10.42578125" customWidth="1"/>
    <col min="7" max="7" width="16.7109375" customWidth="1"/>
    <col min="8" max="8" width="13" customWidth="1"/>
    <col min="9" max="9" width="13.5703125" customWidth="1"/>
    <col min="10" max="10" width="13.85546875" customWidth="1"/>
    <col min="11" max="11" width="13.7109375" customWidth="1"/>
    <col min="12" max="12" width="13.85546875" customWidth="1"/>
    <col min="13" max="13" width="16.7109375" customWidth="1"/>
    <col min="14" max="14" width="18.140625" customWidth="1"/>
    <col min="15" max="15" width="18.28515625" customWidth="1"/>
    <col min="16" max="16" width="11.85546875" customWidth="1"/>
    <col min="17" max="17" width="14.85546875" customWidth="1"/>
    <col min="18" max="19" width="15.7109375" customWidth="1"/>
    <col min="20" max="20" width="12.5703125" customWidth="1"/>
    <col min="24" max="24" width="12" customWidth="1"/>
    <col min="25" max="25" width="15.28515625" customWidth="1"/>
    <col min="26" max="26" width="10" bestFit="1" customWidth="1"/>
  </cols>
  <sheetData>
    <row r="4" spans="3:22" x14ac:dyDescent="0.25">
      <c r="C4" s="1"/>
      <c r="D4" s="19" t="s">
        <v>9</v>
      </c>
      <c r="E4" s="19"/>
      <c r="F4" s="19"/>
      <c r="H4" s="19" t="s">
        <v>41</v>
      </c>
      <c r="I4" s="19"/>
      <c r="J4" s="19"/>
      <c r="N4" s="18" t="s">
        <v>20</v>
      </c>
      <c r="O4" s="19"/>
      <c r="P4" s="19"/>
      <c r="R4" s="18" t="s">
        <v>27</v>
      </c>
      <c r="S4" s="19"/>
      <c r="T4" s="19"/>
    </row>
    <row r="5" spans="3:22" x14ac:dyDescent="0.25">
      <c r="C5" s="1"/>
      <c r="D5" s="1" t="s">
        <v>0</v>
      </c>
      <c r="E5" s="1" t="s">
        <v>1</v>
      </c>
      <c r="F5" s="1" t="s">
        <v>2</v>
      </c>
      <c r="H5" s="1" t="s">
        <v>42</v>
      </c>
      <c r="I5" s="1" t="s">
        <v>43</v>
      </c>
      <c r="J5" s="1" t="s">
        <v>44</v>
      </c>
      <c r="N5" s="27" t="s">
        <v>7</v>
      </c>
      <c r="O5" s="27" t="s">
        <v>8</v>
      </c>
      <c r="P5" s="27" t="s">
        <v>6</v>
      </c>
      <c r="R5" s="26" t="s">
        <v>7</v>
      </c>
      <c r="S5" s="26" t="s">
        <v>8</v>
      </c>
      <c r="T5" s="27" t="s">
        <v>6</v>
      </c>
    </row>
    <row r="6" spans="3:22" x14ac:dyDescent="0.25">
      <c r="C6" s="1" t="s">
        <v>3</v>
      </c>
      <c r="D6" s="1">
        <v>2E-3</v>
      </c>
      <c r="E6" s="1">
        <v>0.02</v>
      </c>
      <c r="F6" s="1">
        <v>0.02</v>
      </c>
      <c r="H6" s="1">
        <v>6.0579999999999998</v>
      </c>
      <c r="I6" s="1">
        <v>2.4380000000000002</v>
      </c>
      <c r="J6" s="1">
        <v>2.5910000000000002</v>
      </c>
      <c r="N6" s="27"/>
      <c r="O6" s="27"/>
      <c r="P6" s="27"/>
      <c r="R6" s="26"/>
      <c r="S6" s="26"/>
      <c r="T6" s="27"/>
    </row>
    <row r="7" spans="3:22" x14ac:dyDescent="0.25">
      <c r="C7" s="1" t="s">
        <v>4</v>
      </c>
      <c r="D7" s="1">
        <v>19</v>
      </c>
      <c r="E7" s="1">
        <v>0.02</v>
      </c>
      <c r="F7" s="1">
        <v>0.13</v>
      </c>
      <c r="N7" s="1">
        <v>4</v>
      </c>
      <c r="O7" s="1">
        <f>N7 * 3600</f>
        <v>14400</v>
      </c>
      <c r="P7" s="1">
        <v>20</v>
      </c>
      <c r="R7" s="1">
        <v>8</v>
      </c>
      <c r="S7" s="1">
        <f>R7 * 3600</f>
        <v>28800</v>
      </c>
      <c r="T7" s="1">
        <v>28</v>
      </c>
      <c r="U7" s="2"/>
      <c r="V7" s="2"/>
    </row>
    <row r="9" spans="3:22" x14ac:dyDescent="0.25">
      <c r="C9" s="19" t="s">
        <v>45</v>
      </c>
      <c r="D9" s="19"/>
      <c r="E9" s="19"/>
      <c r="F9" s="19"/>
      <c r="H9" s="28" t="s">
        <v>16</v>
      </c>
      <c r="I9" s="28"/>
      <c r="J9" s="28"/>
      <c r="K9" s="28"/>
    </row>
    <row r="10" spans="3:22" x14ac:dyDescent="0.25">
      <c r="C10" s="11" t="s">
        <v>46</v>
      </c>
      <c r="D10" s="11" t="s">
        <v>47</v>
      </c>
      <c r="E10" s="11" t="s">
        <v>48</v>
      </c>
      <c r="F10" s="11" t="s">
        <v>5</v>
      </c>
      <c r="H10" s="29" t="s">
        <v>17</v>
      </c>
      <c r="I10" s="29" t="s">
        <v>18</v>
      </c>
      <c r="J10" s="29" t="s">
        <v>19</v>
      </c>
      <c r="K10" s="29" t="s">
        <v>5</v>
      </c>
    </row>
    <row r="11" spans="3:22" x14ac:dyDescent="0.25">
      <c r="C11" s="1">
        <f>ROUND($I$6*$J$6,3)</f>
        <v>6.3170000000000002</v>
      </c>
      <c r="D11" s="1">
        <f>ROUND($H$6*$J$6,3)</f>
        <v>15.696</v>
      </c>
      <c r="E11" s="1">
        <f>ROUND($H$6*$I$6,3)</f>
        <v>14.769</v>
      </c>
      <c r="F11" s="1">
        <f>2*($C$11+$D$11+$E$11)</f>
        <v>73.563999999999993</v>
      </c>
      <c r="H11" s="1">
        <f>$D$6/($D$7* SUM($F$11))</f>
        <v>1.4309058492569308E-6</v>
      </c>
      <c r="I11" s="1">
        <f>$E$6/($E$7* SUM($F$11))</f>
        <v>1.3593605567940842E-2</v>
      </c>
      <c r="J11" s="1">
        <f>$F$6/($F$7* SUM($F$11))</f>
        <v>2.0913239335293601E-3</v>
      </c>
      <c r="K11" s="1">
        <f>SUM(H11:J11)</f>
        <v>1.5686360407319459E-2</v>
      </c>
      <c r="N11" s="24" t="s">
        <v>29</v>
      </c>
      <c r="O11" s="24"/>
      <c r="P11" s="24"/>
      <c r="R11" s="24" t="s">
        <v>28</v>
      </c>
      <c r="S11" s="24"/>
      <c r="T11" s="24"/>
    </row>
    <row r="12" spans="3:22" x14ac:dyDescent="0.25">
      <c r="N12" s="1" t="s">
        <v>25</v>
      </c>
      <c r="O12" s="1" t="s">
        <v>10</v>
      </c>
      <c r="P12" s="1" t="s">
        <v>26</v>
      </c>
      <c r="R12" s="1" t="s">
        <v>25</v>
      </c>
      <c r="S12" s="1" t="s">
        <v>10</v>
      </c>
      <c r="T12" s="1" t="s">
        <v>26</v>
      </c>
    </row>
    <row r="13" spans="3:22" x14ac:dyDescent="0.25">
      <c r="N13" s="1">
        <v>-5</v>
      </c>
      <c r="O13" s="1">
        <v>1</v>
      </c>
      <c r="P13" s="1">
        <v>0</v>
      </c>
      <c r="R13" s="1">
        <v>7</v>
      </c>
      <c r="S13" s="1">
        <v>1</v>
      </c>
      <c r="T13" s="1">
        <v>4</v>
      </c>
    </row>
    <row r="14" spans="3:22" x14ac:dyDescent="0.25">
      <c r="N14" s="1"/>
      <c r="O14" s="1">
        <v>2</v>
      </c>
      <c r="P14" s="1">
        <v>0</v>
      </c>
      <c r="R14" s="1"/>
      <c r="S14" s="1">
        <v>2</v>
      </c>
      <c r="T14" s="1">
        <v>4</v>
      </c>
    </row>
    <row r="15" spans="3:22" x14ac:dyDescent="0.25">
      <c r="C15" s="19" t="s">
        <v>58</v>
      </c>
      <c r="D15" s="19"/>
      <c r="E15" s="19"/>
      <c r="F15" s="19"/>
      <c r="G15" s="19"/>
      <c r="H15" s="19"/>
      <c r="I15" s="19"/>
      <c r="J15" s="19"/>
      <c r="K15" s="19"/>
      <c r="N15" s="1"/>
      <c r="O15" s="1">
        <v>3</v>
      </c>
      <c r="P15" s="1">
        <v>4</v>
      </c>
      <c r="R15" s="1"/>
      <c r="S15" s="1">
        <v>3</v>
      </c>
      <c r="T15" s="1">
        <v>0</v>
      </c>
      <c r="U15" s="8"/>
      <c r="V15" s="8"/>
    </row>
    <row r="16" spans="3:22" x14ac:dyDescent="0.25">
      <c r="N16" s="1"/>
      <c r="O16" s="1">
        <v>4</v>
      </c>
      <c r="P16" s="1">
        <v>0</v>
      </c>
      <c r="R16" s="1"/>
      <c r="S16" s="1">
        <v>4</v>
      </c>
      <c r="T16" s="1">
        <v>4</v>
      </c>
      <c r="U16" s="8"/>
      <c r="V16" s="8"/>
    </row>
    <row r="17" spans="3:20" x14ac:dyDescent="0.25">
      <c r="C17" s="17" t="s">
        <v>12</v>
      </c>
      <c r="D17" s="17" t="s">
        <v>13</v>
      </c>
      <c r="E17" s="17" t="s">
        <v>14</v>
      </c>
      <c r="F17" s="17" t="s">
        <v>15</v>
      </c>
      <c r="G17" s="23" t="s">
        <v>11</v>
      </c>
      <c r="H17" s="18" t="s">
        <v>16</v>
      </c>
      <c r="I17" s="18"/>
      <c r="J17" s="18"/>
      <c r="K17" s="18"/>
      <c r="N17" s="1"/>
      <c r="O17" s="1">
        <v>5</v>
      </c>
      <c r="P17" s="1">
        <v>5</v>
      </c>
      <c r="R17" s="1"/>
      <c r="S17" s="1">
        <v>5</v>
      </c>
      <c r="T17" s="1">
        <v>1</v>
      </c>
    </row>
    <row r="18" spans="3:20" x14ac:dyDescent="0.25">
      <c r="C18" s="17"/>
      <c r="D18" s="17"/>
      <c r="E18" s="17"/>
      <c r="F18" s="17"/>
      <c r="G18" s="23"/>
      <c r="H18" s="3" t="s">
        <v>17</v>
      </c>
      <c r="I18" s="3" t="s">
        <v>18</v>
      </c>
      <c r="J18" s="3" t="s">
        <v>19</v>
      </c>
      <c r="K18" s="3" t="s">
        <v>5</v>
      </c>
      <c r="N18" s="1"/>
      <c r="O18" s="1">
        <v>6</v>
      </c>
      <c r="P18" s="1">
        <v>0</v>
      </c>
      <c r="R18" s="1"/>
      <c r="S18" s="1">
        <v>6</v>
      </c>
      <c r="T18" s="1">
        <v>6</v>
      </c>
    </row>
    <row r="19" spans="3:20" x14ac:dyDescent="0.25">
      <c r="C19" s="4">
        <v>1</v>
      </c>
      <c r="D19" s="4">
        <f>$C$11</f>
        <v>6.3170000000000002</v>
      </c>
      <c r="E19" s="4"/>
      <c r="F19" s="4">
        <f>$E$11</f>
        <v>14.769</v>
      </c>
      <c r="G19" s="4">
        <f t="shared" ref="G19:G25" si="0">D19+E19+F19</f>
        <v>21.085999999999999</v>
      </c>
      <c r="H19" s="4">
        <f>$D$6/($D$7* G19)</f>
        <v>4.992087541247124E-6</v>
      </c>
      <c r="I19" s="4">
        <f>$E$6/($E$7* G19)</f>
        <v>4.7424831641847673E-2</v>
      </c>
      <c r="J19" s="4">
        <f>$F$6/($F$7* G19)</f>
        <v>7.2961279448996424E-3</v>
      </c>
      <c r="K19" s="4">
        <f t="shared" ref="K19:K25" si="1">SUM(H19,I19,J19)</f>
        <v>5.4725951674288564E-2</v>
      </c>
      <c r="N19" s="1"/>
      <c r="O19" s="1">
        <v>7</v>
      </c>
      <c r="P19" s="1">
        <v>0</v>
      </c>
      <c r="R19" s="1"/>
      <c r="S19" s="1">
        <v>7</v>
      </c>
      <c r="T19" s="1">
        <v>6</v>
      </c>
    </row>
    <row r="20" spans="3:20" x14ac:dyDescent="0.25">
      <c r="C20" s="1">
        <v>2</v>
      </c>
      <c r="D20" s="7">
        <f t="shared" ref="D20:D22" si="2">$C$11</f>
        <v>6.3170000000000002</v>
      </c>
      <c r="E20" s="1">
        <f>$D$11</f>
        <v>15.696</v>
      </c>
      <c r="F20" s="7">
        <f>$E$11</f>
        <v>14.769</v>
      </c>
      <c r="G20" s="1">
        <f t="shared" si="0"/>
        <v>36.781999999999996</v>
      </c>
      <c r="H20" s="7">
        <f t="shared" ref="H20:H25" si="3">$D$6/($D$7* G20)</f>
        <v>2.8618116985138616E-6</v>
      </c>
      <c r="I20" s="7">
        <f t="shared" ref="I20:I25" si="4">$E$6/($E$7* G20)</f>
        <v>2.7187211135881684E-2</v>
      </c>
      <c r="J20" s="7">
        <f t="shared" ref="J20:J25" si="5">$F$6/($F$7* G20)</f>
        <v>4.1826478670587202E-3</v>
      </c>
      <c r="K20" s="1">
        <f t="shared" si="1"/>
        <v>3.1372720814638919E-2</v>
      </c>
      <c r="N20" s="1"/>
      <c r="O20" s="1">
        <v>8</v>
      </c>
      <c r="P20" s="1">
        <v>6</v>
      </c>
      <c r="R20" s="1"/>
      <c r="S20" s="1">
        <v>8</v>
      </c>
      <c r="T20" s="1">
        <v>0</v>
      </c>
    </row>
    <row r="21" spans="3:20" x14ac:dyDescent="0.25">
      <c r="C21" s="4">
        <v>3</v>
      </c>
      <c r="D21" s="4">
        <f t="shared" si="2"/>
        <v>6.3170000000000002</v>
      </c>
      <c r="E21" s="4"/>
      <c r="F21" s="4"/>
      <c r="G21" s="4">
        <f t="shared" si="0"/>
        <v>6.3170000000000002</v>
      </c>
      <c r="H21" s="4">
        <f t="shared" si="3"/>
        <v>1.6663472834373414E-5</v>
      </c>
      <c r="I21" s="4">
        <f t="shared" si="4"/>
        <v>0.1583029919265474</v>
      </c>
      <c r="J21" s="4">
        <f t="shared" si="5"/>
        <v>2.4354306450238065E-2</v>
      </c>
      <c r="K21" s="4">
        <f t="shared" si="1"/>
        <v>0.18267396184961984</v>
      </c>
    </row>
    <row r="22" spans="3:20" x14ac:dyDescent="0.25">
      <c r="C22" s="1">
        <v>4</v>
      </c>
      <c r="D22" s="7">
        <f t="shared" si="2"/>
        <v>6.3170000000000002</v>
      </c>
      <c r="E22" s="1">
        <f>$D$11</f>
        <v>15.696</v>
      </c>
      <c r="F22" s="1"/>
      <c r="G22" s="1">
        <f t="shared" si="0"/>
        <v>22.012999999999998</v>
      </c>
      <c r="H22" s="7">
        <f t="shared" si="3"/>
        <v>4.7818633486910852E-6</v>
      </c>
      <c r="I22" s="7">
        <f t="shared" si="4"/>
        <v>4.5427701812565308E-2</v>
      </c>
      <c r="J22" s="7">
        <f t="shared" si="5"/>
        <v>6.988877201933124E-3</v>
      </c>
      <c r="K22" s="1">
        <f t="shared" si="1"/>
        <v>5.2421360877847129E-2</v>
      </c>
    </row>
    <row r="23" spans="3:20" x14ac:dyDescent="0.25">
      <c r="C23" s="4">
        <v>5</v>
      </c>
      <c r="D23" s="4"/>
      <c r="E23" s="4"/>
      <c r="F23" s="4">
        <f>$E$11</f>
        <v>14.769</v>
      </c>
      <c r="G23" s="4">
        <f t="shared" si="0"/>
        <v>14.769</v>
      </c>
      <c r="H23" s="4">
        <f t="shared" si="3"/>
        <v>7.1273043465865566E-6</v>
      </c>
      <c r="I23" s="4">
        <f t="shared" si="4"/>
        <v>6.770939129257228E-2</v>
      </c>
      <c r="J23" s="4">
        <f t="shared" si="5"/>
        <v>1.0416829429626503E-2</v>
      </c>
      <c r="K23" s="4">
        <f t="shared" si="1"/>
        <v>7.8133348026545368E-2</v>
      </c>
    </row>
    <row r="24" spans="3:20" x14ac:dyDescent="0.25">
      <c r="C24" s="1">
        <v>6</v>
      </c>
      <c r="D24" s="1"/>
      <c r="E24" s="1">
        <f>$D$11</f>
        <v>15.696</v>
      </c>
      <c r="F24" s="7">
        <f>$E$11</f>
        <v>14.769</v>
      </c>
      <c r="G24" s="1">
        <f t="shared" si="0"/>
        <v>30.465</v>
      </c>
      <c r="H24" s="7">
        <f t="shared" si="3"/>
        <v>3.4552160805756388E-6</v>
      </c>
      <c r="I24" s="7">
        <f t="shared" si="4"/>
        <v>3.282455276546857E-2</v>
      </c>
      <c r="J24" s="7">
        <f t="shared" si="5"/>
        <v>5.0499311946874724E-3</v>
      </c>
      <c r="K24" s="1">
        <f t="shared" si="1"/>
        <v>3.7877939176236622E-2</v>
      </c>
    </row>
    <row r="25" spans="3:20" x14ac:dyDescent="0.25">
      <c r="C25" s="4">
        <v>7</v>
      </c>
      <c r="D25" s="4"/>
      <c r="E25" s="4">
        <f>$D$11</f>
        <v>15.696</v>
      </c>
      <c r="F25" s="4"/>
      <c r="G25" s="4">
        <f t="shared" si="0"/>
        <v>15.696</v>
      </c>
      <c r="H25" s="4">
        <f t="shared" si="3"/>
        <v>6.706368367401685E-6</v>
      </c>
      <c r="I25" s="4">
        <f t="shared" si="4"/>
        <v>6.3710499490316014E-2</v>
      </c>
      <c r="J25" s="4">
        <f t="shared" si="5"/>
        <v>9.8016153062024623E-3</v>
      </c>
      <c r="K25" s="4">
        <f t="shared" si="1"/>
        <v>7.3518821164885881E-2</v>
      </c>
      <c r="N25" s="20" t="s">
        <v>30</v>
      </c>
      <c r="O25" s="21"/>
      <c r="P25" s="21"/>
      <c r="Q25" s="21"/>
      <c r="R25" s="21"/>
      <c r="S25" s="22"/>
    </row>
    <row r="26" spans="3:20" x14ac:dyDescent="0.25">
      <c r="C26" s="7">
        <v>8</v>
      </c>
      <c r="D26" s="7"/>
      <c r="E26" s="7"/>
      <c r="F26" s="7"/>
      <c r="G26" s="7">
        <f t="shared" ref="G26" si="6">D26+E26+F26</f>
        <v>0</v>
      </c>
      <c r="H26" s="7">
        <v>0</v>
      </c>
      <c r="I26" s="7">
        <v>0</v>
      </c>
      <c r="J26" s="7">
        <v>0</v>
      </c>
      <c r="K26" s="7">
        <v>0</v>
      </c>
    </row>
    <row r="28" spans="3:20" x14ac:dyDescent="0.25">
      <c r="N28" s="17" t="s">
        <v>10</v>
      </c>
      <c r="O28" s="17" t="s">
        <v>24</v>
      </c>
      <c r="P28" s="17" t="s">
        <v>21</v>
      </c>
      <c r="Q28" s="17" t="s">
        <v>34</v>
      </c>
      <c r="R28" s="17" t="s">
        <v>22</v>
      </c>
      <c r="S28" s="17" t="s">
        <v>35</v>
      </c>
    </row>
    <row r="29" spans="3:20" x14ac:dyDescent="0.25">
      <c r="N29" s="17"/>
      <c r="O29" s="17"/>
      <c r="P29" s="17"/>
      <c r="Q29" s="17"/>
      <c r="R29" s="17"/>
      <c r="S29" s="17"/>
    </row>
    <row r="30" spans="3:20" x14ac:dyDescent="0.25">
      <c r="C30" s="19" t="s">
        <v>57</v>
      </c>
      <c r="D30" s="19"/>
      <c r="E30" s="19"/>
      <c r="F30" s="19"/>
      <c r="G30" s="19"/>
      <c r="H30" s="19"/>
      <c r="I30" s="19"/>
      <c r="J30" s="19"/>
      <c r="K30" s="19"/>
      <c r="N30" s="17"/>
      <c r="O30" s="17"/>
      <c r="P30" s="17"/>
      <c r="Q30" s="17"/>
      <c r="R30" s="17"/>
      <c r="S30" s="17"/>
    </row>
    <row r="31" spans="3:20" x14ac:dyDescent="0.25">
      <c r="N31" s="4">
        <v>1</v>
      </c>
      <c r="O31" s="4">
        <f>(($P$7-$N$13) / K19 ) + (($P$7-$N$13)/K34)</f>
        <v>1593.7412727259969</v>
      </c>
      <c r="P31" s="4">
        <f>$O$7</f>
        <v>14400</v>
      </c>
      <c r="Q31" s="4">
        <f t="shared" ref="Q31:Q37" si="7">O31*P31</f>
        <v>22949874.327254355</v>
      </c>
      <c r="R31" s="4">
        <f>P13</f>
        <v>0</v>
      </c>
      <c r="S31" s="4">
        <f>Q31*R31</f>
        <v>0</v>
      </c>
    </row>
    <row r="32" spans="3:20" x14ac:dyDescent="0.25">
      <c r="C32" s="17" t="s">
        <v>12</v>
      </c>
      <c r="D32" s="17" t="s">
        <v>13</v>
      </c>
      <c r="E32" s="17" t="s">
        <v>14</v>
      </c>
      <c r="F32" s="17" t="s">
        <v>15</v>
      </c>
      <c r="G32" s="23" t="s">
        <v>49</v>
      </c>
      <c r="H32" s="18" t="s">
        <v>16</v>
      </c>
      <c r="I32" s="18"/>
      <c r="J32" s="18"/>
      <c r="K32" s="18"/>
      <c r="N32" s="1">
        <v>2</v>
      </c>
      <c r="O32" s="31">
        <f t="shared" ref="O32:O37" si="8">(($P$7-$N$13) / K20 ) + (($P$7-$N$13)/K35)</f>
        <v>1593.7412727259969</v>
      </c>
      <c r="P32" s="1">
        <f>$O$7</f>
        <v>14400</v>
      </c>
      <c r="Q32" s="1">
        <f t="shared" si="7"/>
        <v>22949874.327254355</v>
      </c>
      <c r="R32" s="7">
        <f>P14</f>
        <v>0</v>
      </c>
      <c r="S32" s="1">
        <f t="shared" ref="S32:S37" si="9">Q32*R32</f>
        <v>0</v>
      </c>
    </row>
    <row r="33" spans="3:19" x14ac:dyDescent="0.25">
      <c r="C33" s="17"/>
      <c r="D33" s="17"/>
      <c r="E33" s="17"/>
      <c r="F33" s="17"/>
      <c r="G33" s="23"/>
      <c r="H33" s="10" t="s">
        <v>17</v>
      </c>
      <c r="I33" s="10" t="s">
        <v>18</v>
      </c>
      <c r="J33" s="10" t="s">
        <v>19</v>
      </c>
      <c r="K33" s="10" t="s">
        <v>5</v>
      </c>
      <c r="N33" s="4">
        <v>3</v>
      </c>
      <c r="O33" s="4">
        <f t="shared" si="8"/>
        <v>1593.7412727259966</v>
      </c>
      <c r="P33" s="4">
        <f>$O$7</f>
        <v>14400</v>
      </c>
      <c r="Q33" s="4">
        <f t="shared" si="7"/>
        <v>22949874.327254351</v>
      </c>
      <c r="R33" s="4">
        <f>P15</f>
        <v>4</v>
      </c>
      <c r="S33" s="4">
        <f>Q33*R33</f>
        <v>91799497.309017405</v>
      </c>
    </row>
    <row r="34" spans="3:19" x14ac:dyDescent="0.25">
      <c r="C34" s="4">
        <v>1</v>
      </c>
      <c r="D34" s="4">
        <f>$C$11</f>
        <v>6.3170000000000002</v>
      </c>
      <c r="E34" s="4">
        <f>2*$D$11</f>
        <v>31.391999999999999</v>
      </c>
      <c r="F34" s="4">
        <f>$E$11</f>
        <v>14.769</v>
      </c>
      <c r="G34" s="4">
        <f t="shared" ref="G34:G41" si="10">D34+E34+F34</f>
        <v>52.478000000000002</v>
      </c>
      <c r="H34" s="4">
        <f>$D$6/($D$7*G34)</f>
        <v>2.0058530792853547E-6</v>
      </c>
      <c r="I34" s="4">
        <f>$E$6/($E$7* G34)</f>
        <v>1.9055604253210869E-2</v>
      </c>
      <c r="J34" s="4">
        <f>$F$6/($F$7* G34)</f>
        <v>2.9316314235709028E-3</v>
      </c>
      <c r="K34" s="4">
        <f t="shared" ref="K34:K40" si="11">SUM(H34,I34,J34)</f>
        <v>2.1989241529861057E-2</v>
      </c>
      <c r="N34" s="1">
        <v>4</v>
      </c>
      <c r="O34" s="31">
        <f t="shared" si="8"/>
        <v>1593.7412727259971</v>
      </c>
      <c r="P34" s="1">
        <f>$O$7</f>
        <v>14400</v>
      </c>
      <c r="Q34" s="1">
        <f t="shared" si="7"/>
        <v>22949874.327254359</v>
      </c>
      <c r="R34" s="7">
        <f>P16</f>
        <v>0</v>
      </c>
      <c r="S34" s="1">
        <f>Q34*R34</f>
        <v>0</v>
      </c>
    </row>
    <row r="35" spans="3:19" x14ac:dyDescent="0.25">
      <c r="C35" s="1">
        <v>2</v>
      </c>
      <c r="D35" s="7">
        <f>$C$11</f>
        <v>6.3170000000000002</v>
      </c>
      <c r="E35" s="1">
        <f>$D$11</f>
        <v>15.696</v>
      </c>
      <c r="F35" s="7">
        <f>$E$11</f>
        <v>14.769</v>
      </c>
      <c r="G35" s="1">
        <f t="shared" si="10"/>
        <v>36.781999999999996</v>
      </c>
      <c r="H35" s="7">
        <f>$D$6/($D$7*G35)</f>
        <v>2.8618116985138616E-6</v>
      </c>
      <c r="I35" s="7">
        <f t="shared" ref="I35:I41" si="12">$E$6/($E$7* G35)</f>
        <v>2.7187211135881684E-2</v>
      </c>
      <c r="J35" s="7">
        <f t="shared" ref="J35:J41" si="13">$F$6/($F$7* G35)</f>
        <v>4.1826478670587202E-3</v>
      </c>
      <c r="K35" s="1">
        <f t="shared" si="11"/>
        <v>3.1372720814638919E-2</v>
      </c>
      <c r="N35" s="4">
        <v>5</v>
      </c>
      <c r="O35" s="4">
        <f t="shared" si="8"/>
        <v>1593.7412727259971</v>
      </c>
      <c r="P35" s="4">
        <f>$O$7</f>
        <v>14400</v>
      </c>
      <c r="Q35" s="4">
        <f t="shared" si="7"/>
        <v>22949874.327254359</v>
      </c>
      <c r="R35" s="4">
        <f>P17</f>
        <v>5</v>
      </c>
      <c r="S35" s="4">
        <f t="shared" si="9"/>
        <v>114749371.63627179</v>
      </c>
    </row>
    <row r="36" spans="3:19" x14ac:dyDescent="0.25">
      <c r="C36" s="4">
        <v>3</v>
      </c>
      <c r="D36" s="4">
        <f t="shared" ref="D36:D37" si="14">$C$11</f>
        <v>6.3170000000000002</v>
      </c>
      <c r="E36" s="4">
        <f>2*$D$11</f>
        <v>31.391999999999999</v>
      </c>
      <c r="F36" s="4">
        <f>2*$E$11</f>
        <v>29.538</v>
      </c>
      <c r="G36" s="4">
        <f t="shared" si="10"/>
        <v>67.247</v>
      </c>
      <c r="H36" s="4">
        <f t="shared" ref="H35:H41" si="15">$D$6/($D$7*G36)</f>
        <v>1.5653212469662118E-6</v>
      </c>
      <c r="I36" s="4">
        <f t="shared" si="12"/>
        <v>1.4870551846179011E-2</v>
      </c>
      <c r="J36" s="4">
        <f t="shared" si="13"/>
        <v>2.2877772071044633E-3</v>
      </c>
      <c r="K36" s="4">
        <f t="shared" si="11"/>
        <v>1.7159894374530443E-2</v>
      </c>
      <c r="N36" s="1">
        <v>6</v>
      </c>
      <c r="O36" s="31">
        <f t="shared" si="8"/>
        <v>1593.7412727259969</v>
      </c>
      <c r="P36" s="1">
        <f>$O$7</f>
        <v>14400</v>
      </c>
      <c r="Q36" s="1">
        <f t="shared" si="7"/>
        <v>22949874.327254355</v>
      </c>
      <c r="R36" s="7">
        <f>P18</f>
        <v>0</v>
      </c>
      <c r="S36" s="1">
        <f t="shared" si="9"/>
        <v>0</v>
      </c>
    </row>
    <row r="37" spans="3:19" x14ac:dyDescent="0.25">
      <c r="C37" s="1">
        <v>4</v>
      </c>
      <c r="D37" s="7">
        <f t="shared" si="14"/>
        <v>6.3170000000000002</v>
      </c>
      <c r="E37" s="1">
        <f>$D$11</f>
        <v>15.696</v>
      </c>
      <c r="F37" s="1">
        <f>2*$E$11</f>
        <v>29.538</v>
      </c>
      <c r="G37" s="1">
        <f t="shared" si="10"/>
        <v>51.551000000000002</v>
      </c>
      <c r="H37" s="7">
        <f t="shared" si="15"/>
        <v>2.0419227152671498E-6</v>
      </c>
      <c r="I37" s="7">
        <f t="shared" si="12"/>
        <v>1.9398265795037922E-2</v>
      </c>
      <c r="J37" s="7">
        <f t="shared" si="13"/>
        <v>2.984348583851988E-3</v>
      </c>
      <c r="K37" s="1">
        <f t="shared" si="11"/>
        <v>2.2384656301605178E-2</v>
      </c>
      <c r="N37" s="4">
        <v>7</v>
      </c>
      <c r="O37" s="4">
        <f t="shared" si="8"/>
        <v>1593.7412727259966</v>
      </c>
      <c r="P37" s="4">
        <f>$O$7</f>
        <v>14400</v>
      </c>
      <c r="Q37" s="4">
        <f t="shared" si="7"/>
        <v>22949874.327254351</v>
      </c>
      <c r="R37" s="4">
        <f>P19</f>
        <v>0</v>
      </c>
      <c r="S37" s="4">
        <f t="shared" si="9"/>
        <v>0</v>
      </c>
    </row>
    <row r="38" spans="3:19" x14ac:dyDescent="0.25">
      <c r="C38" s="4">
        <v>5</v>
      </c>
      <c r="D38" s="4">
        <f>2*$C$11</f>
        <v>12.634</v>
      </c>
      <c r="E38" s="4">
        <f>2*$D$11</f>
        <v>31.391999999999999</v>
      </c>
      <c r="F38" s="4">
        <f>$E$11</f>
        <v>14.769</v>
      </c>
      <c r="G38" s="4">
        <f t="shared" si="10"/>
        <v>58.794999999999995</v>
      </c>
      <c r="H38" s="4">
        <f t="shared" si="15"/>
        <v>1.7903420000805657E-6</v>
      </c>
      <c r="I38" s="4">
        <f t="shared" si="12"/>
        <v>1.7008249000765373E-2</v>
      </c>
      <c r="J38" s="4">
        <f t="shared" si="13"/>
        <v>2.6166536924254417E-3</v>
      </c>
      <c r="K38" s="4">
        <f t="shared" si="11"/>
        <v>1.9626693035190892E-2</v>
      </c>
      <c r="N38" s="7">
        <v>8</v>
      </c>
      <c r="O38" s="31">
        <f>($P$7-$N$13) / ( K41)</f>
        <v>1593.7412727259969</v>
      </c>
      <c r="P38" s="7">
        <f>$O$7</f>
        <v>14400</v>
      </c>
      <c r="Q38" s="7">
        <f t="shared" ref="Q38" si="16">O38*P38</f>
        <v>22949874.327254355</v>
      </c>
      <c r="R38" s="7">
        <f>P20</f>
        <v>6</v>
      </c>
      <c r="S38" s="7">
        <f>Q38*R38</f>
        <v>137699245.96352613</v>
      </c>
    </row>
    <row r="39" spans="3:19" ht="15" customHeight="1" x14ac:dyDescent="0.25">
      <c r="C39" s="1">
        <v>6</v>
      </c>
      <c r="D39" s="7">
        <f t="shared" ref="D39:D41" si="17">2*$C$11</f>
        <v>12.634</v>
      </c>
      <c r="E39" s="1">
        <f>$D$11</f>
        <v>15.696</v>
      </c>
      <c r="F39" s="7">
        <f>$E$11</f>
        <v>14.769</v>
      </c>
      <c r="G39" s="1">
        <f t="shared" si="10"/>
        <v>43.098999999999997</v>
      </c>
      <c r="H39" s="7">
        <f t="shared" si="15"/>
        <v>2.4423573144327445E-6</v>
      </c>
      <c r="I39" s="7">
        <f t="shared" si="12"/>
        <v>2.3202394487111071E-2</v>
      </c>
      <c r="J39" s="7">
        <f t="shared" si="13"/>
        <v>3.5695991518632422E-3</v>
      </c>
      <c r="K39" s="1">
        <f t="shared" si="11"/>
        <v>2.6774435996288745E-2</v>
      </c>
      <c r="R39" s="5" t="s">
        <v>23</v>
      </c>
      <c r="S39" s="6">
        <f>SUM(S31,S32,S33,S34,S35,S36,S37,S38)</f>
        <v>344248114.90881532</v>
      </c>
    </row>
    <row r="40" spans="3:19" ht="15" customHeight="1" x14ac:dyDescent="0.25">
      <c r="C40" s="4">
        <v>7</v>
      </c>
      <c r="D40" s="4">
        <f t="shared" si="17"/>
        <v>12.634</v>
      </c>
      <c r="E40" s="4">
        <f>$D$11</f>
        <v>15.696</v>
      </c>
      <c r="F40" s="4">
        <f>2*$E$11</f>
        <v>29.538</v>
      </c>
      <c r="G40" s="4">
        <f t="shared" si="10"/>
        <v>57.867999999999995</v>
      </c>
      <c r="H40" s="4">
        <f t="shared" si="15"/>
        <v>1.8190218755570755E-6</v>
      </c>
      <c r="I40" s="4">
        <f t="shared" si="12"/>
        <v>1.7280707817792219E-2</v>
      </c>
      <c r="J40" s="4">
        <f t="shared" si="13"/>
        <v>2.6585704335064953E-3</v>
      </c>
      <c r="K40" s="4">
        <f t="shared" si="11"/>
        <v>1.9941097273174273E-2</v>
      </c>
    </row>
    <row r="41" spans="3:19" x14ac:dyDescent="0.25">
      <c r="C41" s="7">
        <v>8</v>
      </c>
      <c r="D41" s="7">
        <f t="shared" si="17"/>
        <v>12.634</v>
      </c>
      <c r="E41" s="7">
        <f>2*$D$11</f>
        <v>31.391999999999999</v>
      </c>
      <c r="F41" s="7">
        <f>2*$E$11</f>
        <v>29.538</v>
      </c>
      <c r="G41" s="7">
        <f t="shared" si="10"/>
        <v>73.563999999999993</v>
      </c>
      <c r="H41" s="7">
        <f t="shared" si="15"/>
        <v>1.4309058492569308E-6</v>
      </c>
      <c r="I41" s="7">
        <f t="shared" si="12"/>
        <v>1.3593605567940842E-2</v>
      </c>
      <c r="J41" s="7">
        <f t="shared" si="13"/>
        <v>2.0913239335293601E-3</v>
      </c>
      <c r="K41" s="7">
        <f t="shared" ref="K41" si="18">SUM(H41,I41,J41)</f>
        <v>1.5686360407319459E-2</v>
      </c>
    </row>
    <row r="43" spans="3:19" x14ac:dyDescent="0.25">
      <c r="C43" s="16" t="s">
        <v>50</v>
      </c>
      <c r="D43" s="16"/>
      <c r="E43" s="16"/>
      <c r="F43" s="16"/>
      <c r="G43" s="16"/>
      <c r="H43" s="16"/>
      <c r="I43" s="16"/>
      <c r="J43" s="16"/>
      <c r="K43" s="16"/>
      <c r="N43" s="20" t="s">
        <v>31</v>
      </c>
      <c r="O43" s="21"/>
      <c r="P43" s="21"/>
      <c r="Q43" s="21"/>
      <c r="R43" s="21"/>
      <c r="S43" s="22"/>
    </row>
    <row r="46" spans="3:19" x14ac:dyDescent="0.25">
      <c r="D46" s="25" t="s">
        <v>51</v>
      </c>
      <c r="E46" s="25"/>
      <c r="F46" s="25"/>
      <c r="G46" s="25"/>
      <c r="H46" s="25"/>
      <c r="I46" s="25"/>
      <c r="J46" s="25"/>
      <c r="N46" s="17" t="s">
        <v>10</v>
      </c>
      <c r="O46" s="17" t="s">
        <v>24</v>
      </c>
      <c r="P46" s="17" t="s">
        <v>21</v>
      </c>
      <c r="Q46" s="17" t="s">
        <v>34</v>
      </c>
      <c r="R46" s="17" t="s">
        <v>22</v>
      </c>
      <c r="S46" s="17" t="s">
        <v>35</v>
      </c>
    </row>
    <row r="47" spans="3:19" x14ac:dyDescent="0.25">
      <c r="N47" s="17"/>
      <c r="O47" s="17"/>
      <c r="P47" s="17"/>
      <c r="Q47" s="17"/>
      <c r="R47" s="17"/>
      <c r="S47" s="17"/>
    </row>
    <row r="48" spans="3:19" x14ac:dyDescent="0.25">
      <c r="G48" t="s">
        <v>56</v>
      </c>
      <c r="N48" s="17"/>
      <c r="O48" s="17"/>
      <c r="P48" s="17"/>
      <c r="Q48" s="17"/>
      <c r="R48" s="17"/>
      <c r="S48" s="17"/>
    </row>
    <row r="49" spans="3:23" x14ac:dyDescent="0.25">
      <c r="E49" s="15">
        <v>-5</v>
      </c>
      <c r="F49" s="15">
        <v>-5</v>
      </c>
      <c r="G49" s="15">
        <v>-5</v>
      </c>
      <c r="H49" s="15">
        <v>-5</v>
      </c>
      <c r="I49" s="15">
        <v>-5</v>
      </c>
      <c r="N49" s="4">
        <v>1</v>
      </c>
      <c r="O49" s="4">
        <f>(($P$7-$R$13) / K19 ) + (($P$7-$R$13)/K34)</f>
        <v>828.74546181751839</v>
      </c>
      <c r="P49" s="4">
        <f>$O$7</f>
        <v>14400</v>
      </c>
      <c r="Q49" s="4">
        <f t="shared" ref="Q49:Q55" si="19">O49*P49</f>
        <v>11933934.650172265</v>
      </c>
      <c r="R49" s="4">
        <f>$T$13</f>
        <v>4</v>
      </c>
      <c r="S49" s="4">
        <f>Q49*R49</f>
        <v>47735738.600689061</v>
      </c>
    </row>
    <row r="50" spans="3:23" x14ac:dyDescent="0.25">
      <c r="D50" t="s">
        <v>53</v>
      </c>
      <c r="E50" s="15">
        <v>-5</v>
      </c>
      <c r="F50" s="15">
        <v>-5</v>
      </c>
      <c r="G50" s="15">
        <v>-5</v>
      </c>
      <c r="H50" s="15">
        <v>-5</v>
      </c>
      <c r="I50" s="15">
        <v>-5</v>
      </c>
      <c r="J50" t="s">
        <v>54</v>
      </c>
      <c r="N50" s="1">
        <v>2</v>
      </c>
      <c r="O50" s="31">
        <f t="shared" ref="O50:O55" si="20">(($P$7-$R$13) / K20 ) + (($P$7-$R$13)/K35)</f>
        <v>828.74546181751828</v>
      </c>
      <c r="P50" s="1">
        <f>$O$7</f>
        <v>14400</v>
      </c>
      <c r="Q50" s="1">
        <f t="shared" si="19"/>
        <v>11933934.650172263</v>
      </c>
      <c r="R50" s="7">
        <f>$T$14</f>
        <v>4</v>
      </c>
      <c r="S50" s="1">
        <f t="shared" ref="S50" si="21">Q50*R50</f>
        <v>47735738.600689054</v>
      </c>
    </row>
    <row r="51" spans="3:23" x14ac:dyDescent="0.25">
      <c r="E51" s="15">
        <v>-5</v>
      </c>
      <c r="F51" s="15">
        <v>-5</v>
      </c>
      <c r="G51" s="15">
        <v>-5</v>
      </c>
      <c r="H51" s="15">
        <v>-5</v>
      </c>
      <c r="I51" s="15">
        <v>-5</v>
      </c>
      <c r="N51" s="4">
        <v>3</v>
      </c>
      <c r="O51" s="4">
        <f t="shared" si="20"/>
        <v>828.74546181751839</v>
      </c>
      <c r="P51" s="4">
        <f>$O$7</f>
        <v>14400</v>
      </c>
      <c r="Q51" s="4">
        <f t="shared" si="19"/>
        <v>11933934.650172265</v>
      </c>
      <c r="R51" s="4">
        <f>$T$15</f>
        <v>0</v>
      </c>
      <c r="S51" s="4">
        <f>Q51*R51</f>
        <v>0</v>
      </c>
    </row>
    <row r="52" spans="3:23" x14ac:dyDescent="0.25">
      <c r="C52" s="2"/>
      <c r="E52" s="1">
        <v>7</v>
      </c>
      <c r="F52" s="1">
        <v>7</v>
      </c>
      <c r="G52" s="1">
        <v>7</v>
      </c>
      <c r="H52" s="1">
        <v>7</v>
      </c>
      <c r="I52" s="1">
        <v>7</v>
      </c>
      <c r="L52" s="2"/>
      <c r="N52" s="1">
        <v>4</v>
      </c>
      <c r="O52" s="31">
        <f t="shared" si="20"/>
        <v>828.74546181751839</v>
      </c>
      <c r="P52" s="1">
        <f>$O$7</f>
        <v>14400</v>
      </c>
      <c r="Q52" s="1">
        <f t="shared" si="19"/>
        <v>11933934.650172265</v>
      </c>
      <c r="R52" s="7">
        <f>$T$16</f>
        <v>4</v>
      </c>
      <c r="S52" s="1">
        <f>Q52*R52</f>
        <v>47735738.600689061</v>
      </c>
    </row>
    <row r="53" spans="3:23" x14ac:dyDescent="0.25">
      <c r="D53" s="2"/>
      <c r="E53" s="2"/>
      <c r="F53" s="2"/>
      <c r="G53" s="2" t="s">
        <v>55</v>
      </c>
      <c r="H53" s="2"/>
      <c r="L53" s="2"/>
      <c r="N53" s="4">
        <v>5</v>
      </c>
      <c r="O53" s="4">
        <f t="shared" si="20"/>
        <v>828.74546181751839</v>
      </c>
      <c r="P53" s="4">
        <f>$O$7</f>
        <v>14400</v>
      </c>
      <c r="Q53" s="4">
        <f t="shared" si="19"/>
        <v>11933934.650172265</v>
      </c>
      <c r="R53" s="4">
        <f>$T$17</f>
        <v>1</v>
      </c>
      <c r="S53" s="4">
        <f t="shared" ref="S53:S55" si="22">Q53*R53</f>
        <v>11933934.650172265</v>
      </c>
    </row>
    <row r="54" spans="3:23" x14ac:dyDescent="0.25">
      <c r="L54" s="2"/>
      <c r="N54" s="1">
        <v>6</v>
      </c>
      <c r="O54" s="31">
        <f t="shared" si="20"/>
        <v>828.74546181751839</v>
      </c>
      <c r="P54" s="1">
        <f>$O$7</f>
        <v>14400</v>
      </c>
      <c r="Q54" s="1">
        <f t="shared" si="19"/>
        <v>11933934.650172265</v>
      </c>
      <c r="R54" s="7">
        <f>$T$18</f>
        <v>6</v>
      </c>
      <c r="S54" s="1">
        <f t="shared" si="22"/>
        <v>71603607.901033595</v>
      </c>
    </row>
    <row r="55" spans="3:23" x14ac:dyDescent="0.25">
      <c r="L55" s="2"/>
      <c r="N55" s="4">
        <v>7</v>
      </c>
      <c r="O55" s="4">
        <f t="shared" si="20"/>
        <v>828.74546181751828</v>
      </c>
      <c r="P55" s="4">
        <f>$O$7</f>
        <v>14400</v>
      </c>
      <c r="Q55" s="4">
        <f t="shared" si="19"/>
        <v>11933934.650172263</v>
      </c>
      <c r="R55" s="4">
        <f>$T$19</f>
        <v>6</v>
      </c>
      <c r="S55" s="4">
        <f t="shared" si="22"/>
        <v>71603607.90103358</v>
      </c>
      <c r="U55" s="2"/>
      <c r="V55" s="2"/>
      <c r="W55" s="2"/>
    </row>
    <row r="56" spans="3:23" x14ac:dyDescent="0.25">
      <c r="G56" s="2"/>
      <c r="H56" s="2"/>
      <c r="I56" s="2"/>
      <c r="J56" s="2"/>
      <c r="K56" s="2"/>
      <c r="L56" s="2"/>
      <c r="N56" s="7">
        <v>8</v>
      </c>
      <c r="O56" s="31">
        <f>($P$7-$R$13) / (K41)</f>
        <v>828.74546181751828</v>
      </c>
      <c r="P56" s="7">
        <f>$O$7</f>
        <v>14400</v>
      </c>
      <c r="Q56" s="7">
        <f t="shared" ref="Q56" si="23">O56*P56</f>
        <v>11933934.650172263</v>
      </c>
      <c r="R56" s="7">
        <f>$T$20</f>
        <v>0</v>
      </c>
      <c r="S56" s="7">
        <f>Q56*R56</f>
        <v>0</v>
      </c>
      <c r="U56" s="2"/>
      <c r="V56" s="2"/>
      <c r="W56" s="2"/>
    </row>
    <row r="57" spans="3:23" x14ac:dyDescent="0.25">
      <c r="D57" s="25" t="s">
        <v>52</v>
      </c>
      <c r="E57" s="25"/>
      <c r="F57" s="25"/>
      <c r="G57" s="25"/>
      <c r="H57" s="25"/>
      <c r="I57" s="25"/>
      <c r="J57" s="25"/>
      <c r="K57" s="2"/>
      <c r="L57" s="2"/>
      <c r="N57" s="9"/>
      <c r="O57" s="9"/>
      <c r="P57" s="9"/>
      <c r="Q57" s="9"/>
      <c r="R57" s="5" t="s">
        <v>23</v>
      </c>
      <c r="S57" s="6">
        <f>SUM(S49,S50,S51,S52,S53,S54,S55,S56)</f>
        <v>298348366.25430661</v>
      </c>
      <c r="U57" s="2"/>
      <c r="V57" s="2"/>
      <c r="W57" s="2"/>
    </row>
    <row r="58" spans="3:23" x14ac:dyDescent="0.25">
      <c r="K58" s="2"/>
      <c r="L58" s="2"/>
      <c r="U58" s="2"/>
      <c r="V58" s="2"/>
      <c r="W58" s="2"/>
    </row>
    <row r="59" spans="3:23" x14ac:dyDescent="0.25">
      <c r="G59" t="s">
        <v>56</v>
      </c>
      <c r="K59" s="2"/>
      <c r="L59" s="2"/>
      <c r="U59" s="2"/>
      <c r="V59" s="2"/>
      <c r="W59" s="2"/>
    </row>
    <row r="60" spans="3:23" ht="15" customHeight="1" x14ac:dyDescent="0.25">
      <c r="E60" s="1">
        <v>7</v>
      </c>
      <c r="F60" s="1">
        <v>7</v>
      </c>
      <c r="G60" s="1">
        <v>7</v>
      </c>
      <c r="H60" s="1">
        <v>7</v>
      </c>
      <c r="I60" s="1">
        <v>7</v>
      </c>
      <c r="K60" s="2"/>
      <c r="L60" s="2"/>
      <c r="U60" s="2"/>
      <c r="V60" s="2"/>
      <c r="W60" s="2"/>
    </row>
    <row r="61" spans="3:23" x14ac:dyDescent="0.25">
      <c r="D61" t="s">
        <v>53</v>
      </c>
      <c r="E61" s="1">
        <v>7</v>
      </c>
      <c r="F61" s="1">
        <v>7</v>
      </c>
      <c r="G61" s="1">
        <v>7</v>
      </c>
      <c r="H61" s="1">
        <v>7</v>
      </c>
      <c r="I61" s="1">
        <v>7</v>
      </c>
      <c r="J61" t="s">
        <v>54</v>
      </c>
      <c r="K61" s="2"/>
      <c r="L61" s="2"/>
      <c r="U61" s="2"/>
      <c r="V61" s="2"/>
      <c r="W61" s="2"/>
    </row>
    <row r="62" spans="3:23" ht="15" customHeight="1" x14ac:dyDescent="0.25">
      <c r="E62" s="1">
        <v>7</v>
      </c>
      <c r="F62" s="1">
        <v>7</v>
      </c>
      <c r="G62" s="1">
        <v>7</v>
      </c>
      <c r="H62" s="1">
        <v>7</v>
      </c>
      <c r="I62" s="1">
        <v>7</v>
      </c>
      <c r="K62" s="2"/>
      <c r="L62" s="2"/>
      <c r="N62" s="2"/>
      <c r="O62" s="2"/>
      <c r="P62" s="2"/>
      <c r="Q62" s="2"/>
      <c r="R62" s="2"/>
      <c r="S62" s="2"/>
      <c r="U62" s="2"/>
      <c r="V62" s="2"/>
      <c r="W62" s="2"/>
    </row>
    <row r="63" spans="3:23" x14ac:dyDescent="0.25">
      <c r="E63" s="1">
        <v>7</v>
      </c>
      <c r="F63" s="1">
        <v>7</v>
      </c>
      <c r="G63" s="1">
        <v>7</v>
      </c>
      <c r="H63" s="1">
        <v>7</v>
      </c>
      <c r="I63" s="1">
        <v>7</v>
      </c>
      <c r="K63" s="2"/>
      <c r="L63" s="2"/>
      <c r="N63" s="2"/>
      <c r="O63" s="2"/>
      <c r="P63" s="2"/>
      <c r="Q63" s="2"/>
      <c r="R63" s="2"/>
      <c r="S63" s="2"/>
      <c r="U63" s="2"/>
      <c r="V63" s="2"/>
      <c r="W63" s="2"/>
    </row>
    <row r="64" spans="3:23" x14ac:dyDescent="0.25">
      <c r="D64" s="2"/>
      <c r="E64" s="2"/>
      <c r="F64" s="2"/>
      <c r="G64" s="2" t="s">
        <v>55</v>
      </c>
      <c r="H64" s="2"/>
      <c r="K64" s="2"/>
      <c r="L64" s="2"/>
      <c r="N64" s="2"/>
      <c r="O64" s="2"/>
      <c r="P64" s="2"/>
      <c r="Q64" s="2"/>
      <c r="R64" s="2"/>
      <c r="S64" s="2"/>
      <c r="U64" s="2"/>
      <c r="V64" s="2"/>
      <c r="W64" s="2"/>
    </row>
    <row r="65" spans="12:23" x14ac:dyDescent="0.25">
      <c r="L65" s="2"/>
      <c r="N65" s="2"/>
      <c r="O65" s="2"/>
      <c r="P65" s="2"/>
      <c r="Q65" s="2"/>
      <c r="R65" s="2"/>
      <c r="S65" s="2"/>
      <c r="U65" s="2"/>
      <c r="V65" s="2"/>
      <c r="W65" s="2"/>
    </row>
    <row r="66" spans="12:23" x14ac:dyDescent="0.25">
      <c r="L66" s="2"/>
      <c r="M66" s="2"/>
      <c r="N66" s="20" t="s">
        <v>32</v>
      </c>
      <c r="O66" s="21"/>
      <c r="P66" s="21"/>
      <c r="Q66" s="21"/>
      <c r="R66" s="21"/>
      <c r="S66" s="22"/>
      <c r="T66" s="2"/>
      <c r="U66" s="2"/>
      <c r="V66" s="2"/>
      <c r="W66" s="2"/>
    </row>
    <row r="67" spans="12:23" x14ac:dyDescent="0.25">
      <c r="L67" s="2"/>
      <c r="M67" s="2"/>
      <c r="T67" s="2"/>
      <c r="U67" s="2"/>
      <c r="V67" s="2"/>
      <c r="W67" s="2"/>
    </row>
    <row r="68" spans="12:23" x14ac:dyDescent="0.25">
      <c r="L68" s="2"/>
      <c r="M68" s="2"/>
      <c r="T68" s="2"/>
      <c r="U68" s="2"/>
      <c r="V68" s="2"/>
      <c r="W68" s="2"/>
    </row>
    <row r="69" spans="12:23" x14ac:dyDescent="0.25">
      <c r="L69" s="2"/>
      <c r="M69" s="2"/>
      <c r="N69" s="17" t="s">
        <v>10</v>
      </c>
      <c r="O69" s="17" t="s">
        <v>24</v>
      </c>
      <c r="P69" s="17" t="s">
        <v>21</v>
      </c>
      <c r="Q69" s="17" t="s">
        <v>34</v>
      </c>
      <c r="R69" s="17" t="s">
        <v>22</v>
      </c>
      <c r="S69" s="17" t="s">
        <v>35</v>
      </c>
      <c r="T69" s="2"/>
      <c r="U69" s="2"/>
      <c r="V69" s="2"/>
      <c r="W69" s="2"/>
    </row>
    <row r="70" spans="12:23" x14ac:dyDescent="0.25">
      <c r="L70" s="2"/>
      <c r="M70" s="2"/>
      <c r="N70" s="17"/>
      <c r="O70" s="17"/>
      <c r="P70" s="17"/>
      <c r="Q70" s="17"/>
      <c r="R70" s="17"/>
      <c r="S70" s="17"/>
      <c r="T70" s="2"/>
      <c r="U70" s="2"/>
      <c r="V70" s="2"/>
      <c r="W70" s="2"/>
    </row>
    <row r="71" spans="12:23" x14ac:dyDescent="0.25">
      <c r="L71" s="2"/>
      <c r="M71" s="2"/>
      <c r="N71" s="17"/>
      <c r="O71" s="17"/>
      <c r="P71" s="17"/>
      <c r="Q71" s="17"/>
      <c r="R71" s="17"/>
      <c r="S71" s="17"/>
      <c r="T71" s="2"/>
      <c r="U71" s="2"/>
      <c r="V71" s="2"/>
      <c r="W71" s="2"/>
    </row>
    <row r="72" spans="12:23" x14ac:dyDescent="0.25">
      <c r="L72" s="2"/>
      <c r="M72" s="2"/>
      <c r="N72" s="4">
        <v>1</v>
      </c>
      <c r="O72" s="4">
        <f>(($T$7-$N$13) / K19 ) + (($P$7-$N$13)/K34)</f>
        <v>1739.9242034060048</v>
      </c>
      <c r="P72" s="4">
        <f>$S$7</f>
        <v>28800</v>
      </c>
      <c r="Q72" s="4">
        <f t="shared" ref="Q72:Q78" si="24">O72*P72</f>
        <v>50109817.058092937</v>
      </c>
      <c r="R72" s="4">
        <f>P13</f>
        <v>0</v>
      </c>
      <c r="S72" s="4">
        <f>Q72*R72</f>
        <v>0</v>
      </c>
      <c r="T72" s="2"/>
      <c r="U72" s="2"/>
      <c r="V72" s="2"/>
      <c r="W72" s="2"/>
    </row>
    <row r="73" spans="12:23" x14ac:dyDescent="0.25">
      <c r="L73" s="2"/>
      <c r="M73" s="2"/>
      <c r="N73" s="1">
        <v>2</v>
      </c>
      <c r="O73" s="30">
        <f t="shared" ref="O73:O78" si="25">(($T$7-$N$13) / K20 ) + (($P$7-$N$13)/K35)</f>
        <v>1848.7398763621563</v>
      </c>
      <c r="P73" s="7">
        <f>$S$7</f>
        <v>28800</v>
      </c>
      <c r="Q73" s="1">
        <f t="shared" si="24"/>
        <v>53243708.439230099</v>
      </c>
      <c r="R73" s="7">
        <f>P14</f>
        <v>0</v>
      </c>
      <c r="S73" s="1">
        <f t="shared" ref="S73" si="26">Q73*R73</f>
        <v>0</v>
      </c>
      <c r="T73" s="2"/>
      <c r="U73" s="2"/>
      <c r="V73" s="2"/>
      <c r="W73" s="2"/>
    </row>
    <row r="74" spans="12:23" x14ac:dyDescent="0.25">
      <c r="M74" s="2"/>
      <c r="N74" s="4">
        <v>3</v>
      </c>
      <c r="O74" s="4">
        <f t="shared" si="25"/>
        <v>1637.5351441622868</v>
      </c>
      <c r="P74" s="4">
        <f>$S$7</f>
        <v>28800</v>
      </c>
      <c r="Q74" s="4">
        <f t="shared" si="24"/>
        <v>47161012.151873857</v>
      </c>
      <c r="R74" s="4">
        <f>P15</f>
        <v>4</v>
      </c>
      <c r="S74" s="4">
        <f>Q74*R74</f>
        <v>188644048.60749543</v>
      </c>
      <c r="T74" s="2"/>
    </row>
    <row r="75" spans="12:23" x14ac:dyDescent="0.25">
      <c r="M75" s="2"/>
      <c r="N75" s="1">
        <v>4</v>
      </c>
      <c r="O75" s="31">
        <f t="shared" si="25"/>
        <v>1746.3508171184385</v>
      </c>
      <c r="P75" s="7">
        <f>$S$7</f>
        <v>28800</v>
      </c>
      <c r="Q75" s="1">
        <f t="shared" si="24"/>
        <v>50294903.533011027</v>
      </c>
      <c r="R75" s="7">
        <f>P16</f>
        <v>0</v>
      </c>
      <c r="S75" s="1">
        <f>Q75*R75</f>
        <v>0</v>
      </c>
      <c r="T75" s="2"/>
    </row>
    <row r="76" spans="12:23" x14ac:dyDescent="0.25">
      <c r="M76" s="2"/>
      <c r="N76" s="4">
        <v>5</v>
      </c>
      <c r="O76" s="4">
        <f t="shared" si="25"/>
        <v>1696.1303319697151</v>
      </c>
      <c r="P76" s="4">
        <f>$S$7</f>
        <v>28800</v>
      </c>
      <c r="Q76" s="4">
        <f t="shared" si="24"/>
        <v>48848553.560727797</v>
      </c>
      <c r="R76" s="4">
        <f>P17</f>
        <v>5</v>
      </c>
      <c r="S76" s="4">
        <f t="shared" ref="S76:S78" si="27">Q76*R76</f>
        <v>244242767.80363899</v>
      </c>
      <c r="T76" s="2"/>
    </row>
    <row r="77" spans="12:23" x14ac:dyDescent="0.25">
      <c r="M77" s="2"/>
      <c r="N77" s="1">
        <v>6</v>
      </c>
      <c r="O77" s="31">
        <f t="shared" si="25"/>
        <v>1804.9460049258664</v>
      </c>
      <c r="P77" s="7">
        <f>$S$7</f>
        <v>28800</v>
      </c>
      <c r="Q77" s="1">
        <f t="shared" si="24"/>
        <v>51982444.941864952</v>
      </c>
      <c r="R77" s="7">
        <f>P18</f>
        <v>0</v>
      </c>
      <c r="S77" s="1">
        <f t="shared" si="27"/>
        <v>0</v>
      </c>
      <c r="T77" s="2"/>
    </row>
    <row r="78" spans="12:23" x14ac:dyDescent="0.25">
      <c r="M78" s="2"/>
      <c r="N78" s="4">
        <v>7</v>
      </c>
      <c r="O78" s="4">
        <f t="shared" si="25"/>
        <v>1702.5569456821481</v>
      </c>
      <c r="P78" s="4">
        <f>$S$7</f>
        <v>28800</v>
      </c>
      <c r="Q78" s="4">
        <f t="shared" si="24"/>
        <v>49033640.035645865</v>
      </c>
      <c r="R78" s="4">
        <f>P19</f>
        <v>0</v>
      </c>
      <c r="S78" s="4">
        <f t="shared" si="27"/>
        <v>0</v>
      </c>
      <c r="T78" s="2"/>
    </row>
    <row r="79" spans="12:23" x14ac:dyDescent="0.25">
      <c r="M79" s="2"/>
      <c r="N79" s="7">
        <v>8</v>
      </c>
      <c r="O79" s="31">
        <f>($T$7-$N$13) / ( K41)</f>
        <v>2103.7384799983156</v>
      </c>
      <c r="P79" s="7">
        <f>$S$7</f>
        <v>28800</v>
      </c>
      <c r="Q79" s="7">
        <f t="shared" ref="Q79" si="28">O79*P79</f>
        <v>60587668.223951489</v>
      </c>
      <c r="R79" s="7">
        <f>P20</f>
        <v>6</v>
      </c>
      <c r="S79" s="7">
        <f t="shared" ref="S79" si="29">Q79*R79</f>
        <v>363526009.34370893</v>
      </c>
      <c r="T79" s="2"/>
    </row>
    <row r="80" spans="12:23" ht="15" customHeight="1" x14ac:dyDescent="0.25">
      <c r="M80" s="2"/>
      <c r="R80" s="12" t="s">
        <v>23</v>
      </c>
      <c r="S80" s="13">
        <f>SUM(S72,S73,S74,S75,S76,S77,S78,S79)</f>
        <v>796412825.75484335</v>
      </c>
      <c r="T80" s="2"/>
    </row>
    <row r="81" spans="13:20" x14ac:dyDescent="0.25">
      <c r="M81" s="2"/>
      <c r="T81" s="2"/>
    </row>
    <row r="82" spans="13:20" x14ac:dyDescent="0.25">
      <c r="M82" s="2"/>
      <c r="T82" s="2"/>
    </row>
    <row r="83" spans="13:20" x14ac:dyDescent="0.25">
      <c r="M83" s="2"/>
      <c r="T83" s="2"/>
    </row>
    <row r="84" spans="13:20" x14ac:dyDescent="0.25">
      <c r="M84" s="2"/>
      <c r="N84" s="20" t="s">
        <v>33</v>
      </c>
      <c r="O84" s="21"/>
      <c r="P84" s="21"/>
      <c r="Q84" s="21"/>
      <c r="R84" s="21"/>
      <c r="S84" s="22"/>
      <c r="T84" s="2"/>
    </row>
    <row r="87" spans="13:20" x14ac:dyDescent="0.25">
      <c r="N87" s="17" t="s">
        <v>10</v>
      </c>
      <c r="O87" s="17" t="s">
        <v>24</v>
      </c>
      <c r="P87" s="17" t="s">
        <v>21</v>
      </c>
      <c r="Q87" s="17" t="s">
        <v>34</v>
      </c>
      <c r="R87" s="17" t="s">
        <v>22</v>
      </c>
      <c r="S87" s="17" t="s">
        <v>35</v>
      </c>
    </row>
    <row r="88" spans="13:20" x14ac:dyDescent="0.25">
      <c r="N88" s="17"/>
      <c r="O88" s="17"/>
      <c r="P88" s="17"/>
      <c r="Q88" s="17"/>
      <c r="R88" s="17"/>
      <c r="S88" s="17"/>
    </row>
    <row r="89" spans="13:20" x14ac:dyDescent="0.25">
      <c r="N89" s="17"/>
      <c r="O89" s="17"/>
      <c r="P89" s="17"/>
      <c r="Q89" s="17"/>
      <c r="R89" s="17"/>
      <c r="S89" s="17"/>
    </row>
    <row r="90" spans="13:20" x14ac:dyDescent="0.25">
      <c r="N90" s="4">
        <v>1</v>
      </c>
      <c r="O90" s="4">
        <f>(($T$7-$R$13) / K19 ) + (($P$7-$R$13)/K34)</f>
        <v>974.92839249752649</v>
      </c>
      <c r="P90" s="4">
        <f>$S$7</f>
        <v>28800</v>
      </c>
      <c r="Q90" s="4">
        <f t="shared" ref="Q90:Q96" si="30">O90*P90</f>
        <v>28077937.703928761</v>
      </c>
      <c r="R90" s="4">
        <f>$T$13</f>
        <v>4</v>
      </c>
      <c r="S90" s="4">
        <f>Q90*R90</f>
        <v>112311750.81571504</v>
      </c>
    </row>
    <row r="91" spans="13:20" x14ac:dyDescent="0.25">
      <c r="N91" s="1">
        <v>2</v>
      </c>
      <c r="O91" s="31">
        <f t="shared" ref="O91:O96" si="31">(($T$7-$R$13) / K20 ) + (($P$7-$R$13)/K35)</f>
        <v>1083.7440654536779</v>
      </c>
      <c r="P91" s="7">
        <f>$S$7</f>
        <v>28800</v>
      </c>
      <c r="Q91" s="1">
        <f t="shared" si="30"/>
        <v>31211829.085065924</v>
      </c>
      <c r="R91" s="7">
        <f>$T$14</f>
        <v>4</v>
      </c>
      <c r="S91" s="1">
        <f t="shared" ref="S91" si="32">Q91*R91</f>
        <v>124847316.34026369</v>
      </c>
    </row>
    <row r="92" spans="13:20" x14ac:dyDescent="0.25">
      <c r="N92" s="4">
        <v>3</v>
      </c>
      <c r="O92" s="4">
        <f t="shared" si="31"/>
        <v>872.53933325380831</v>
      </c>
      <c r="P92" s="4">
        <f>$S$7</f>
        <v>28800</v>
      </c>
      <c r="Q92" s="4">
        <f t="shared" si="30"/>
        <v>25129132.797709681</v>
      </c>
      <c r="R92" s="4">
        <f>$T$15</f>
        <v>0</v>
      </c>
      <c r="S92" s="4">
        <f>Q92*R92</f>
        <v>0</v>
      </c>
    </row>
    <row r="93" spans="13:20" x14ac:dyDescent="0.25">
      <c r="N93" s="1">
        <v>4</v>
      </c>
      <c r="O93" s="31">
        <f t="shared" si="31"/>
        <v>981.35500620995981</v>
      </c>
      <c r="P93" s="7">
        <f>$S$7</f>
        <v>28800</v>
      </c>
      <c r="Q93" s="1">
        <f t="shared" si="30"/>
        <v>28263024.178846844</v>
      </c>
      <c r="R93" s="7">
        <f>$T$16</f>
        <v>4</v>
      </c>
      <c r="S93" s="1">
        <f>Q93*R93</f>
        <v>113052096.71538737</v>
      </c>
    </row>
    <row r="94" spans="13:20" x14ac:dyDescent="0.25">
      <c r="N94" s="4">
        <v>5</v>
      </c>
      <c r="O94" s="4">
        <f t="shared" si="31"/>
        <v>931.13452106123657</v>
      </c>
      <c r="P94" s="4">
        <f>$S$7</f>
        <v>28800</v>
      </c>
      <c r="Q94" s="4">
        <f t="shared" si="30"/>
        <v>26816674.206563614</v>
      </c>
      <c r="R94" s="4">
        <f>$T$17</f>
        <v>1</v>
      </c>
      <c r="S94" s="4">
        <f t="shared" ref="S94:S97" si="33">Q94*R94</f>
        <v>26816674.206563614</v>
      </c>
    </row>
    <row r="95" spans="13:20" x14ac:dyDescent="0.25">
      <c r="N95" s="1">
        <v>6</v>
      </c>
      <c r="O95" s="31">
        <f t="shared" si="31"/>
        <v>1039.9501940173877</v>
      </c>
      <c r="P95" s="7">
        <f>$S$7</f>
        <v>28800</v>
      </c>
      <c r="Q95" s="1">
        <f t="shared" si="30"/>
        <v>29950565.587700766</v>
      </c>
      <c r="R95" s="7">
        <f>$T$18</f>
        <v>6</v>
      </c>
      <c r="S95" s="1">
        <f t="shared" si="33"/>
        <v>179703393.52620459</v>
      </c>
    </row>
    <row r="96" spans="13:20" x14ac:dyDescent="0.25">
      <c r="N96" s="4">
        <v>7</v>
      </c>
      <c r="O96" s="4">
        <f t="shared" si="31"/>
        <v>937.56113477366966</v>
      </c>
      <c r="P96" s="4">
        <f>$S$7</f>
        <v>28800</v>
      </c>
      <c r="Q96" s="4">
        <f t="shared" si="30"/>
        <v>27001760.681481685</v>
      </c>
      <c r="R96" s="4">
        <f>$T$19</f>
        <v>6</v>
      </c>
      <c r="S96" s="4">
        <f t="shared" si="33"/>
        <v>162010564.08889011</v>
      </c>
    </row>
    <row r="97" spans="14:19" x14ac:dyDescent="0.25">
      <c r="N97" s="7">
        <v>8</v>
      </c>
      <c r="O97" s="31">
        <f>($T$7-$R$13) / (K41)</f>
        <v>1338.7426690898374</v>
      </c>
      <c r="P97" s="4">
        <f>$S$7</f>
        <v>28800</v>
      </c>
      <c r="Q97" s="4">
        <f t="shared" ref="Q97" si="34">O97*P97</f>
        <v>38555788.869787313</v>
      </c>
      <c r="R97" s="1">
        <f>$T$20</f>
        <v>0</v>
      </c>
      <c r="S97" s="4">
        <f t="shared" si="33"/>
        <v>0</v>
      </c>
    </row>
    <row r="98" spans="14:19" x14ac:dyDescent="0.25">
      <c r="N98" s="9"/>
      <c r="O98" s="9"/>
      <c r="P98" s="9"/>
      <c r="Q98" s="9"/>
      <c r="R98" s="12" t="s">
        <v>23</v>
      </c>
      <c r="S98" s="13">
        <f>SUM(S90,S91,S92,S93,S94,S95,S96,90)</f>
        <v>718741885.6930244</v>
      </c>
    </row>
    <row r="104" spans="14:19" x14ac:dyDescent="0.25">
      <c r="N104" s="16" t="s">
        <v>40</v>
      </c>
      <c r="O104" s="16"/>
      <c r="P104" s="16"/>
      <c r="Q104" s="16"/>
      <c r="R104" s="16"/>
      <c r="S104" s="16"/>
    </row>
    <row r="106" spans="14:19" x14ac:dyDescent="0.25">
      <c r="N106" s="19" t="s">
        <v>36</v>
      </c>
      <c r="O106" s="19"/>
      <c r="P106" s="19" t="s">
        <v>37</v>
      </c>
      <c r="Q106" s="19"/>
      <c r="R106" s="1" t="s">
        <v>38</v>
      </c>
      <c r="S106" s="14" t="s">
        <v>39</v>
      </c>
    </row>
    <row r="107" spans="14:19" x14ac:dyDescent="0.25">
      <c r="N107" s="19">
        <f>S39+S57</f>
        <v>642596481.16312194</v>
      </c>
      <c r="O107" s="19"/>
      <c r="P107" s="19">
        <f>S80+S98</f>
        <v>1515154711.4478679</v>
      </c>
      <c r="Q107" s="19"/>
      <c r="R107" s="1">
        <f>P107+N107</f>
        <v>2157751192.6109896</v>
      </c>
      <c r="S107" s="6">
        <f>ROUND(R107/1000000,4)</f>
        <v>2157.7512000000002</v>
      </c>
    </row>
  </sheetData>
  <mergeCells count="64">
    <mergeCell ref="S5:S6"/>
    <mergeCell ref="T5:T6"/>
    <mergeCell ref="C30:K30"/>
    <mergeCell ref="C15:K15"/>
    <mergeCell ref="D57:J57"/>
    <mergeCell ref="N5:N6"/>
    <mergeCell ref="O5:O6"/>
    <mergeCell ref="P5:P6"/>
    <mergeCell ref="P106:Q106"/>
    <mergeCell ref="P107:Q107"/>
    <mergeCell ref="N84:S84"/>
    <mergeCell ref="N87:N89"/>
    <mergeCell ref="O87:O89"/>
    <mergeCell ref="P87:P89"/>
    <mergeCell ref="Q87:Q89"/>
    <mergeCell ref="R87:R89"/>
    <mergeCell ref="S87:S89"/>
    <mergeCell ref="N106:O106"/>
    <mergeCell ref="N107:O107"/>
    <mergeCell ref="N104:S104"/>
    <mergeCell ref="S69:S71"/>
    <mergeCell ref="N11:P11"/>
    <mergeCell ref="R11:T11"/>
    <mergeCell ref="N43:S43"/>
    <mergeCell ref="N46:N48"/>
    <mergeCell ref="O46:O48"/>
    <mergeCell ref="P46:P48"/>
    <mergeCell ref="Q46:Q48"/>
    <mergeCell ref="R46:R48"/>
    <mergeCell ref="S46:S48"/>
    <mergeCell ref="N69:N71"/>
    <mergeCell ref="O69:O71"/>
    <mergeCell ref="P69:P71"/>
    <mergeCell ref="Q69:Q71"/>
    <mergeCell ref="R69:R71"/>
    <mergeCell ref="N66:S66"/>
    <mergeCell ref="R28:R30"/>
    <mergeCell ref="N28:N30"/>
    <mergeCell ref="N25:S25"/>
    <mergeCell ref="R4:T4"/>
    <mergeCell ref="D4:F4"/>
    <mergeCell ref="H17:K17"/>
    <mergeCell ref="Q28:Q30"/>
    <mergeCell ref="S28:S30"/>
    <mergeCell ref="G17:G18"/>
    <mergeCell ref="F17:F18"/>
    <mergeCell ref="E17:E18"/>
    <mergeCell ref="D17:D18"/>
    <mergeCell ref="H9:K9"/>
    <mergeCell ref="C9:F9"/>
    <mergeCell ref="H4:J4"/>
    <mergeCell ref="R5:R6"/>
    <mergeCell ref="C43:K43"/>
    <mergeCell ref="C17:C18"/>
    <mergeCell ref="N4:P4"/>
    <mergeCell ref="O28:O30"/>
    <mergeCell ref="P28:P30"/>
    <mergeCell ref="H32:K32"/>
    <mergeCell ref="C32:C33"/>
    <mergeCell ref="D32:D33"/>
    <mergeCell ref="E32:E33"/>
    <mergeCell ref="F32:F33"/>
    <mergeCell ref="G32:G33"/>
    <mergeCell ref="D46:J46"/>
  </mergeCells>
  <pageMargins left="0.7" right="0.7" top="0.75" bottom="0.75" header="0.3" footer="0.3"/>
  <pageSetup orientation="portrait" r:id="rId1"/>
  <ignoredErrors>
    <ignoredError sqref="R31:R38 R49:R56 R72:R79 R90:R9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ProxyOne</dc:creator>
  <cp:lastModifiedBy>ProxyOne</cp:lastModifiedBy>
  <dcterms:created xsi:type="dcterms:W3CDTF">2022-01-16T15:31:19Z</dcterms:created>
  <dcterms:modified xsi:type="dcterms:W3CDTF">2022-01-23T00:09:30Z</dcterms:modified>
</cp:coreProperties>
</file>