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COMP_G2\doc\sprint1\1151399\Attachments\"/>
    </mc:Choice>
  </mc:AlternateContent>
  <xr:revisionPtr revIDLastSave="0" documentId="13_ncr:1_{14271C6E-A00E-446E-B86A-CE29701C5E73}" xr6:coauthVersionLast="47" xr6:coauthVersionMax="47" xr10:uidLastSave="{00000000-0000-0000-0000-000000000000}"/>
  <bookViews>
    <workbookView xWindow="7200" yWindow="1875" windowWidth="21600" windowHeight="11325" xr2:uid="{56CCEA9F-D370-4503-AFC9-E32E892DE912}"/>
  </bookViews>
  <sheets>
    <sheet name="Overall" sheetId="10" r:id="rId1"/>
    <sheet name="Floor 0 Measurements" sheetId="1" r:id="rId2"/>
    <sheet name="Floor 1 Measurements" sheetId="2" r:id="rId3"/>
    <sheet name="Images Floor 0" sheetId="5" r:id="rId4"/>
    <sheet name="Images Floor 1" sheetId="4" r:id="rId5"/>
    <sheet name="Cable Dimensioning Floor 0" sheetId="6" r:id="rId6"/>
    <sheet name="Cable Dimensioning Floor 1" sheetId="7" r:id="rId7"/>
    <sheet name="Fiber Dimensioning" sheetId="9" r:id="rId8"/>
    <sheet name="Rules" sheetId="3" r:id="rId9"/>
  </sheets>
  <definedNames>
    <definedName name="_xlnm._FilterDatabase" localSheetId="5" hidden="1">'Cable Dimensioning Floor 0'!$N$1:$N$61</definedName>
    <definedName name="_xlnm._FilterDatabase" localSheetId="6" hidden="1">'Cable Dimensioning Floor 1'!$N$1:$N$69</definedName>
    <definedName name="_xlnm.Print_Area" localSheetId="5">'Cable Dimensioning Floor 0'!$B$2:$AE$61</definedName>
    <definedName name="_xlnm.Print_Area" localSheetId="6">'Cable Dimensioning Floor 1'!$B$2:$S$69</definedName>
    <definedName name="_xlnm.Print_Area" localSheetId="7">'Fiber Dimensioning'!$B$2:$AD$46</definedName>
    <definedName name="_xlnm.Print_Area" localSheetId="0">Overall!#REF!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0" l="1"/>
  <c r="C6" i="10"/>
  <c r="C19" i="10"/>
  <c r="J59" i="7"/>
  <c r="J28" i="7"/>
  <c r="J16" i="7"/>
  <c r="J5" i="7"/>
  <c r="J4" i="7"/>
  <c r="J51" i="6"/>
  <c r="J44" i="6"/>
  <c r="J25" i="6"/>
  <c r="J15" i="6"/>
  <c r="J7" i="6"/>
  <c r="J6" i="6"/>
  <c r="H10" i="10" l="1"/>
  <c r="K59" i="7"/>
  <c r="L59" i="7" s="1"/>
  <c r="K28" i="7"/>
  <c r="L28" i="7" s="1"/>
  <c r="K16" i="7"/>
  <c r="L16" i="7" s="1"/>
  <c r="K5" i="7"/>
  <c r="K51" i="6"/>
  <c r="L51" i="6" s="1"/>
  <c r="K44" i="6"/>
  <c r="L44" i="6" s="1"/>
  <c r="K25" i="6"/>
  <c r="L25" i="6" s="1"/>
  <c r="K15" i="6"/>
  <c r="L15" i="6" s="1"/>
  <c r="K7" i="6"/>
  <c r="L5" i="7" l="1"/>
  <c r="J69" i="7" s="1"/>
  <c r="K69" i="7"/>
  <c r="N16" i="7"/>
  <c r="N28" i="7"/>
  <c r="N59" i="7"/>
  <c r="N25" i="6"/>
  <c r="N15" i="6"/>
  <c r="N51" i="6"/>
  <c r="N44" i="6"/>
  <c r="L7" i="6"/>
  <c r="K60" i="6"/>
  <c r="H14" i="10"/>
  <c r="H15" i="10"/>
  <c r="H16" i="10"/>
  <c r="H17" i="10"/>
  <c r="H20" i="10"/>
  <c r="H21" i="10"/>
  <c r="G7" i="6"/>
  <c r="G5" i="6"/>
  <c r="G4" i="6"/>
  <c r="G3" i="6"/>
  <c r="G5" i="7"/>
  <c r="K4" i="6"/>
  <c r="L4" i="6" s="1"/>
  <c r="K3" i="6"/>
  <c r="K4" i="7"/>
  <c r="L4" i="7" s="1"/>
  <c r="K6" i="6"/>
  <c r="L6" i="6" l="1"/>
  <c r="N7" i="6"/>
  <c r="J60" i="6"/>
  <c r="N4" i="7"/>
  <c r="N4" i="6"/>
  <c r="K61" i="6"/>
  <c r="L3" i="6"/>
  <c r="G61" i="6"/>
  <c r="H3" i="6"/>
  <c r="H61" i="6" s="1"/>
  <c r="D20" i="9"/>
  <c r="F20" i="9" s="1"/>
  <c r="G20" i="9" s="1"/>
  <c r="D19" i="9"/>
  <c r="F19" i="9" s="1"/>
  <c r="G19" i="9" s="1"/>
  <c r="D18" i="9"/>
  <c r="D16" i="9"/>
  <c r="D17" i="9"/>
  <c r="F18" i="9"/>
  <c r="G18" i="9" s="1"/>
  <c r="F17" i="9"/>
  <c r="G17" i="9" s="1"/>
  <c r="D15" i="9"/>
  <c r="F15" i="9" s="1"/>
  <c r="G15" i="9" s="1"/>
  <c r="D14" i="9"/>
  <c r="F14" i="9" s="1"/>
  <c r="G14" i="9" s="1"/>
  <c r="D13" i="9"/>
  <c r="F13" i="9" s="1"/>
  <c r="G13" i="9" s="1"/>
  <c r="D12" i="9"/>
  <c r="F12" i="9" s="1"/>
  <c r="G12" i="9" s="1"/>
  <c r="D11" i="9"/>
  <c r="F16" i="9"/>
  <c r="G16" i="9" s="1"/>
  <c r="D6" i="9"/>
  <c r="F6" i="9" s="1"/>
  <c r="G6" i="9" s="1"/>
  <c r="D5" i="9"/>
  <c r="F5" i="9" s="1"/>
  <c r="G5" i="9" s="1"/>
  <c r="D4" i="9"/>
  <c r="F4" i="9" s="1"/>
  <c r="G4" i="9" s="1"/>
  <c r="D3" i="9"/>
  <c r="N5" i="7"/>
  <c r="L51" i="7"/>
  <c r="L44" i="7"/>
  <c r="N6" i="6" l="1"/>
  <c r="C12" i="10" s="1"/>
  <c r="H12" i="10" s="1"/>
  <c r="P6" i="6"/>
  <c r="J61" i="6"/>
  <c r="P4" i="6"/>
  <c r="P5" i="6"/>
  <c r="I3" i="6"/>
  <c r="I61" i="6" s="1"/>
  <c r="H5" i="10" s="1"/>
  <c r="D7" i="9"/>
  <c r="D21" i="9"/>
  <c r="F3" i="9"/>
  <c r="F7" i="9" s="1"/>
  <c r="F11" i="9"/>
  <c r="L25" i="7"/>
  <c r="P5" i="7" s="1"/>
  <c r="E3" i="7"/>
  <c r="G3" i="7" l="1"/>
  <c r="H3" i="7" s="1"/>
  <c r="I3" i="7" s="1"/>
  <c r="C13" i="10"/>
  <c r="H13" i="10" s="1"/>
  <c r="C11" i="10"/>
  <c r="H11" i="10" s="1"/>
  <c r="C9" i="10"/>
  <c r="H9" i="10" s="1"/>
  <c r="H18" i="10"/>
  <c r="P3" i="7"/>
  <c r="C7" i="10" s="1"/>
  <c r="H7" i="10" s="1"/>
  <c r="P4" i="7"/>
  <c r="C8" i="10" s="1"/>
  <c r="H8" i="10" s="1"/>
  <c r="H6" i="10"/>
  <c r="G11" i="9"/>
  <c r="G21" i="9" s="1"/>
  <c r="F21" i="9"/>
  <c r="G3" i="9"/>
  <c r="G7" i="9" s="1"/>
  <c r="E68" i="7"/>
  <c r="E67" i="7"/>
  <c r="E66" i="7"/>
  <c r="E65" i="7"/>
  <c r="E64" i="7"/>
  <c r="E63" i="7"/>
  <c r="E62" i="7"/>
  <c r="E61" i="7"/>
  <c r="E60" i="7"/>
  <c r="E59" i="7"/>
  <c r="E58" i="7"/>
  <c r="G58" i="7" s="1"/>
  <c r="E57" i="7"/>
  <c r="G57" i="7" s="1"/>
  <c r="E56" i="7"/>
  <c r="E55" i="7"/>
  <c r="G55" i="7" s="1"/>
  <c r="E54" i="7"/>
  <c r="G54" i="7" s="1"/>
  <c r="E53" i="7"/>
  <c r="E52" i="7"/>
  <c r="G52" i="7" s="1"/>
  <c r="E51" i="7"/>
  <c r="G51" i="7" s="1"/>
  <c r="E50" i="7"/>
  <c r="G50" i="7" s="1"/>
  <c r="E49" i="7"/>
  <c r="G49" i="7" s="1"/>
  <c r="E48" i="7"/>
  <c r="E47" i="7"/>
  <c r="E46" i="7"/>
  <c r="G46" i="7" s="1"/>
  <c r="E45" i="7"/>
  <c r="G45" i="7" s="1"/>
  <c r="E44" i="7"/>
  <c r="G44" i="7" s="1"/>
  <c r="E43" i="7"/>
  <c r="G43" i="7" s="1"/>
  <c r="E42" i="7"/>
  <c r="G42" i="7" s="1"/>
  <c r="E41" i="7"/>
  <c r="E40" i="7"/>
  <c r="G40" i="7" s="1"/>
  <c r="E39" i="7"/>
  <c r="G39" i="7" s="1"/>
  <c r="E38" i="7"/>
  <c r="G38" i="7" s="1"/>
  <c r="E37" i="7"/>
  <c r="E36" i="7"/>
  <c r="E35" i="7"/>
  <c r="E34" i="7"/>
  <c r="E33" i="7"/>
  <c r="G33" i="7" s="1"/>
  <c r="E32" i="7"/>
  <c r="E31" i="7"/>
  <c r="E30" i="7"/>
  <c r="E29" i="7"/>
  <c r="E28" i="7"/>
  <c r="E27" i="7"/>
  <c r="E26" i="7"/>
  <c r="G26" i="7" s="1"/>
  <c r="E25" i="7"/>
  <c r="G25" i="7" s="1"/>
  <c r="E24" i="7"/>
  <c r="E23" i="7"/>
  <c r="E22" i="7"/>
  <c r="G22" i="7" s="1"/>
  <c r="E21" i="7"/>
  <c r="E20" i="7"/>
  <c r="E19" i="7"/>
  <c r="G19" i="7" s="1"/>
  <c r="E18" i="7"/>
  <c r="E17" i="7"/>
  <c r="G17" i="7" s="1"/>
  <c r="E16" i="7"/>
  <c r="E15" i="7"/>
  <c r="E14" i="7"/>
  <c r="E13" i="7"/>
  <c r="E12" i="7"/>
  <c r="G12" i="7" s="1"/>
  <c r="E11" i="7"/>
  <c r="E10" i="7"/>
  <c r="E9" i="7"/>
  <c r="G9" i="7" s="1"/>
  <c r="E8" i="7"/>
  <c r="E7" i="7"/>
  <c r="E6" i="7"/>
  <c r="G6" i="7" s="1"/>
  <c r="H5" i="6"/>
  <c r="I5" i="6" s="1"/>
  <c r="H7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5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G5" i="2"/>
  <c r="H5" i="2" s="1"/>
  <c r="C10" i="2"/>
  <c r="C11" i="2"/>
  <c r="C12" i="2"/>
  <c r="C15" i="2"/>
  <c r="C16" i="2"/>
  <c r="C17" i="2"/>
  <c r="C18" i="2"/>
  <c r="B9" i="2"/>
  <c r="B10" i="2"/>
  <c r="B11" i="2"/>
  <c r="B12" i="2"/>
  <c r="B13" i="2"/>
  <c r="B14" i="2"/>
  <c r="B15" i="2"/>
  <c r="B16" i="2"/>
  <c r="B17" i="2"/>
  <c r="L6" i="2"/>
  <c r="C13" i="2" s="1"/>
  <c r="G21" i="7" l="1"/>
  <c r="H21" i="7" s="1"/>
  <c r="I21" i="7" s="1"/>
  <c r="H10" i="7"/>
  <c r="I10" i="7" s="1"/>
  <c r="G10" i="7"/>
  <c r="G11" i="7"/>
  <c r="H11" i="7" s="1"/>
  <c r="I11" i="7" s="1"/>
  <c r="G23" i="7"/>
  <c r="H23" i="7" s="1"/>
  <c r="I23" i="7" s="1"/>
  <c r="G35" i="7"/>
  <c r="H35" i="7" s="1"/>
  <c r="I35" i="7" s="1"/>
  <c r="G47" i="7"/>
  <c r="H47" i="7" s="1"/>
  <c r="I47" i="7" s="1"/>
  <c r="G59" i="7"/>
  <c r="H59" i="7" s="1"/>
  <c r="I59" i="7" s="1"/>
  <c r="H34" i="7"/>
  <c r="I34" i="7" s="1"/>
  <c r="G34" i="7"/>
  <c r="G24" i="7"/>
  <c r="H24" i="7" s="1"/>
  <c r="I24" i="7" s="1"/>
  <c r="G36" i="7"/>
  <c r="H36" i="7" s="1"/>
  <c r="I36" i="7" s="1"/>
  <c r="G48" i="7"/>
  <c r="H48" i="7" s="1"/>
  <c r="I48" i="7" s="1"/>
  <c r="G60" i="7"/>
  <c r="H60" i="7" s="1"/>
  <c r="I60" i="7" s="1"/>
  <c r="G13" i="7"/>
  <c r="H13" i="7" s="1"/>
  <c r="I13" i="7" s="1"/>
  <c r="H37" i="7"/>
  <c r="I37" i="7" s="1"/>
  <c r="G37" i="7"/>
  <c r="G61" i="7"/>
  <c r="H61" i="7" s="1"/>
  <c r="I61" i="7" s="1"/>
  <c r="G14" i="7"/>
  <c r="H14" i="7" s="1"/>
  <c r="I14" i="7" s="1"/>
  <c r="G62" i="7"/>
  <c r="H62" i="7" s="1"/>
  <c r="I62" i="7" s="1"/>
  <c r="G15" i="7"/>
  <c r="H15" i="7" s="1"/>
  <c r="I15" i="7" s="1"/>
  <c r="G27" i="7"/>
  <c r="H27" i="7" s="1"/>
  <c r="I27" i="7" s="1"/>
  <c r="H63" i="7"/>
  <c r="I63" i="7" s="1"/>
  <c r="G63" i="7"/>
  <c r="G16" i="7"/>
  <c r="H16" i="7" s="1"/>
  <c r="I16" i="7" s="1"/>
  <c r="G28" i="7"/>
  <c r="H28" i="7" s="1"/>
  <c r="I28" i="7" s="1"/>
  <c r="G64" i="7"/>
  <c r="H64" i="7" s="1"/>
  <c r="I64" i="7" s="1"/>
  <c r="G7" i="7"/>
  <c r="G69" i="7" s="1"/>
  <c r="G31" i="7"/>
  <c r="H31" i="7" s="1"/>
  <c r="I31" i="7" s="1"/>
  <c r="H67" i="7"/>
  <c r="I67" i="7" s="1"/>
  <c r="G67" i="7"/>
  <c r="G29" i="7"/>
  <c r="H29" i="7" s="1"/>
  <c r="I29" i="7" s="1"/>
  <c r="G41" i="7"/>
  <c r="H41" i="7" s="1"/>
  <c r="I41" i="7" s="1"/>
  <c r="G53" i="7"/>
  <c r="H53" i="7" s="1"/>
  <c r="I53" i="7" s="1"/>
  <c r="G65" i="7"/>
  <c r="H65" i="7" s="1"/>
  <c r="I65" i="7" s="1"/>
  <c r="G18" i="7"/>
  <c r="H18" i="7" s="1"/>
  <c r="I18" i="7" s="1"/>
  <c r="G30" i="7"/>
  <c r="H30" i="7" s="1"/>
  <c r="I30" i="7" s="1"/>
  <c r="H66" i="7"/>
  <c r="I66" i="7" s="1"/>
  <c r="G66" i="7"/>
  <c r="G8" i="7"/>
  <c r="H8" i="7" s="1"/>
  <c r="I8" i="7" s="1"/>
  <c r="G20" i="7"/>
  <c r="H20" i="7" s="1"/>
  <c r="I20" i="7" s="1"/>
  <c r="H32" i="7"/>
  <c r="I32" i="7" s="1"/>
  <c r="G32" i="7"/>
  <c r="G56" i="7"/>
  <c r="H56" i="7" s="1"/>
  <c r="I56" i="7" s="1"/>
  <c r="G68" i="7"/>
  <c r="H68" i="7" s="1"/>
  <c r="I68" i="7" s="1"/>
  <c r="G12" i="6"/>
  <c r="H12" i="6" s="1"/>
  <c r="I12" i="6" s="1"/>
  <c r="H51" i="6"/>
  <c r="I51" i="6" s="1"/>
  <c r="G51" i="6"/>
  <c r="G53" i="6"/>
  <c r="H53" i="6" s="1"/>
  <c r="I53" i="6" s="1"/>
  <c r="G48" i="6"/>
  <c r="H48" i="6" s="1"/>
  <c r="I48" i="6" s="1"/>
  <c r="G38" i="6"/>
  <c r="H38" i="6" s="1"/>
  <c r="I38" i="6" s="1"/>
  <c r="G27" i="6"/>
  <c r="H27" i="6" s="1"/>
  <c r="I27" i="6" s="1"/>
  <c r="G28" i="6"/>
  <c r="H28" i="6" s="1"/>
  <c r="I28" i="6" s="1"/>
  <c r="H52" i="6"/>
  <c r="I52" i="6" s="1"/>
  <c r="G52" i="6"/>
  <c r="G29" i="6"/>
  <c r="H29" i="6" s="1"/>
  <c r="I29" i="6" s="1"/>
  <c r="G18" i="6"/>
  <c r="H18" i="6" s="1"/>
  <c r="I18" i="6" s="1"/>
  <c r="G30" i="6"/>
  <c r="H30" i="6" s="1"/>
  <c r="I30" i="6" s="1"/>
  <c r="G42" i="6"/>
  <c r="H42" i="6" s="1"/>
  <c r="I42" i="6" s="1"/>
  <c r="G54" i="6"/>
  <c r="H54" i="6" s="1"/>
  <c r="I54" i="6" s="1"/>
  <c r="H15" i="6"/>
  <c r="I15" i="6" s="1"/>
  <c r="G15" i="6"/>
  <c r="G40" i="6"/>
  <c r="H40" i="6" s="1"/>
  <c r="I40" i="6" s="1"/>
  <c r="G17" i="6"/>
  <c r="H17" i="6" s="1"/>
  <c r="I17" i="6" s="1"/>
  <c r="G41" i="6"/>
  <c r="H41" i="6" s="1"/>
  <c r="I41" i="6" s="1"/>
  <c r="G19" i="6"/>
  <c r="G60" i="6" s="1"/>
  <c r="G35" i="6"/>
  <c r="H35" i="6" s="1"/>
  <c r="I35" i="6" s="1"/>
  <c r="H43" i="6"/>
  <c r="I43" i="6" s="1"/>
  <c r="G43" i="6"/>
  <c r="G55" i="6"/>
  <c r="H55" i="6" s="1"/>
  <c r="I55" i="6" s="1"/>
  <c r="G24" i="6"/>
  <c r="H24" i="6" s="1"/>
  <c r="I24" i="6" s="1"/>
  <c r="G14" i="6"/>
  <c r="H14" i="6" s="1"/>
  <c r="I14" i="6" s="1"/>
  <c r="G50" i="6"/>
  <c r="H50" i="6" s="1"/>
  <c r="I50" i="6" s="1"/>
  <c r="G39" i="6"/>
  <c r="H39" i="6" s="1"/>
  <c r="I39" i="6" s="1"/>
  <c r="H16" i="6"/>
  <c r="I16" i="6" s="1"/>
  <c r="G16" i="6"/>
  <c r="G8" i="6"/>
  <c r="H8" i="6" s="1"/>
  <c r="I8" i="6" s="1"/>
  <c r="G20" i="6"/>
  <c r="H20" i="6" s="1"/>
  <c r="I20" i="6" s="1"/>
  <c r="G31" i="6"/>
  <c r="H31" i="6" s="1"/>
  <c r="I31" i="6" s="1"/>
  <c r="G44" i="6"/>
  <c r="H44" i="6" s="1"/>
  <c r="I44" i="6" s="1"/>
  <c r="G56" i="6"/>
  <c r="H56" i="6" s="1"/>
  <c r="I56" i="6" s="1"/>
  <c r="H26" i="6"/>
  <c r="I26" i="6" s="1"/>
  <c r="G26" i="6"/>
  <c r="G21" i="6"/>
  <c r="H21" i="6" s="1"/>
  <c r="I21" i="6" s="1"/>
  <c r="G32" i="6"/>
  <c r="H32" i="6" s="1"/>
  <c r="I32" i="6" s="1"/>
  <c r="G45" i="6"/>
  <c r="H45" i="6" s="1"/>
  <c r="I45" i="6" s="1"/>
  <c r="G57" i="6"/>
  <c r="H57" i="6" s="1"/>
  <c r="I57" i="6" s="1"/>
  <c r="G10" i="6"/>
  <c r="H10" i="6" s="1"/>
  <c r="I10" i="6" s="1"/>
  <c r="H22" i="6"/>
  <c r="I22" i="6" s="1"/>
  <c r="G22" i="6"/>
  <c r="G33" i="6"/>
  <c r="H33" i="6" s="1"/>
  <c r="I33" i="6" s="1"/>
  <c r="G46" i="6"/>
  <c r="H46" i="6" s="1"/>
  <c r="I46" i="6" s="1"/>
  <c r="G58" i="6"/>
  <c r="H58" i="6" s="1"/>
  <c r="I58" i="6" s="1"/>
  <c r="G36" i="6"/>
  <c r="H36" i="6" s="1"/>
  <c r="I36" i="6" s="1"/>
  <c r="G9" i="6"/>
  <c r="H9" i="6" s="1"/>
  <c r="I9" i="6" s="1"/>
  <c r="H11" i="6"/>
  <c r="I11" i="6" s="1"/>
  <c r="G11" i="6"/>
  <c r="G23" i="6"/>
  <c r="H23" i="6" s="1"/>
  <c r="I23" i="6" s="1"/>
  <c r="G34" i="6"/>
  <c r="H34" i="6" s="1"/>
  <c r="I34" i="6" s="1"/>
  <c r="G47" i="6"/>
  <c r="H47" i="6" s="1"/>
  <c r="I47" i="6" s="1"/>
  <c r="G59" i="6"/>
  <c r="H59" i="6" s="1"/>
  <c r="I59" i="6" s="1"/>
  <c r="G13" i="6"/>
  <c r="H13" i="6" s="1"/>
  <c r="I13" i="6" s="1"/>
  <c r="H25" i="6"/>
  <c r="I25" i="6" s="1"/>
  <c r="G25" i="6"/>
  <c r="G37" i="6"/>
  <c r="H37" i="6" s="1"/>
  <c r="I37" i="6" s="1"/>
  <c r="G49" i="6"/>
  <c r="H49" i="6" s="1"/>
  <c r="I49" i="6" s="1"/>
  <c r="H19" i="10"/>
  <c r="B8" i="2"/>
  <c r="C9" i="2"/>
  <c r="B5" i="2"/>
  <c r="B7" i="2"/>
  <c r="C8" i="2"/>
  <c r="B18" i="2"/>
  <c r="B6" i="2"/>
  <c r="C7" i="2"/>
  <c r="C6" i="2"/>
  <c r="C5" i="2"/>
  <c r="C14" i="2"/>
  <c r="H4" i="6"/>
  <c r="I4" i="6" s="1"/>
  <c r="C4" i="10" s="1"/>
  <c r="H4" i="10" s="1"/>
  <c r="I7" i="6"/>
  <c r="H5" i="7"/>
  <c r="H6" i="7"/>
  <c r="I6" i="7" s="1"/>
  <c r="H12" i="7"/>
  <c r="I12" i="7" s="1"/>
  <c r="H42" i="7"/>
  <c r="I42" i="7" s="1"/>
  <c r="H54" i="7"/>
  <c r="I54" i="7" s="1"/>
  <c r="H19" i="7"/>
  <c r="I19" i="7" s="1"/>
  <c r="H43" i="7"/>
  <c r="I43" i="7" s="1"/>
  <c r="H51" i="7"/>
  <c r="I51" i="7" s="1"/>
  <c r="H39" i="7"/>
  <c r="I39" i="7" s="1"/>
  <c r="H9" i="7"/>
  <c r="I9" i="7" s="1"/>
  <c r="H50" i="7"/>
  <c r="I50" i="7" s="1"/>
  <c r="H38" i="7"/>
  <c r="I38" i="7" s="1"/>
  <c r="H26" i="7"/>
  <c r="I26" i="7" s="1"/>
  <c r="H49" i="7"/>
  <c r="I49" i="7" s="1"/>
  <c r="H25" i="7"/>
  <c r="I25" i="7" s="1"/>
  <c r="H40" i="7"/>
  <c r="I40" i="7" s="1"/>
  <c r="H52" i="7"/>
  <c r="I52" i="7" s="1"/>
  <c r="H55" i="7"/>
  <c r="I55" i="7" s="1"/>
  <c r="H33" i="7"/>
  <c r="I33" i="7" s="1"/>
  <c r="H57" i="7"/>
  <c r="I57" i="7" s="1"/>
  <c r="H22" i="7"/>
  <c r="I22" i="7" s="1"/>
  <c r="H46" i="7"/>
  <c r="I46" i="7" s="1"/>
  <c r="H58" i="7"/>
  <c r="I58" i="7" s="1"/>
  <c r="H44" i="7"/>
  <c r="I44" i="7" s="1"/>
  <c r="H45" i="7"/>
  <c r="I45" i="7" s="1"/>
  <c r="G18" i="2"/>
  <c r="H18" i="2" s="1"/>
  <c r="G17" i="2"/>
  <c r="H17" i="2" s="1"/>
  <c r="G6" i="2"/>
  <c r="G14" i="2"/>
  <c r="H14" i="2" s="1"/>
  <c r="G13" i="2"/>
  <c r="G12" i="2"/>
  <c r="L6" i="1"/>
  <c r="H7" i="7" l="1"/>
  <c r="I7" i="7" s="1"/>
  <c r="H19" i="6"/>
  <c r="I19" i="6" s="1"/>
  <c r="I60" i="6"/>
  <c r="H17" i="7"/>
  <c r="I17" i="7" s="1"/>
  <c r="I5" i="7"/>
  <c r="C6" i="1"/>
  <c r="C12" i="1"/>
  <c r="B7" i="1"/>
  <c r="B13" i="1"/>
  <c r="B11" i="1"/>
  <c r="B12" i="1"/>
  <c r="C7" i="1"/>
  <c r="C13" i="1"/>
  <c r="B8" i="1"/>
  <c r="B14" i="1"/>
  <c r="C8" i="1"/>
  <c r="C14" i="1"/>
  <c r="C5" i="1"/>
  <c r="C9" i="1"/>
  <c r="B5" i="1"/>
  <c r="C10" i="1"/>
  <c r="C11" i="1"/>
  <c r="B9" i="1"/>
  <c r="B10" i="1"/>
  <c r="B6" i="1"/>
  <c r="G8" i="2"/>
  <c r="H8" i="2" s="1"/>
  <c r="G7" i="2"/>
  <c r="H7" i="2" s="1"/>
  <c r="G9" i="2"/>
  <c r="H9" i="2" s="1"/>
  <c r="G10" i="2"/>
  <c r="H10" i="2" s="1"/>
  <c r="G15" i="2"/>
  <c r="H15" i="2" s="1"/>
  <c r="G11" i="1"/>
  <c r="H11" i="1" s="1"/>
  <c r="G16" i="2"/>
  <c r="H16" i="2" s="1"/>
  <c r="G11" i="2"/>
  <c r="H11" i="2" s="1"/>
  <c r="H12" i="2"/>
  <c r="H13" i="2"/>
  <c r="H6" i="2"/>
  <c r="H60" i="6" l="1"/>
  <c r="H69" i="7"/>
  <c r="I69" i="7"/>
  <c r="C3" i="10" s="1"/>
  <c r="H3" i="10" s="1"/>
  <c r="G12" i="1"/>
  <c r="H12" i="1" s="1"/>
  <c r="G10" i="1"/>
  <c r="H10" i="1" s="1"/>
  <c r="G8" i="1"/>
  <c r="H8" i="1" s="1"/>
  <c r="G7" i="1"/>
  <c r="H7" i="1" s="1"/>
  <c r="G6" i="1"/>
  <c r="H6" i="1" s="1"/>
  <c r="G9" i="1"/>
  <c r="H9" i="1" s="1"/>
  <c r="G5" i="1"/>
  <c r="H5" i="1" s="1"/>
  <c r="G14" i="1"/>
  <c r="H14" i="1" s="1"/>
  <c r="G13" i="1"/>
  <c r="H13" i="1" s="1"/>
</calcChain>
</file>

<file path=xl/sharedStrings.xml><?xml version="1.0" encoding="utf-8"?>
<sst xmlns="http://schemas.openxmlformats.org/spreadsheetml/2006/main" count="570" uniqueCount="329">
  <si>
    <t>Room Name</t>
  </si>
  <si>
    <t>Length(cm)</t>
  </si>
  <si>
    <t>Width(cm)</t>
  </si>
  <si>
    <t>Length(m)</t>
  </si>
  <si>
    <t>Width(m)</t>
  </si>
  <si>
    <t>Height(m)</t>
  </si>
  <si>
    <t>Area(m²)</t>
  </si>
  <si>
    <t>=</t>
  </si>
  <si>
    <t>(m)</t>
  </si>
  <si>
    <t>(cm)</t>
  </si>
  <si>
    <t>Nº Outlets</t>
  </si>
  <si>
    <t>Floor 1 Measurements</t>
  </si>
  <si>
    <t>Floor 0 Measurements</t>
  </si>
  <si>
    <t>1.0.1</t>
  </si>
  <si>
    <t>1.0.2</t>
  </si>
  <si>
    <t>1.0.3</t>
  </si>
  <si>
    <t>1.0.4</t>
  </si>
  <si>
    <t>1.0.5</t>
  </si>
  <si>
    <t>1.0.6</t>
  </si>
  <si>
    <t>1.0.7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</si>
  <si>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</si>
  <si>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</si>
  <si>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</si>
  <si>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</si>
  <si>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</si>
  <si>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</si>
  <si>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</si>
  <si>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</si>
  <si>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</si>
  <si>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</si>
  <si>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</si>
  <si>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</si>
  <si>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</si>
  <si>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</si>
  <si>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</si>
  <si>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</si>
  <si>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</si>
  <si>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Section</t>
  </si>
  <si>
    <t>Source</t>
  </si>
  <si>
    <t>Destination</t>
  </si>
  <si>
    <t>Auxiliary calculations</t>
  </si>
  <si>
    <t>MC</t>
  </si>
  <si>
    <t>IC</t>
  </si>
  <si>
    <t>HC</t>
  </si>
  <si>
    <t>CP</t>
  </si>
  <si>
    <t>1.0.3.1</t>
  </si>
  <si>
    <t xml:space="preserve">Cable length without height </t>
  </si>
  <si>
    <t>1.0.3.2</t>
  </si>
  <si>
    <t>1.0.3.3</t>
  </si>
  <si>
    <t>1.0.3.4</t>
  </si>
  <si>
    <t>1.0.3.5</t>
  </si>
  <si>
    <t>1.0.3.6</t>
  </si>
  <si>
    <t>(1/3)*4,34</t>
  </si>
  <si>
    <t>(2/3)*4,34</t>
  </si>
  <si>
    <t>4,34+(6,64-4,34)/2</t>
  </si>
  <si>
    <t>(3/4)*6,6</t>
  </si>
  <si>
    <t>(2/4)*6,6</t>
  </si>
  <si>
    <t>(1/4)*6,6</t>
  </si>
  <si>
    <t>4,42/2</t>
  </si>
  <si>
    <t>4,42+((1/4)*6,6)</t>
  </si>
  <si>
    <t>4,42+((2/4)*6,6)</t>
  </si>
  <si>
    <t>4,42+((3/4)*6,6)</t>
  </si>
  <si>
    <t>1.0.3.7</t>
  </si>
  <si>
    <t>2+4,42+0,38</t>
  </si>
  <si>
    <t>1.0.4.1</t>
  </si>
  <si>
    <t>1.0.4.2</t>
  </si>
  <si>
    <t>1.0.4.3</t>
  </si>
  <si>
    <t>1.0.4.4</t>
  </si>
  <si>
    <t>1.0.4.5</t>
  </si>
  <si>
    <t>1.0.4.6</t>
  </si>
  <si>
    <t>1.0.4.7</t>
  </si>
  <si>
    <t>1.0.4.8</t>
  </si>
  <si>
    <t>1.0.4.9</t>
  </si>
  <si>
    <t>(1/3)*6,6</t>
  </si>
  <si>
    <t>(2/3)*6,6</t>
  </si>
  <si>
    <t>(1/3)*6,6 + 6,64</t>
  </si>
  <si>
    <t>(2/3)*6,6 + 6,64</t>
  </si>
  <si>
    <t>(1/3)*6,6 + 4,34</t>
  </si>
  <si>
    <t>(2/3)*6,6 + 4,34</t>
  </si>
  <si>
    <t>4,42+4,34+6,6+1,89+4,96</t>
  </si>
  <si>
    <t>1.0.8.1</t>
  </si>
  <si>
    <t>4,94+(1/3)*4,96</t>
  </si>
  <si>
    <t>1.0.8.2</t>
  </si>
  <si>
    <t>1.0.8.3</t>
  </si>
  <si>
    <t>1.0.8.4</t>
  </si>
  <si>
    <t>4,94+(2/3)*4,96</t>
  </si>
  <si>
    <t>(1/3)*4,96</t>
  </si>
  <si>
    <t>(2/3)*4,96</t>
  </si>
  <si>
    <t>1.0.8.5</t>
  </si>
  <si>
    <t>2,44/2</t>
  </si>
  <si>
    <t>1.0.7.1</t>
  </si>
  <si>
    <t>1.0.7.2</t>
  </si>
  <si>
    <t>1.0.7.3</t>
  </si>
  <si>
    <t>1.0.7.4</t>
  </si>
  <si>
    <t>4,94+3,09+(1/3)*4,96</t>
  </si>
  <si>
    <t>4,94+3,09+(2/3)*4,96</t>
  </si>
  <si>
    <t>AP</t>
  </si>
  <si>
    <t>2+4,42+0,38+4,34+6,6+1,89+0,38+4,96+4,94+(3,09/2)</t>
  </si>
  <si>
    <t>1.0.6.1</t>
  </si>
  <si>
    <t>4,94+2*3,09+(1/3)*4,96</t>
  </si>
  <si>
    <t>4,94+2*3,09+(2/3)*4,96</t>
  </si>
  <si>
    <t>1.0.6.2</t>
  </si>
  <si>
    <t>1.0.6.3</t>
  </si>
  <si>
    <t>1.0.6.4</t>
  </si>
  <si>
    <t>1.0.5.1</t>
  </si>
  <si>
    <t>1.0.5.2</t>
  </si>
  <si>
    <t>1.0.5.3</t>
  </si>
  <si>
    <t>1.0.5.4</t>
  </si>
  <si>
    <t>4,94+3*3,09+(1/3)*4,96</t>
  </si>
  <si>
    <t>4,94+3*3,09+(2/3)*4,96</t>
  </si>
  <si>
    <t>4,42+4,34+6,6+1,89+4,96+2,53</t>
  </si>
  <si>
    <t>1.0.9.1</t>
  </si>
  <si>
    <t>3,60+3,01/2</t>
  </si>
  <si>
    <t>3,6-(1/3)*5,81</t>
  </si>
  <si>
    <t>(5,81-3,6)-(1/3)*5,81</t>
  </si>
  <si>
    <t>(5,81-3,6)+4,65/2</t>
  </si>
  <si>
    <t>(5,81-3,6)-(1/3)*5,81+4,65</t>
  </si>
  <si>
    <t>3,6-(1/3)*5,81+4,65</t>
  </si>
  <si>
    <t>1.0.9.2</t>
  </si>
  <si>
    <t>1.0.9.3</t>
  </si>
  <si>
    <t>1.0.9.4</t>
  </si>
  <si>
    <t>1.0.9.5</t>
  </si>
  <si>
    <t>1.0.9.6</t>
  </si>
  <si>
    <t>4,42+4,34+6,6+1,89+4,96+2,53+4,65</t>
  </si>
  <si>
    <t>1.0.10.1</t>
  </si>
  <si>
    <t>7,16+3,6+(1/3)*7,16</t>
  </si>
  <si>
    <t>7,16+3,6+(2/3)*7,16</t>
  </si>
  <si>
    <t>3,6/2</t>
  </si>
  <si>
    <t>7,16+(5,81-3,6)+(1/4)*7,16</t>
  </si>
  <si>
    <t>(5,81-3,6)+(2/4)*7,16</t>
  </si>
  <si>
    <t>(5,81-3,6)+(1/4)*7,16</t>
  </si>
  <si>
    <t>7,16*(1/3)</t>
  </si>
  <si>
    <t>7,16*(2/3)</t>
  </si>
  <si>
    <t>1.0.10.2</t>
  </si>
  <si>
    <t>1.0.10.3</t>
  </si>
  <si>
    <t>1.0.10.4</t>
  </si>
  <si>
    <t>1.0.10.5</t>
  </si>
  <si>
    <t>1.0.10.6</t>
  </si>
  <si>
    <t>1.0.10.7</t>
  </si>
  <si>
    <t>1.0.10.8</t>
  </si>
  <si>
    <t>Round up</t>
  </si>
  <si>
    <t>Length with height of 1,5 m</t>
  </si>
  <si>
    <t>Length with overdimension coeficient of 20%</t>
  </si>
  <si>
    <t>Length with excess rounding to the unit</t>
  </si>
  <si>
    <t>4,28+4</t>
  </si>
  <si>
    <t>3,05+0,28</t>
  </si>
  <si>
    <t>1.1.1.1</t>
  </si>
  <si>
    <t>6,6*(2/3)</t>
  </si>
  <si>
    <t>1.1.1.2</t>
  </si>
  <si>
    <t>6,6*(1/3)</t>
  </si>
  <si>
    <t>7,46*(1/4)</t>
  </si>
  <si>
    <t>7,46*(2/4)</t>
  </si>
  <si>
    <t>7,46*(3/4)</t>
  </si>
  <si>
    <t>1.1.1.3</t>
  </si>
  <si>
    <t>1.1.1.4</t>
  </si>
  <si>
    <t>1.1.1.5</t>
  </si>
  <si>
    <t>1.1.1.6</t>
  </si>
  <si>
    <t>1.1.1.7</t>
  </si>
  <si>
    <t>1.1.1.8</t>
  </si>
  <si>
    <t>1.1.1.9</t>
  </si>
  <si>
    <t>1.1.1.10</t>
  </si>
  <si>
    <t>7,46+6,60*(1/3)</t>
  </si>
  <si>
    <t>7,46+6,60*(2/3)</t>
  </si>
  <si>
    <t>6,60+5,78*(2/3)</t>
  </si>
  <si>
    <t>6,60+5,78*(1/3)</t>
  </si>
  <si>
    <t>7,46/2+6,60/2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</si>
  <si>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</si>
  <si>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</si>
  <si>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</si>
  <si>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</si>
  <si>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</si>
  <si>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</si>
  <si>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</si>
  <si>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</si>
  <si>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1.1.3.9</t>
  </si>
  <si>
    <t>1.1.3.10</t>
  </si>
  <si>
    <t>1.1.3.11</t>
  </si>
  <si>
    <t>3,05+0,28+7,46+0,28</t>
  </si>
  <si>
    <t>8,26*(1/4)</t>
  </si>
  <si>
    <t>8,26*(2/4)</t>
  </si>
  <si>
    <t>8,26*(3/4)</t>
  </si>
  <si>
    <t>8,26+6,6*(1/3)</t>
  </si>
  <si>
    <t>8,26+6,6*(2/3)</t>
  </si>
  <si>
    <t>8,26+6,6+6,6*(1/3)</t>
  </si>
  <si>
    <t>8,26+6,6+6,6*(2/3)</t>
  </si>
  <si>
    <t>8,26*(1/3)+6,6/2</t>
  </si>
  <si>
    <t>8,26*(2/3)+6,6/2</t>
  </si>
  <si>
    <t>6,6+0,28+1,91+0,28+1,94</t>
  </si>
  <si>
    <t>1.1.4.1</t>
  </si>
  <si>
    <t>1.1.4.2</t>
  </si>
  <si>
    <t>1.1.4.3</t>
  </si>
  <si>
    <t>3,26/2</t>
  </si>
  <si>
    <t>2,74+5*(1/3)</t>
  </si>
  <si>
    <t>2,74+5*(2/3)</t>
  </si>
  <si>
    <t>1.1.5.1</t>
  </si>
  <si>
    <t>1.1.5.2</t>
  </si>
  <si>
    <t>1.1.5.3</t>
  </si>
  <si>
    <t>1.1.6.1</t>
  </si>
  <si>
    <t>1.1.6.2</t>
  </si>
  <si>
    <t>1.1.6.3</t>
  </si>
  <si>
    <t>1.1.7.1</t>
  </si>
  <si>
    <t>1.1.7.2</t>
  </si>
  <si>
    <t>1.1.7.3</t>
  </si>
  <si>
    <t>1.1.8.1</t>
  </si>
  <si>
    <t>1.1.9.1</t>
  </si>
  <si>
    <t>1.1.10.1</t>
  </si>
  <si>
    <t>1.1.11.1</t>
  </si>
  <si>
    <t>1.1.12.1</t>
  </si>
  <si>
    <t>1.1.13.1</t>
  </si>
  <si>
    <t>1.1.8.2</t>
  </si>
  <si>
    <t>1.1.8.3</t>
  </si>
  <si>
    <t>1.1.9.2</t>
  </si>
  <si>
    <t>1.1.9.3</t>
  </si>
  <si>
    <t>1.1.10.2</t>
  </si>
  <si>
    <t>1.1.10.3</t>
  </si>
  <si>
    <t>1.1.11.2</t>
  </si>
  <si>
    <t>1.1.11.3</t>
  </si>
  <si>
    <t>1.1.12.2</t>
  </si>
  <si>
    <t>1.1.12.3</t>
  </si>
  <si>
    <t>1.1.13.2</t>
  </si>
  <si>
    <t>1.1.13.3</t>
  </si>
  <si>
    <t>2,74+0,28+5/2</t>
  </si>
  <si>
    <t>2,74*2+0,28+5*(1/3)</t>
  </si>
  <si>
    <t>2,74*2+0,28+5*(2/3)</t>
  </si>
  <si>
    <t>2,74*2+0,28*2+5*(1/3)</t>
  </si>
  <si>
    <t>2,74*2+0,28*2+5*(2/3)</t>
  </si>
  <si>
    <t>2,74*3+0,28*2+5/2</t>
  </si>
  <si>
    <t>2,74*3+0,28*3+5/2</t>
  </si>
  <si>
    <t>2,74*4+0,28*3+5*(1/3)</t>
  </si>
  <si>
    <t>2,74*4+0,28*3+5*(2/3)</t>
  </si>
  <si>
    <t>2,74*4+0,28*4+5*(2/3)</t>
  </si>
  <si>
    <t>2,74*4+0,28*4+5*(1/3)</t>
  </si>
  <si>
    <t>2,74*5+0,28*4+3,26/2</t>
  </si>
  <si>
    <t>5+0,28+(5-3,23+(3,23/2))</t>
  </si>
  <si>
    <t>2,74+5+0,28+5*(1/3)</t>
  </si>
  <si>
    <t>2,74+5+0,28+5*(2/3)</t>
  </si>
  <si>
    <t>2,74*2+0,28*2+5+5*(1/3)</t>
  </si>
  <si>
    <t>2,74*2+0,28*2+5+5*(2/3)</t>
  </si>
  <si>
    <t>2,74*2+0,28*3+5+5*(2/3)</t>
  </si>
  <si>
    <t>2,74+0,28*2+5+5/2</t>
  </si>
  <si>
    <t>2,74*3+0,28*3+5+5/2</t>
  </si>
  <si>
    <t>2,74*3+0,28*4+5+5/2</t>
  </si>
  <si>
    <t>2,74*3+0,28*3+5+5*(1/3)</t>
  </si>
  <si>
    <t>2,74*4+0,28*4+5+5*(1/3)</t>
  </si>
  <si>
    <t>2,74*4+0,28*4+5+5*(2/3)</t>
  </si>
  <si>
    <t>2,74*4+0,28*5+5+5*(2/3)</t>
  </si>
  <si>
    <t>2,74*4+0,28*5+5+5*(1/3)</t>
  </si>
  <si>
    <t>2,74*5+0,28*5+5+(5-3,23+(3,23/2))</t>
  </si>
  <si>
    <t>6,6+0,28+1,91+0,28+5+0,28+5+2,16+0,28</t>
  </si>
  <si>
    <t>1.1.14.1</t>
  </si>
  <si>
    <t>1.1.14.2</t>
  </si>
  <si>
    <t>1.1.14.3</t>
  </si>
  <si>
    <t>1.1.14.4</t>
  </si>
  <si>
    <t>1.1.14.5</t>
  </si>
  <si>
    <t>1.1.14.6</t>
  </si>
  <si>
    <t>1.1.14.7</t>
  </si>
  <si>
    <t>1.1.14.8</t>
  </si>
  <si>
    <t>1.1.14.9</t>
  </si>
  <si>
    <t>7,14+5,82+5,46*(1/3)</t>
  </si>
  <si>
    <t>7,14+5,82+5,46*(2/3)</t>
  </si>
  <si>
    <t>5,82*(2/3)</t>
  </si>
  <si>
    <t>5,82*(1/3)</t>
  </si>
  <si>
    <t>7,14*(1/4)</t>
  </si>
  <si>
    <t>7,14*(2/4)</t>
  </si>
  <si>
    <t>7,14*(3/4)</t>
  </si>
  <si>
    <t>7,14+5,82*(1/3)</t>
  </si>
  <si>
    <t>7,14+5,82*(2/3)</t>
  </si>
  <si>
    <t>Total</t>
  </si>
  <si>
    <t>Number of switches/patch panels per CP/HC/IC</t>
  </si>
  <si>
    <t>Number of outlets per CP
/Number of CPs per HC
/Number of HCs per IC</t>
  </si>
  <si>
    <t>All CPs</t>
  </si>
  <si>
    <t>Redundency Factor</t>
  </si>
  <si>
    <t>MC - Building 1</t>
  </si>
  <si>
    <t xml:space="preserve">Cable length </t>
  </si>
  <si>
    <t>Auxiliary Calculations</t>
  </si>
  <si>
    <t>2,56*2+39,59</t>
  </si>
  <si>
    <t>2,56*2+39,59+56,43</t>
  </si>
  <si>
    <t>2,56*2+6,46+53,60+47,72+56,42</t>
  </si>
  <si>
    <t>2,56*2+6,46+53,60+47,72</t>
  </si>
  <si>
    <t>Redundencies Between Buildings</t>
  </si>
  <si>
    <t>IC - Building 1</t>
  </si>
  <si>
    <t>IC - Building 2</t>
  </si>
  <si>
    <t>IC - Building 3</t>
  </si>
  <si>
    <t>IC - Building 4</t>
  </si>
  <si>
    <t>IC - Building 5</t>
  </si>
  <si>
    <t>2,56*2+56,43</t>
  </si>
  <si>
    <t>2,56*2+4,89*2+53,60</t>
  </si>
  <si>
    <t>2,56*2+56,42</t>
  </si>
  <si>
    <t>2,56*2+56,43+4,89*2+53,60</t>
  </si>
  <si>
    <t>2,56*2+4,89*2+53,60+56,42</t>
  </si>
  <si>
    <t>2,56*2+47,72*2+53,6</t>
  </si>
  <si>
    <t>Outlets</t>
  </si>
  <si>
    <t>Entrance</t>
  </si>
  <si>
    <t>Total CAT7</t>
  </si>
  <si>
    <t>Total Fiber</t>
  </si>
  <si>
    <t>Switches/Patch Panels of 12</t>
  </si>
  <si>
    <t>Switches/Patch Panels of 24</t>
  </si>
  <si>
    <t>Switch/Patch Panel of 12</t>
  </si>
  <si>
    <t>Switch/Patch Panel of 24</t>
  </si>
  <si>
    <t>12U Rack</t>
  </si>
  <si>
    <t>24U Rack</t>
  </si>
  <si>
    <t>42U Rack</t>
  </si>
  <si>
    <t>Type of Rack</t>
  </si>
  <si>
    <t>42U</t>
  </si>
  <si>
    <t>Router</t>
  </si>
  <si>
    <t>Server</t>
  </si>
  <si>
    <t>Access Points</t>
  </si>
  <si>
    <t>UPS</t>
  </si>
  <si>
    <t>Female RJ45</t>
  </si>
  <si>
    <t>Subscriber Connector</t>
  </si>
  <si>
    <t>Lucent Connector</t>
  </si>
  <si>
    <t>Scale</t>
  </si>
  <si>
    <t>Length with height of 1 m</t>
  </si>
  <si>
    <t>Building 1</t>
  </si>
  <si>
    <t>Building 2</t>
  </si>
  <si>
    <t>Building 3</t>
  </si>
  <si>
    <t>Building 4</t>
  </si>
  <si>
    <t>Building 5</t>
  </si>
  <si>
    <t>CAT7</t>
  </si>
  <si>
    <t>Fiber</t>
  </si>
  <si>
    <t>Campus</t>
  </si>
  <si>
    <t>Fiber - Campus</t>
  </si>
  <si>
    <t>-</t>
  </si>
  <si>
    <t>Patch Cords</t>
  </si>
  <si>
    <t>Switches/Patch Panels of 48</t>
  </si>
  <si>
    <t>Switch/Patch Panel of 48</t>
  </si>
  <si>
    <t>6U Rack</t>
  </si>
  <si>
    <t>Number of outlets per CP
/Number of CPs per HC
/Number of HCs per IC (with redundency)</t>
  </si>
  <si>
    <t>Number of outlets per CP
/Number of CPs per HC
/Number of HCs per IC (With redundency)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</si>
</sst>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10" xfId="0" applyNumberForma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0" xfId="0" applyAlignment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2" fontId="0" fillId="0" borderId="15" xfId="0" applyNumberForma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2" fontId="0" fillId="0" borderId="21" xfId="0" applyNumberFormat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2" fontId="0" fillId="0" borderId="27" xfId="0" applyNumberFormat="1" applyBorder="1" applyAlignment="1">
      <alignment horizontal="left" vertical="center" wrapText="1"/>
    </xf>
    <xf numFmtId="0" fontId="6" fillId="0" borderId="12" xfId="0" applyFont="1" applyBorder="1"/>
    <xf numFmtId="0" fontId="6" fillId="0" borderId="15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2" xfId="0" applyNumberForma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2" fontId="0" fillId="0" borderId="16" xfId="0" applyNumberFormat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3" xfId="0" applyFill="1" applyBorder="1" applyAlignment="1">
      <alignment horizontal="left" vertical="center" wrapText="1"/>
    </xf>
    <xf numFmtId="0" fontId="0" fillId="3" borderId="35" xfId="0" applyFill="1" applyBorder="1"/>
    <xf numFmtId="0" fontId="0" fillId="0" borderId="36" xfId="0" applyBorder="1" applyAlignment="1">
      <alignment horizontal="center" vertical="center"/>
    </xf>
    <xf numFmtId="0" fontId="6" fillId="0" borderId="26" xfId="0" applyFont="1" applyBorder="1" applyAlignment="1">
      <alignment horizontal="left" vertical="center" wrapText="1"/>
    </xf>
    <xf numFmtId="2" fontId="6" fillId="0" borderId="27" xfId="0" applyNumberFormat="1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2" fontId="6" fillId="0" borderId="15" xfId="0" applyNumberFormat="1" applyFont="1" applyBorder="1" applyAlignment="1">
      <alignment horizontal="left" vertical="center" wrapText="1"/>
    </xf>
    <xf numFmtId="2" fontId="0" fillId="0" borderId="34" xfId="0" applyNumberFormat="1" applyBorder="1" applyAlignment="1">
      <alignment horizontal="left" vertical="center" wrapText="1"/>
    </xf>
    <xf numFmtId="2" fontId="0" fillId="0" borderId="32" xfId="0" applyNumberFormat="1" applyBorder="1" applyAlignment="1">
      <alignment horizontal="left" vertical="center" wrapText="1"/>
    </xf>
    <xf numFmtId="2" fontId="6" fillId="0" borderId="12" xfId="0" applyNumberFormat="1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13" xfId="0" applyBorder="1"/>
    <xf numFmtId="0" fontId="0" fillId="3" borderId="13" xfId="0" applyFill="1" applyBorder="1"/>
    <xf numFmtId="2" fontId="0" fillId="0" borderId="37" xfId="0" applyNumberFormat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0" fontId="0" fillId="3" borderId="10" xfId="0" quotePrefix="1" applyFill="1" applyBorder="1" applyAlignment="1">
      <alignment horizontal="left" vertical="center" wrapText="1"/>
    </xf>
    <xf numFmtId="2" fontId="0" fillId="0" borderId="10" xfId="0" applyNumberFormat="1" applyBorder="1" applyAlignment="1">
      <alignment horizontal="right" vertical="center"/>
    </xf>
    <xf numFmtId="0" fontId="0" fillId="0" borderId="10" xfId="0" quotePrefix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8" xfId="0" applyBorder="1" applyAlignment="1">
      <alignment horizontal="center" vertical="center" wrapText="1"/>
    </xf>
    <xf numFmtId="2" fontId="0" fillId="0" borderId="38" xfId="0" applyNumberFormat="1" applyBorder="1" applyAlignment="1">
      <alignment horizontal="left" vertical="center" wrapText="1"/>
    </xf>
    <xf numFmtId="2" fontId="6" fillId="0" borderId="10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20</xdr:col>
      <xdr:colOff>494705</xdr:colOff>
      <xdr:row>40</xdr:row>
      <xdr:rowOff>2928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2ADF89-8A77-47F4-AE5F-A10CA7B12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5480" y="784860"/>
          <a:ext cx="4761905" cy="7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3</xdr:row>
      <xdr:rowOff>25400</xdr:rowOff>
    </xdr:from>
    <xdr:to>
      <xdr:col>20</xdr:col>
      <xdr:colOff>443875</xdr:colOff>
      <xdr:row>40</xdr:row>
      <xdr:rowOff>20710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9382611-952B-4A68-921D-D595EDC4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596900"/>
          <a:ext cx="4990475" cy="704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</xdr:colOff>
      <xdr:row>3</xdr:row>
      <xdr:rowOff>41910</xdr:rowOff>
    </xdr:from>
    <xdr:to>
      <xdr:col>25</xdr:col>
      <xdr:colOff>1922</xdr:colOff>
      <xdr:row>79</xdr:row>
      <xdr:rowOff>77097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BCFC8F-287F-413F-8579-4EFE07CB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" y="727710"/>
          <a:ext cx="15100952" cy="17408787"/>
        </a:xfrm>
        <a:prstGeom prst="rect">
          <a:avLst/>
        </a:prstGeom>
      </xdr:spPr>
    </xdr:pic>
    <xdr:clientData/>
  </xdr:twoCellAnchor>
  <xdr:twoCellAnchor editAs="oneCell">
    <xdr:from>
      <xdr:col>26</xdr:col>
      <xdr:colOff>586740</xdr:colOff>
      <xdr:row>0</xdr:row>
      <xdr:rowOff>0</xdr:rowOff>
    </xdr:from>
    <xdr:to>
      <xdr:col>51</xdr:col>
      <xdr:colOff>491490</xdr:colOff>
      <xdr:row>78</xdr:row>
      <xdr:rowOff>47720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E11B38-4F68-42DF-AE2B-73AEA0E1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36340" y="0"/>
          <a:ext cx="15144750" cy="14312360"/>
        </a:xfrm>
        <a:prstGeom prst="rect">
          <a:avLst/>
        </a:prstGeom>
      </xdr:spPr>
    </xdr:pic>
    <xdr:clientData/>
  </xdr:twoCellAnchor>
  <xdr:twoCellAnchor editAs="oneCell">
    <xdr:from>
      <xdr:col>52</xdr:col>
      <xdr:colOff>563880</xdr:colOff>
      <xdr:row>1</xdr:row>
      <xdr:rowOff>40004</xdr:rowOff>
    </xdr:from>
    <xdr:to>
      <xdr:col>78</xdr:col>
      <xdr:colOff>30480</xdr:colOff>
      <xdr:row>79</xdr:row>
      <xdr:rowOff>134510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5D8598-641A-444A-8CA5-95073246D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263080" y="222884"/>
          <a:ext cx="15316200" cy="143591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</xdr:colOff>
      <xdr:row>0</xdr:row>
      <xdr:rowOff>36195</xdr:rowOff>
    </xdr:from>
    <xdr:to>
      <xdr:col>24</xdr:col>
      <xdr:colOff>579137</xdr:colOff>
      <xdr:row>74</xdr:row>
      <xdr:rowOff>80147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515B828-51C7-4E9B-865C-02FDC2C9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" y="36195"/>
          <a:ext cx="15097142" cy="1414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43815</xdr:colOff>
      <xdr:row>0</xdr:row>
      <xdr:rowOff>0</xdr:rowOff>
    </xdr:from>
    <xdr:to>
      <xdr:col>52</xdr:col>
      <xdr:colOff>91440</xdr:colOff>
      <xdr:row>76</xdr:row>
      <xdr:rowOff>4774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31C686-4D1F-4B8F-9D77-83A6D44DF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03015" y="0"/>
          <a:ext cx="15287625" cy="13903654"/>
        </a:xfrm>
        <a:prstGeom prst="rect">
          <a:avLst/>
        </a:prstGeom>
      </xdr:spPr>
    </xdr:pic>
    <xdr:clientData/>
  </xdr:twoCellAnchor>
  <xdr:twoCellAnchor editAs="oneCell">
    <xdr:from>
      <xdr:col>53</xdr:col>
      <xdr:colOff>152400</xdr:colOff>
      <xdr:row>1</xdr:row>
      <xdr:rowOff>0</xdr:rowOff>
    </xdr:from>
    <xdr:to>
      <xdr:col>77</xdr:col>
      <xdr:colOff>536310</xdr:colOff>
      <xdr:row>76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2C0ADF4-E7DE-4BCF-9E73-C5D5C41B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61200" y="182880"/>
          <a:ext cx="15014310" cy="13868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122466</xdr:colOff>
      <xdr:row>1</xdr:row>
      <xdr:rowOff>27215</xdr:rowOff>
    </xdr:from>
    <xdr:to>
      <xdr:col>29</xdr:col>
      <xdr:colOff>591335</xdr:colOff>
      <xdr:row>44</xdr:row>
      <xdr:rowOff>137358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CCFA0C-5427-4912-8580-E56B067684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3"/>
        <a:stretch/>
      </xdr:blipFill>
      <xdr:spPr>
        <a:xfrm>
          <a:off x="9946823" y="231322"/>
          <a:ext cx="13323809" cy="91006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313600</xdr:colOff>
      <xdr:row>20</xdr:row>
      <xdr:rowOff>142405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05829D-0A56-4AAE-96BE-FCD39CF7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800000" cy="37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1</xdr:row>
      <xdr:rowOff>0</xdr:rowOff>
    </xdr:from>
    <xdr:to>
      <xdr:col>20</xdr:col>
      <xdr:colOff>123087</xdr:colOff>
      <xdr:row>21</xdr:row>
      <xdr:rowOff>28095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1F05C1-BCA5-44B4-AD31-928028FF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325" y="190500"/>
          <a:ext cx="5904762" cy="3838095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22</xdr:row>
      <xdr:rowOff>0</xdr:rowOff>
    </xdr:from>
    <xdr:to>
      <xdr:col>10</xdr:col>
      <xdr:colOff>313595</xdr:colOff>
      <xdr:row>44</xdr:row>
      <xdr:rowOff>85646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D8DE9B8-FB1A-42CB-9CEB-EB77A9E77FA7}"/>
            </a:ext>
          </a:extLst>
        </xdr:cNvPr>
        <xdr:cNvGrpSpPr/>
      </xdr:nvGrpSpPr>
      <xdr:grpSpPr>
        <a:xfrm>
          <a:off x="571500" y="4191000"/>
          <a:ext cx="5774595" cy="4276646"/>
          <a:chOff x="571500" y="4191000"/>
          <a:chExt cx="5838095" cy="42766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6652C5E-834D-408B-B2A7-9D91314498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0" y="4191000"/>
            <a:ext cx="5780952" cy="3657143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78F847C-E3FA-4085-B165-DEEFFEF162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71500" y="7839075"/>
            <a:ext cx="5838095" cy="628571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285750</xdr:colOff>
      <xdr:row>22</xdr:row>
      <xdr:rowOff>0</xdr:rowOff>
    </xdr:from>
    <xdr:to>
      <xdr:col>20</xdr:col>
      <xdr:colOff>27845</xdr:colOff>
      <xdr:row>38</xdr:row>
      <xdr:rowOff>123429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4B37FB2-70C4-4FA2-B9A2-721B76B70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4191000"/>
          <a:ext cx="5838095" cy="3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45</xdr:row>
      <xdr:rowOff>66675</xdr:rowOff>
    </xdr:from>
    <xdr:to>
      <xdr:col>10</xdr:col>
      <xdr:colOff>370740</xdr:colOff>
      <xdr:row>64</xdr:row>
      <xdr:rowOff>75746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F1BBCEF-99F1-4F77-ADC0-BAEF071CD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8639175"/>
          <a:ext cx="5876190" cy="3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45</xdr:row>
      <xdr:rowOff>66675</xdr:rowOff>
    </xdr:from>
    <xdr:to>
      <xdr:col>20</xdr:col>
      <xdr:colOff>104038</xdr:colOff>
      <xdr:row>62</xdr:row>
      <xdr:rowOff>56746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87FD0AA-E8E0-4F5B-9009-122F75A9E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0800" y="8639175"/>
          <a:ext cx="5895238" cy="3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65</xdr:row>
      <xdr:rowOff>0</xdr:rowOff>
    </xdr:from>
    <xdr:to>
      <xdr:col>10</xdr:col>
      <xdr:colOff>389787</xdr:colOff>
      <xdr:row>84</xdr:row>
      <xdr:rowOff>66214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FC1B618-038D-4AEF-A847-64FF48F95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5" y="12382500"/>
          <a:ext cx="5904762" cy="3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65</xdr:row>
      <xdr:rowOff>57150</xdr:rowOff>
    </xdr:from>
    <xdr:to>
      <xdr:col>20</xdr:col>
      <xdr:colOff>294539</xdr:colOff>
      <xdr:row>84</xdr:row>
      <xdr:rowOff>161459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47BDB1F-EA54-4E15-9DDC-4F1B6FBAF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00825" y="12439650"/>
          <a:ext cx="5885714" cy="3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88254-0BC2-4569-8757-42E12E4AAE5A}" name="Tabela2" displayName="Tabela2" ref="A4:H14" totalsRowShown="0" headerRowDxfId="21" dataDxfId="20" tableBorderDxfId="19">
  <autoFilter ref="A4:H14" xr:uid="{6749FD19-231A-4779-85AA-5BB51655A9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05C60B4-9BD4-4749-842B-C1EF8C03AEDF}" name="Room Name" dataDxfId="18"/>
    <tableColumn id="2" xr3:uid="{F79C1BA8-66C5-4DD4-B0B8-5DB622502967}" name="Length(cm)" dataDxfId="17">
      <calculatedColumnFormula>Tabela2[[#This Row],[Length(m)]]/$L$6</calculatedColumnFormula>
    </tableColumn>
    <tableColumn id="3" xr3:uid="{57DB6FE5-121E-4E3C-BF6A-730090E561AA}" name="Width(cm)" dataDxfId="16">
      <calculatedColumnFormula>Tabela2[[#This Row],[Width(m)]]/$L$6</calculatedColumnFormula>
    </tableColumn>
    <tableColumn id="4" xr3:uid="{9D97DA34-751E-4188-8C77-211003BC6CA2}" name="Length(m)" dataDxfId="15">
      <calculatedColumnFormula>ROUNDUP(Tabela2[[#This Row],[Length(cm)]]*$L$6,1)</calculatedColumnFormula>
    </tableColumn>
    <tableColumn id="5" xr3:uid="{B8FC12A4-E353-4040-A6DD-AAA2AF912C64}" name="Width(m)" dataDxfId="14">
      <calculatedColumnFormula>ROUNDUP(Tabela2[[#This Row],[Width(cm)]]*$L$6,1)</calculatedColumnFormula>
    </tableColumn>
    <tableColumn id="6" xr3:uid="{B1DB32FE-4D3B-4A70-81C8-2200D6E56F2A}" name="Height(m)" dataDxfId="13"/>
    <tableColumn id="7" xr3:uid="{E8DFA43A-6BE5-49B8-BA0F-A7B8BE97E798}" name="Area(m²)" dataDxfId="12">
      <calculatedColumnFormula>ROUNDUP(Tabela2[[#This Row],[Length(m)]]*Tabela2[[#This Row],[Width(m)]],1)</calculatedColumnFormula>
    </tableColumn>
    <tableColumn id="8" xr3:uid="{D16DD540-E71D-4370-86A2-CD15B7D2ED74}" name="Nº Outlets" dataDxfId="11">
      <calculatedColumnFormula>ROUNDUP( Tabela2[[#This Row],[Area(m²)]]/10*2,0)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301AA-FDCA-44F7-8D94-C1C77C2CE66C}" name="Tabela22" displayName="Tabela22" ref="A4:H18" totalsRowShown="0" headerRowDxfId="10" dataDxfId="9" tableBorderDxfId="8">
  <autoFilter ref="A4:H18" xr:uid="{6A4A49E7-0834-4930-AF23-354114E86C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DA21DF6-04CF-4139-B623-CE20DC30C8E7}" name="Room Name" dataDxfId="7"/>
    <tableColumn id="2" xr3:uid="{11E60619-1C18-4D79-BD12-F5B09B6E3518}" name="Length(cm)" dataDxfId="6">
      <calculatedColumnFormula>Tabela22[[#This Row],[Length(m)]]/$L$6</calculatedColumnFormula>
    </tableColumn>
    <tableColumn id="3" xr3:uid="{C237A627-8B0A-4DDE-BD4D-584F4EE1C98F}" name="Width(cm)" dataDxfId="5">
      <calculatedColumnFormula>Tabela22[[#This Row],[Width(m)]]/$L$6</calculatedColumnFormula>
    </tableColumn>
    <tableColumn id="4" xr3:uid="{B04E7B4D-CE4F-4D54-BD40-F6EE680E65D0}" name="Length(m)" dataDxfId="4">
      <calculatedColumnFormula>ROUNDUP(Tabela22[[#This Row],[Length(cm)]]*$L$6,1)</calculatedColumnFormula>
    </tableColumn>
    <tableColumn id="5" xr3:uid="{D25DBD77-6100-4065-8C09-B28CAA7E9B74}" name="Width(m)" dataDxfId="3">
      <calculatedColumnFormula>ROUNDUP(Tabela22[[#This Row],[Width(cm)]]*$L$6,1)</calculatedColumnFormula>
    </tableColumn>
    <tableColumn id="6" xr3:uid="{B3018879-23C1-4987-BD9E-069A8692A400}" name="Height(m)" dataDxfId="2"/>
    <tableColumn id="7" xr3:uid="{7677F25C-4283-4029-B492-775ABB9C197D}" name="Area(m²)" dataDxfId="1">
      <calculatedColumnFormula>ROUNDUP(Tabela22[[#This Row],[Length(m)]]*Tabela22[[#This Row],[Width(m)]],1)</calculatedColumnFormula>
    </tableColumn>
    <tableColumn id="8" xr3:uid="{1E65DB13-12F0-4333-92A0-425E557D5580}" name="Nº Outlets" dataDxfId="0">
      <calculatedColumnFormula>ROUNDUP( Tabela22[[#This Row],[Area(m²)]]/10*2,0)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6E18-B96F-48F9-B61B-353FDC8AEEEE}">
  <sheetPr>
    <pageSetUpPr fitToPage="1"/>
  </sheetPr>
  <dimension ref="B2:H21"/>
  <sheetViews>
    <sheetView tabSelected="1" zoomScaleNormal="100" zoomScaleSheetLayoutView="85" workbookViewId="0">
      <selection activeCell="B2" sqref="B2:H21"/>
    </sheetView>
  </sheetViews>
  <sheetFormatPr defaultRowHeight="15" x14ac:dyDescent="0.25"/>
  <cols>
    <col min="2" max="2" width="26.5703125" customWidth="1"/>
    <col min="3" max="7" width="14.5703125" customWidth="1"/>
    <col min="8" max="8" width="8" bestFit="1" customWidth="1"/>
  </cols>
  <sheetData>
    <row r="2" spans="2:8" x14ac:dyDescent="0.25">
      <c r="B2" s="19"/>
      <c r="C2" s="49" t="s">
        <v>313</v>
      </c>
      <c r="D2" s="49" t="s">
        <v>314</v>
      </c>
      <c r="E2" s="49" t="s">
        <v>315</v>
      </c>
      <c r="F2" s="49" t="s">
        <v>316</v>
      </c>
      <c r="G2" s="49" t="s">
        <v>317</v>
      </c>
      <c r="H2" s="44" t="s">
        <v>320</v>
      </c>
    </row>
    <row r="3" spans="2:8" x14ac:dyDescent="0.25">
      <c r="B3" s="49" t="s">
        <v>318</v>
      </c>
      <c r="C3" s="16">
        <f>SUM('Cable Dimensioning Floor 0'!I60,'Cable Dimensioning Floor 1'!I69)</f>
        <v>1571</v>
      </c>
      <c r="D3" s="19">
        <v>1563</v>
      </c>
      <c r="E3" s="19">
        <v>1670.1</v>
      </c>
      <c r="F3" s="19">
        <v>1280</v>
      </c>
      <c r="G3" s="19">
        <v>1578</v>
      </c>
      <c r="H3" s="81">
        <f>SUM(C3:G3)</f>
        <v>7662.1</v>
      </c>
    </row>
    <row r="4" spans="2:8" x14ac:dyDescent="0.25">
      <c r="B4" s="49" t="s">
        <v>319</v>
      </c>
      <c r="C4" s="16">
        <f>'Cable Dimensioning Floor 0'!I4+'Cable Dimensioning Floor 0'!I3</f>
        <v>9</v>
      </c>
      <c r="D4" s="19">
        <v>12</v>
      </c>
      <c r="E4" s="19">
        <v>85.5</v>
      </c>
      <c r="F4" s="19">
        <v>38</v>
      </c>
      <c r="G4" s="19">
        <v>25</v>
      </c>
      <c r="H4" s="81">
        <f t="shared" ref="H4:H21" si="0">SUM(C4:G4)</f>
        <v>169.5</v>
      </c>
    </row>
    <row r="5" spans="2:8" x14ac:dyDescent="0.25">
      <c r="B5" s="49" t="s">
        <v>321</v>
      </c>
      <c r="C5" s="82" t="s">
        <v>322</v>
      </c>
      <c r="D5" s="82" t="s">
        <v>322</v>
      </c>
      <c r="E5" s="82" t="s">
        <v>322</v>
      </c>
      <c r="F5" s="82" t="s">
        <v>322</v>
      </c>
      <c r="G5" s="82" t="s">
        <v>322</v>
      </c>
      <c r="H5" s="83">
        <f>SUM('Fiber Dimensioning'!G21,'Fiber Dimensioning'!G7,'Cable Dimensioning Floor 0'!I61)</f>
        <v>808</v>
      </c>
    </row>
    <row r="6" spans="2:8" x14ac:dyDescent="0.25">
      <c r="B6" s="49" t="s">
        <v>291</v>
      </c>
      <c r="C6" s="19">
        <f>SUM('Cable Dimensioning Floor 0'!J60,'Cable Dimensioning Floor 1'!J69)</f>
        <v>107</v>
      </c>
      <c r="D6" s="19">
        <v>87</v>
      </c>
      <c r="E6" s="19">
        <v>93</v>
      </c>
      <c r="F6" s="19">
        <v>95</v>
      </c>
      <c r="G6" s="19">
        <v>92</v>
      </c>
      <c r="H6" s="81">
        <f t="shared" si="0"/>
        <v>474</v>
      </c>
    </row>
    <row r="7" spans="2:8" x14ac:dyDescent="0.25">
      <c r="B7" s="49" t="s">
        <v>297</v>
      </c>
      <c r="C7" s="19">
        <f>SUM('Cable Dimensioning Floor 0'!P4,'Cable Dimensioning Floor 1'!P3)</f>
        <v>3</v>
      </c>
      <c r="D7" s="19">
        <v>1</v>
      </c>
      <c r="E7" s="19">
        <v>0</v>
      </c>
      <c r="F7" s="19">
        <v>0</v>
      </c>
      <c r="G7" s="19">
        <v>2</v>
      </c>
      <c r="H7" s="81">
        <f t="shared" si="0"/>
        <v>6</v>
      </c>
    </row>
    <row r="8" spans="2:8" x14ac:dyDescent="0.25">
      <c r="B8" s="49" t="s">
        <v>298</v>
      </c>
      <c r="C8" s="19">
        <f>SUM('Cable Dimensioning Floor 0'!P5,'Cable Dimensioning Floor 1'!P4)</f>
        <v>10</v>
      </c>
      <c r="D8" s="19">
        <v>3</v>
      </c>
      <c r="E8" s="19">
        <v>6</v>
      </c>
      <c r="F8" s="19">
        <v>2</v>
      </c>
      <c r="G8" s="19">
        <v>0</v>
      </c>
      <c r="H8" s="81">
        <f t="shared" si="0"/>
        <v>21</v>
      </c>
    </row>
    <row r="9" spans="2:8" x14ac:dyDescent="0.25">
      <c r="B9" s="49" t="s">
        <v>325</v>
      </c>
      <c r="C9" s="19">
        <f>SUM('Cable Dimensioning Floor 0'!P6,'Cable Dimensioning Floor 1'!P5)</f>
        <v>3</v>
      </c>
      <c r="D9" s="19">
        <v>3</v>
      </c>
      <c r="E9" s="19">
        <v>4</v>
      </c>
      <c r="F9" s="19">
        <v>6</v>
      </c>
      <c r="G9" s="19">
        <v>4</v>
      </c>
      <c r="H9" s="81">
        <f t="shared" ref="H9:H10" si="1">SUM(C9:G9)</f>
        <v>20</v>
      </c>
    </row>
    <row r="10" spans="2:8" x14ac:dyDescent="0.25">
      <c r="B10" s="49" t="s">
        <v>326</v>
      </c>
      <c r="C10" s="19">
        <v>0</v>
      </c>
      <c r="D10" s="19">
        <v>3</v>
      </c>
      <c r="E10" s="19">
        <v>6</v>
      </c>
      <c r="F10" s="19">
        <v>2</v>
      </c>
      <c r="G10" s="19">
        <v>1</v>
      </c>
      <c r="H10" s="81">
        <f t="shared" si="1"/>
        <v>12</v>
      </c>
    </row>
    <row r="11" spans="2:8" x14ac:dyDescent="0.25">
      <c r="B11" s="49" t="s">
        <v>299</v>
      </c>
      <c r="C11" s="19">
        <f>COUNTIF('Cable Dimensioning Floor 0'!$N$3:$N$59,"12U")+COUNTIF('Cable Dimensioning Floor 1'!$N$4:$N$68,"12U")</f>
        <v>10</v>
      </c>
      <c r="D11" s="19">
        <v>4</v>
      </c>
      <c r="E11" s="19">
        <v>5</v>
      </c>
      <c r="F11" s="19">
        <v>7</v>
      </c>
      <c r="G11" s="19">
        <v>5</v>
      </c>
      <c r="H11" s="81">
        <f t="shared" si="0"/>
        <v>31</v>
      </c>
    </row>
    <row r="12" spans="2:8" x14ac:dyDescent="0.25">
      <c r="B12" s="49" t="s">
        <v>300</v>
      </c>
      <c r="C12" s="19">
        <f>COUNTIF('Cable Dimensioning Floor 0'!$N$3:$N$59,"24U")+COUNTIF('Cable Dimensioning Floor 1'!$N$4:$N$68,"24U")</f>
        <v>2</v>
      </c>
      <c r="D12" s="19">
        <v>0</v>
      </c>
      <c r="E12" s="19">
        <v>0</v>
      </c>
      <c r="F12" s="19">
        <v>0</v>
      </c>
      <c r="G12" s="19">
        <v>0</v>
      </c>
      <c r="H12" s="81">
        <f t="shared" si="0"/>
        <v>2</v>
      </c>
    </row>
    <row r="13" spans="2:8" x14ac:dyDescent="0.25">
      <c r="B13" s="49" t="s">
        <v>301</v>
      </c>
      <c r="C13" s="19">
        <f>COUNTIF('Cable Dimensioning Floor 0'!$N$3:$N$59,"42U")+COUNTIF('Cable Dimensioning Floor 1'!$N$4:$N$68,"42U")</f>
        <v>1</v>
      </c>
      <c r="D13" s="19">
        <v>0</v>
      </c>
      <c r="E13" s="19">
        <v>0</v>
      </c>
      <c r="F13" s="19">
        <v>0</v>
      </c>
      <c r="G13" s="19">
        <v>0</v>
      </c>
      <c r="H13" s="81">
        <f t="shared" si="0"/>
        <v>1</v>
      </c>
    </row>
    <row r="14" spans="2:8" x14ac:dyDescent="0.25">
      <c r="B14" s="49" t="s">
        <v>304</v>
      </c>
      <c r="C14" s="19">
        <v>1</v>
      </c>
      <c r="D14" s="19">
        <v>0</v>
      </c>
      <c r="E14" s="19">
        <v>0</v>
      </c>
      <c r="F14" s="19">
        <v>0</v>
      </c>
      <c r="G14" s="19">
        <v>0</v>
      </c>
      <c r="H14" s="81">
        <f t="shared" si="0"/>
        <v>1</v>
      </c>
    </row>
    <row r="15" spans="2:8" x14ac:dyDescent="0.25">
      <c r="B15" s="49" t="s">
        <v>305</v>
      </c>
      <c r="C15" s="19">
        <v>1</v>
      </c>
      <c r="D15" s="19">
        <v>0</v>
      </c>
      <c r="E15" s="19">
        <v>0</v>
      </c>
      <c r="F15" s="19">
        <v>0</v>
      </c>
      <c r="G15" s="19">
        <v>0</v>
      </c>
      <c r="H15" s="81">
        <f t="shared" si="0"/>
        <v>1</v>
      </c>
    </row>
    <row r="16" spans="2:8" x14ac:dyDescent="0.25">
      <c r="B16" s="49" t="s">
        <v>306</v>
      </c>
      <c r="C16" s="19">
        <v>2</v>
      </c>
      <c r="D16" s="19">
        <v>2</v>
      </c>
      <c r="E16" s="19">
        <v>2</v>
      </c>
      <c r="F16" s="19">
        <v>2</v>
      </c>
      <c r="G16" s="19">
        <v>2</v>
      </c>
      <c r="H16" s="81">
        <f t="shared" si="0"/>
        <v>10</v>
      </c>
    </row>
    <row r="17" spans="2:8" x14ac:dyDescent="0.25">
      <c r="B17" s="49" t="s">
        <v>307</v>
      </c>
      <c r="C17" s="19">
        <v>1</v>
      </c>
      <c r="D17" s="19">
        <v>0</v>
      </c>
      <c r="E17" s="19">
        <v>0</v>
      </c>
      <c r="F17" s="19">
        <v>0</v>
      </c>
      <c r="G17" s="19">
        <v>0</v>
      </c>
      <c r="H17" s="81">
        <f t="shared" si="0"/>
        <v>1</v>
      </c>
    </row>
    <row r="18" spans="2:8" x14ac:dyDescent="0.25">
      <c r="B18" s="49" t="s">
        <v>323</v>
      </c>
      <c r="C18" s="19">
        <f>SUM('Cable Dimensioning Floor 0'!J6:J59)+SUM('Cable Dimensioning Floor 1'!J4:J68)</f>
        <v>118</v>
      </c>
      <c r="D18" s="19">
        <v>127</v>
      </c>
      <c r="E18" s="19">
        <v>121</v>
      </c>
      <c r="F18" s="19">
        <v>127</v>
      </c>
      <c r="G18" s="19">
        <v>104</v>
      </c>
      <c r="H18" s="81">
        <f t="shared" ref="H18" si="2">SUM(C18:G18)</f>
        <v>597</v>
      </c>
    </row>
    <row r="19" spans="2:8" x14ac:dyDescent="0.25">
      <c r="B19" s="49" t="s">
        <v>308</v>
      </c>
      <c r="C19" s="19">
        <f>SUM('Cable Dimensioning Floor 0'!J60,'Cable Dimensioning Floor 1'!J69)</f>
        <v>107</v>
      </c>
      <c r="D19" s="19">
        <v>87</v>
      </c>
      <c r="E19" s="19">
        <v>93</v>
      </c>
      <c r="F19" s="19">
        <v>95</v>
      </c>
      <c r="G19" s="19">
        <v>92</v>
      </c>
      <c r="H19" s="81">
        <f t="shared" si="0"/>
        <v>474</v>
      </c>
    </row>
    <row r="20" spans="2:8" x14ac:dyDescent="0.25">
      <c r="B20" s="49" t="s">
        <v>309</v>
      </c>
      <c r="C20" s="19">
        <v>1</v>
      </c>
      <c r="D20" s="84" t="s">
        <v>322</v>
      </c>
      <c r="E20" s="84" t="s">
        <v>322</v>
      </c>
      <c r="F20" s="84" t="s">
        <v>322</v>
      </c>
      <c r="G20" s="84" t="s">
        <v>322</v>
      </c>
      <c r="H20" s="81">
        <f t="shared" si="0"/>
        <v>1</v>
      </c>
    </row>
    <row r="21" spans="2:8" x14ac:dyDescent="0.25">
      <c r="B21" s="49" t="s">
        <v>310</v>
      </c>
      <c r="C21" s="19">
        <v>2</v>
      </c>
      <c r="D21" s="19">
        <v>2</v>
      </c>
      <c r="E21" s="19">
        <v>2</v>
      </c>
      <c r="F21" s="19">
        <v>2</v>
      </c>
      <c r="G21" s="19">
        <v>2</v>
      </c>
      <c r="H21" s="81">
        <f t="shared" si="0"/>
        <v>10</v>
      </c>
    </row>
  </sheetData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5245-A4A8-4869-9B58-32F11F67080D}">
  <sheetPr>
    <pageSetUpPr fitToPage="1"/>
  </sheetPr>
  <dimension ref="A1:U18"/>
  <sheetViews>
    <sheetView zoomScale="85" zoomScaleNormal="85" zoomScaleSheetLayoutView="85" workbookViewId="0">
      <selection activeCell="L42" sqref="L42"/>
    </sheetView>
  </sheetViews>
  <sheetFormatPr defaultRowHeight="15" x14ac:dyDescent="0.25"/>
  <cols>
    <col min="1" max="1" width="20.7109375" bestFit="1" customWidth="1"/>
    <col min="2" max="2" width="13.140625" customWidth="1"/>
    <col min="3" max="3" width="12.5703125" customWidth="1"/>
    <col min="4" max="4" width="12.28515625" customWidth="1"/>
    <col min="5" max="5" width="11.7109375" customWidth="1"/>
    <col min="6" max="6" width="12.140625" customWidth="1"/>
    <col min="7" max="7" width="11.140625" customWidth="1"/>
    <col min="8" max="8" width="10.42578125" bestFit="1" customWidth="1"/>
  </cols>
  <sheetData>
    <row r="1" spans="1:21" ht="31.5" customHeight="1" x14ac:dyDescent="0.25">
      <c r="A1" s="89" t="s">
        <v>12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1:21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4" spans="1:21" x14ac:dyDescent="0.25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1" t="s">
        <v>6</v>
      </c>
      <c r="H4" s="4" t="s">
        <v>10</v>
      </c>
      <c r="J4" s="11" t="s">
        <v>8</v>
      </c>
      <c r="K4" s="12" t="s">
        <v>311</v>
      </c>
      <c r="L4" s="13" t="s">
        <v>9</v>
      </c>
    </row>
    <row r="5" spans="1:21" x14ac:dyDescent="0.25">
      <c r="A5" s="4" t="s">
        <v>13</v>
      </c>
      <c r="B5" s="15">
        <f>Tabela2[[#This Row],[Length(m)]]/$L$6</f>
        <v>11.47887323943662</v>
      </c>
      <c r="C5" s="15">
        <f>Tabela2[[#This Row],[Width(m)]]/$L$6</f>
        <v>5.299295774647887</v>
      </c>
      <c r="D5" s="15">
        <v>6.52</v>
      </c>
      <c r="E5" s="15">
        <v>3.01</v>
      </c>
      <c r="F5" s="4">
        <v>4</v>
      </c>
      <c r="G5" s="4">
        <f>ROUNDUP(Tabela2[[#This Row],[Length(m)]]*Tabela2[[#This Row],[Width(m)]],1)</f>
        <v>19.700000000000003</v>
      </c>
      <c r="H5" s="4">
        <f>ROUNDUP( Tabela2[[#This Row],[Area(m²)]]/10*2,0)</f>
        <v>4</v>
      </c>
      <c r="J5" s="8">
        <v>5</v>
      </c>
      <c r="K5" s="9" t="s">
        <v>7</v>
      </c>
      <c r="L5" s="10">
        <v>2.84</v>
      </c>
    </row>
    <row r="6" spans="1:21" x14ac:dyDescent="0.25">
      <c r="A6" s="4" t="s">
        <v>14</v>
      </c>
      <c r="B6" s="15">
        <f>Tabela2[[#This Row],[Length(m)]]/$L$6</f>
        <v>11.47887323943662</v>
      </c>
      <c r="C6" s="15">
        <f>Tabela2[[#This Row],[Width(m)]]/$L$6</f>
        <v>7.7816901408450709</v>
      </c>
      <c r="D6" s="15">
        <v>6.52</v>
      </c>
      <c r="E6" s="15">
        <v>4.42</v>
      </c>
      <c r="F6" s="4">
        <v>4</v>
      </c>
      <c r="G6" s="4">
        <f>ROUNDUP(Tabela2[[#This Row],[Length(m)]]*Tabela2[[#This Row],[Width(m)]],1)</f>
        <v>28.900000000000002</v>
      </c>
      <c r="H6" s="4">
        <f>ROUNDUP( Tabela2[[#This Row],[Area(m²)]]/10*2,0)</f>
        <v>6</v>
      </c>
      <c r="J6" s="5">
        <v>1</v>
      </c>
      <c r="K6" s="6" t="s">
        <v>7</v>
      </c>
      <c r="L6" s="7">
        <f>L5/J5</f>
        <v>0.56799999999999995</v>
      </c>
    </row>
    <row r="7" spans="1:21" ht="15" customHeight="1" x14ac:dyDescent="0.25">
      <c r="A7" s="4" t="s">
        <v>15</v>
      </c>
      <c r="B7" s="15">
        <f>Tabela2[[#This Row],[Length(m)]]/$L$6</f>
        <v>11.47887323943662</v>
      </c>
      <c r="C7" s="15">
        <f>Tabela2[[#This Row],[Width(m)]]/$L$6</f>
        <v>7.72887323943662</v>
      </c>
      <c r="D7" s="15">
        <v>6.52</v>
      </c>
      <c r="E7" s="15">
        <v>4.3899999999999997</v>
      </c>
      <c r="F7" s="4">
        <v>4</v>
      </c>
      <c r="G7" s="4">
        <f>ROUNDUP(Tabela2[[#This Row],[Length(m)]]*Tabela2[[#This Row],[Width(m)]],1)</f>
        <v>28.700000000000003</v>
      </c>
      <c r="H7" s="4">
        <f>ROUNDUP( Tabela2[[#This Row],[Area(m²)]]/10*2,0)</f>
        <v>6</v>
      </c>
    </row>
    <row r="8" spans="1:21" ht="15" customHeight="1" x14ac:dyDescent="0.25">
      <c r="A8" s="4" t="s">
        <v>16</v>
      </c>
      <c r="B8" s="15">
        <f>Tabela2[[#This Row],[Length(m)]]/$L$6</f>
        <v>11.47887323943662</v>
      </c>
      <c r="C8" s="15">
        <f>Tabela2[[#This Row],[Width(m)]]/$L$6</f>
        <v>11.690140845070424</v>
      </c>
      <c r="D8" s="15">
        <v>6.52</v>
      </c>
      <c r="E8" s="15">
        <v>6.64</v>
      </c>
      <c r="F8" s="4">
        <v>4</v>
      </c>
      <c r="G8" s="4">
        <f>ROUNDUP(Tabela2[[#This Row],[Length(m)]]*Tabela2[[#This Row],[Width(m)]],1)</f>
        <v>43.300000000000004</v>
      </c>
      <c r="H8" s="4">
        <f>ROUNDUP( Tabela2[[#This Row],[Area(m²)]]/10*2,0)</f>
        <v>9</v>
      </c>
    </row>
    <row r="9" spans="1:21" ht="15" customHeight="1" x14ac:dyDescent="0.25">
      <c r="A9" s="4" t="s">
        <v>17</v>
      </c>
      <c r="B9" s="15">
        <f>Tabela2[[#This Row],[Length(m)]]/$L$6</f>
        <v>8.6971830985915499</v>
      </c>
      <c r="C9" s="15">
        <f>Tabela2[[#This Row],[Width(m)]]/$L$6</f>
        <v>5.3521126760563389</v>
      </c>
      <c r="D9" s="15">
        <v>4.9400000000000004</v>
      </c>
      <c r="E9" s="15">
        <v>3.04</v>
      </c>
      <c r="F9" s="4">
        <v>4</v>
      </c>
      <c r="G9" s="4">
        <f>ROUNDUP(Tabela2[[#This Row],[Length(m)]]*Tabela2[[#This Row],[Width(m)]],1)</f>
        <v>15.1</v>
      </c>
      <c r="H9" s="4">
        <f>ROUNDUP( Tabela2[[#This Row],[Area(m²)]]/10*2,0)</f>
        <v>4</v>
      </c>
    </row>
    <row r="10" spans="1:21" x14ac:dyDescent="0.25">
      <c r="A10" s="4" t="s">
        <v>18</v>
      </c>
      <c r="B10" s="15">
        <f>Tabela2[[#This Row],[Length(m)]]/$L$6</f>
        <v>8.6971830985915499</v>
      </c>
      <c r="C10" s="15">
        <f>Tabela2[[#This Row],[Width(m)]]/$L$6</f>
        <v>5.299295774647887</v>
      </c>
      <c r="D10" s="15">
        <v>4.9400000000000004</v>
      </c>
      <c r="E10" s="15">
        <v>3.01</v>
      </c>
      <c r="F10" s="4">
        <v>4</v>
      </c>
      <c r="G10" s="4">
        <f>ROUNDUP(Tabela2[[#This Row],[Length(m)]]*Tabela2[[#This Row],[Width(m)]],1)</f>
        <v>14.9</v>
      </c>
      <c r="H10" s="4">
        <f>ROUNDUP( Tabela2[[#This Row],[Area(m²)]]/10*2,0)</f>
        <v>3</v>
      </c>
    </row>
    <row r="11" spans="1:21" x14ac:dyDescent="0.25">
      <c r="A11" s="4" t="s">
        <v>19</v>
      </c>
      <c r="B11" s="15">
        <f>Tabela2[[#This Row],[Length(m)]]/$L$6</f>
        <v>8.6971830985915499</v>
      </c>
      <c r="C11" s="15">
        <f>Tabela2[[#This Row],[Width(m)]]/$L$6</f>
        <v>5.299295774647887</v>
      </c>
      <c r="D11" s="15">
        <v>4.9400000000000004</v>
      </c>
      <c r="E11" s="15">
        <v>3.01</v>
      </c>
      <c r="F11" s="4">
        <v>4</v>
      </c>
      <c r="G11" s="4">
        <f>ROUNDUP(Tabela2[[#This Row],[Length(m)]]*Tabela2[[#This Row],[Width(m)]],1)</f>
        <v>14.9</v>
      </c>
      <c r="H11" s="4">
        <f>ROUNDUP( Tabela2[[#This Row],[Area(m²)]]/10*2,0)</f>
        <v>3</v>
      </c>
    </row>
    <row r="12" spans="1:21" x14ac:dyDescent="0.25">
      <c r="A12" s="4" t="s">
        <v>20</v>
      </c>
      <c r="B12" s="15">
        <f>Tabela2[[#This Row],[Length(m)]]/$L$6</f>
        <v>8.6971830985915499</v>
      </c>
      <c r="C12" s="15">
        <f>Tabela2[[#This Row],[Width(m)]]/$L$6</f>
        <v>8.7323943661971839</v>
      </c>
      <c r="D12" s="15">
        <v>4.9400000000000004</v>
      </c>
      <c r="E12" s="15">
        <v>4.96</v>
      </c>
      <c r="F12" s="4">
        <v>4</v>
      </c>
      <c r="G12" s="4">
        <f>ROUNDUP(Tabela2[[#This Row],[Length(m)]]*Tabela2[[#This Row],[Width(m)]],1)</f>
        <v>24.6</v>
      </c>
      <c r="H12" s="4">
        <f>ROUNDUP( Tabela2[[#This Row],[Area(m²)]]/10*2,0)</f>
        <v>5</v>
      </c>
    </row>
    <row r="13" spans="1:21" x14ac:dyDescent="0.25">
      <c r="A13" s="4" t="s">
        <v>21</v>
      </c>
      <c r="B13" s="15">
        <f>Tabela2[[#This Row],[Length(m)]]/$L$6</f>
        <v>8.2042253521126778</v>
      </c>
      <c r="C13" s="15">
        <f>Tabela2[[#This Row],[Width(m)]]/$L$6</f>
        <v>10.211267605633804</v>
      </c>
      <c r="D13" s="15">
        <v>4.66</v>
      </c>
      <c r="E13" s="15">
        <v>5.8</v>
      </c>
      <c r="F13" s="4">
        <v>4</v>
      </c>
      <c r="G13" s="4">
        <f>ROUNDUP(Tabela2[[#This Row],[Length(m)]]*Tabela2[[#This Row],[Width(m)]],1)</f>
        <v>27.1</v>
      </c>
      <c r="H13" s="4">
        <f>ROUNDUP( Tabela2[[#This Row],[Area(m²)]]/10*2,0)</f>
        <v>6</v>
      </c>
    </row>
    <row r="14" spans="1:21" x14ac:dyDescent="0.25">
      <c r="A14" s="4" t="s">
        <v>22</v>
      </c>
      <c r="B14" s="15">
        <f>Tabela2[[#This Row],[Length(m)]]/$L$6</f>
        <v>12.517605633802818</v>
      </c>
      <c r="C14" s="15">
        <f>Tabela2[[#This Row],[Width(m)]]/$L$6</f>
        <v>10.211267605633804</v>
      </c>
      <c r="D14" s="15">
        <v>7.11</v>
      </c>
      <c r="E14" s="15">
        <v>5.8</v>
      </c>
      <c r="F14" s="4">
        <v>4</v>
      </c>
      <c r="G14" s="4">
        <f>ROUNDUP(Tabela2[[#This Row],[Length(m)]]*Tabela2[[#This Row],[Width(m)]],1)</f>
        <v>41.300000000000004</v>
      </c>
      <c r="H14" s="4">
        <f>ROUNDUP( Tabela2[[#This Row],[Area(m²)]]/10*2,0)</f>
        <v>9</v>
      </c>
    </row>
    <row r="18" spans="8:8" x14ac:dyDescent="0.25">
      <c r="H18" s="14"/>
    </row>
  </sheetData>
  <mergeCells count="1">
    <mergeCell ref="A1:U2"/>
  </mergeCells>
  <phoneticPr fontId="2" type="noConversion"/>
  <pageMargins left="0.7" right="0.7" top="0.75" bottom="0.75" header="0.3" footer="0.3"/>
  <pageSetup paperSize="9" scale="58" fitToHeight="0" orientation="landscape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4ACC-52D0-4A69-91C2-82EE1F1649EA}">
  <sheetPr>
    <pageSetUpPr fitToPage="1"/>
  </sheetPr>
  <dimension ref="A1:U18"/>
  <sheetViews>
    <sheetView view="pageBreakPreview" zoomScale="60" zoomScaleNormal="85" workbookViewId="0">
      <selection activeCell="I30" sqref="I30"/>
    </sheetView>
  </sheetViews>
  <sheetFormatPr defaultRowHeight="15" x14ac:dyDescent="0.25"/>
  <cols>
    <col min="1" max="1" width="20.7109375" bestFit="1" customWidth="1"/>
    <col min="2" max="2" width="12" bestFit="1" customWidth="1"/>
    <col min="3" max="3" width="10.5703125" bestFit="1" customWidth="1"/>
    <col min="4" max="4" width="10.140625" bestFit="1" customWidth="1"/>
    <col min="5" max="5" width="9.7109375" bestFit="1" customWidth="1"/>
    <col min="6" max="6" width="10" bestFit="1" customWidth="1"/>
    <col min="7" max="7" width="9" bestFit="1" customWidth="1"/>
    <col min="8" max="8" width="10.42578125" bestFit="1" customWidth="1"/>
  </cols>
  <sheetData>
    <row r="1" spans="1:21" ht="15" customHeight="1" x14ac:dyDescent="0.25">
      <c r="A1" s="89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1:21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4" spans="1:21" x14ac:dyDescent="0.25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1" t="s">
        <v>6</v>
      </c>
      <c r="H4" s="4" t="s">
        <v>10</v>
      </c>
      <c r="J4" s="11" t="s">
        <v>8</v>
      </c>
      <c r="K4" s="12" t="s">
        <v>311</v>
      </c>
      <c r="L4" s="13" t="s">
        <v>9</v>
      </c>
    </row>
    <row r="5" spans="1:21" x14ac:dyDescent="0.25">
      <c r="A5" s="4" t="s">
        <v>23</v>
      </c>
      <c r="B5" s="15">
        <f>Tabela22[[#This Row],[Length(m)]]/$L$6</f>
        <v>11.549295774647888</v>
      </c>
      <c r="C5" s="15">
        <f>Tabela22[[#This Row],[Width(m)]]/$L$6</f>
        <v>5.2640845070422539</v>
      </c>
      <c r="D5" s="15">
        <v>6.56</v>
      </c>
      <c r="E5" s="15">
        <v>2.99</v>
      </c>
      <c r="F5" s="4">
        <v>2.5</v>
      </c>
      <c r="G5" s="4">
        <f>ROUNDUP(Tabela22[[#This Row],[Length(m)]]*Tabela22[[#This Row],[Width(m)]],1)</f>
        <v>19.700000000000003</v>
      </c>
      <c r="H5" s="4">
        <f>ROUNDUP( Tabela22[[#This Row],[Area(m²)]]/10*2,0)</f>
        <v>4</v>
      </c>
      <c r="J5" s="8">
        <v>5</v>
      </c>
      <c r="K5" s="9" t="s">
        <v>7</v>
      </c>
      <c r="L5" s="10">
        <v>2.84</v>
      </c>
    </row>
    <row r="6" spans="1:21" x14ac:dyDescent="0.25">
      <c r="A6" s="4" t="s">
        <v>24</v>
      </c>
      <c r="B6" s="15">
        <f>Tabela22[[#This Row],[Length(m)]]/$L$6</f>
        <v>11.549295774647888</v>
      </c>
      <c r="C6" s="15">
        <f>Tabela22[[#This Row],[Width(m)]]/$L$6</f>
        <v>13.063380281690142</v>
      </c>
      <c r="D6" s="15">
        <v>6.56</v>
      </c>
      <c r="E6" s="15">
        <v>7.42</v>
      </c>
      <c r="F6" s="4">
        <v>2.5</v>
      </c>
      <c r="G6" s="4">
        <f>ROUNDUP(Tabela22[[#This Row],[Length(m)]]*Tabela22[[#This Row],[Width(m)]],1)</f>
        <v>48.7</v>
      </c>
      <c r="H6" s="4">
        <f>ROUNDUP( Tabela22[[#This Row],[Area(m²)]]/10*2,0)</f>
        <v>10</v>
      </c>
      <c r="J6" s="5">
        <v>1</v>
      </c>
      <c r="K6" s="6" t="s">
        <v>7</v>
      </c>
      <c r="L6" s="7">
        <f>L5/J5</f>
        <v>0.56799999999999995</v>
      </c>
    </row>
    <row r="7" spans="1:21" x14ac:dyDescent="0.25">
      <c r="A7" s="4" t="s">
        <v>25</v>
      </c>
      <c r="B7" s="15">
        <f>Tabela22[[#This Row],[Length(m)]]/$L$6</f>
        <v>11.549295774647888</v>
      </c>
      <c r="C7" s="15">
        <f>Tabela22[[#This Row],[Width(m)]]/$L$6</f>
        <v>14.524647887323946</v>
      </c>
      <c r="D7" s="15">
        <v>6.56</v>
      </c>
      <c r="E7" s="15">
        <v>8.25</v>
      </c>
      <c r="F7" s="4">
        <v>2.5</v>
      </c>
      <c r="G7" s="4">
        <f>ROUNDUP(Tabela22[[#This Row],[Length(m)]]*Tabela22[[#This Row],[Width(m)]],1)</f>
        <v>54.2</v>
      </c>
      <c r="H7" s="4">
        <f>ROUNDUP( Tabela22[[#This Row],[Area(m²)]]/10*2,0)</f>
        <v>11</v>
      </c>
    </row>
    <row r="8" spans="1:21" x14ac:dyDescent="0.25">
      <c r="A8" s="4" t="s">
        <v>26</v>
      </c>
      <c r="B8" s="15">
        <f>Tabela22[[#This Row],[Length(m)]]/$L$6</f>
        <v>8.7323943661971839</v>
      </c>
      <c r="C8" s="15">
        <f>Tabela22[[#This Row],[Width(m)]]/$L$6</f>
        <v>4.9295774647887329</v>
      </c>
      <c r="D8" s="15">
        <v>4.96</v>
      </c>
      <c r="E8" s="15">
        <v>2.8</v>
      </c>
      <c r="F8" s="4">
        <v>2.5</v>
      </c>
      <c r="G8" s="4">
        <f>ROUNDUP(Tabela22[[#This Row],[Length(m)]]*Tabela22[[#This Row],[Width(m)]],1)</f>
        <v>13.9</v>
      </c>
      <c r="H8" s="4">
        <f>ROUNDUP( Tabela22[[#This Row],[Area(m²)]]/10*2,0)</f>
        <v>3</v>
      </c>
    </row>
    <row r="9" spans="1:21" x14ac:dyDescent="0.25">
      <c r="A9" s="4" t="s">
        <v>27</v>
      </c>
      <c r="B9" s="15">
        <f>Tabela22[[#This Row],[Length(m)]]/$L$6</f>
        <v>8.7323943661971839</v>
      </c>
      <c r="C9" s="15">
        <f>Tabela22[[#This Row],[Width(m)]]/$L$6</f>
        <v>4.9295774647887329</v>
      </c>
      <c r="D9" s="15">
        <v>4.96</v>
      </c>
      <c r="E9" s="15">
        <v>2.8</v>
      </c>
      <c r="F9" s="4">
        <v>2.5</v>
      </c>
      <c r="G9" s="4">
        <f>ROUNDUP(Tabela22[[#This Row],[Length(m)]]*Tabela22[[#This Row],[Width(m)]],1)</f>
        <v>13.9</v>
      </c>
      <c r="H9" s="4">
        <f>ROUNDUP( Tabela22[[#This Row],[Area(m²)]]/10*2,0)</f>
        <v>3</v>
      </c>
    </row>
    <row r="10" spans="1:21" x14ac:dyDescent="0.25">
      <c r="A10" s="4" t="s">
        <v>28</v>
      </c>
      <c r="B10" s="15">
        <f>Tabela22[[#This Row],[Length(m)]]/$L$6</f>
        <v>8.7323943661971839</v>
      </c>
      <c r="C10" s="15">
        <f>Tabela22[[#This Row],[Width(m)]]/$L$6</f>
        <v>4.9295774647887329</v>
      </c>
      <c r="D10" s="15">
        <v>4.96</v>
      </c>
      <c r="E10" s="15">
        <v>2.8</v>
      </c>
      <c r="F10" s="4">
        <v>2.5</v>
      </c>
      <c r="G10" s="4">
        <f>ROUNDUP(Tabela22[[#This Row],[Length(m)]]*Tabela22[[#This Row],[Width(m)]],1)</f>
        <v>13.9</v>
      </c>
      <c r="H10" s="4">
        <f>ROUNDUP( Tabela22[[#This Row],[Area(m²)]]/10*2,0)</f>
        <v>3</v>
      </c>
    </row>
    <row r="11" spans="1:21" x14ac:dyDescent="0.25">
      <c r="A11" s="4" t="s">
        <v>29</v>
      </c>
      <c r="B11" s="15">
        <f>Tabela22[[#This Row],[Length(m)]]/$L$6</f>
        <v>8.7323943661971839</v>
      </c>
      <c r="C11" s="15">
        <f>Tabela22[[#This Row],[Width(m)]]/$L$6</f>
        <v>4.9295774647887329</v>
      </c>
      <c r="D11" s="15">
        <v>4.96</v>
      </c>
      <c r="E11" s="15">
        <v>2.8</v>
      </c>
      <c r="F11" s="4">
        <v>2.5</v>
      </c>
      <c r="G11" s="4">
        <f>ROUNDUP(Tabela22[[#This Row],[Length(m)]]*Tabela22[[#This Row],[Width(m)]],1)</f>
        <v>13.9</v>
      </c>
      <c r="H11" s="4">
        <f>ROUNDUP( Tabela22[[#This Row],[Area(m²)]]/10*2,0)</f>
        <v>3</v>
      </c>
    </row>
    <row r="12" spans="1:21" x14ac:dyDescent="0.25">
      <c r="A12" s="4" t="s">
        <v>30</v>
      </c>
      <c r="B12" s="15">
        <f>Tabela22[[#This Row],[Length(m)]]/$L$6</f>
        <v>8.7323943661971839</v>
      </c>
      <c r="C12" s="15">
        <f>Tabela22[[#This Row],[Width(m)]]/$L$6</f>
        <v>4.9295774647887329</v>
      </c>
      <c r="D12" s="15">
        <v>4.96</v>
      </c>
      <c r="E12" s="15">
        <v>2.8</v>
      </c>
      <c r="F12" s="4">
        <v>2.5</v>
      </c>
      <c r="G12" s="4">
        <f>ROUNDUP(Tabela22[[#This Row],[Length(m)]]*Tabela22[[#This Row],[Width(m)]],1)</f>
        <v>13.9</v>
      </c>
      <c r="H12" s="4">
        <f>ROUNDUP( Tabela22[[#This Row],[Area(m²)]]/10*2,0)</f>
        <v>3</v>
      </c>
    </row>
    <row r="13" spans="1:21" x14ac:dyDescent="0.25">
      <c r="A13" s="4" t="s">
        <v>31</v>
      </c>
      <c r="B13" s="15">
        <f>Tabela22[[#This Row],[Length(m)]]/$L$6</f>
        <v>8.7323943661971839</v>
      </c>
      <c r="C13" s="15">
        <f>Tabela22[[#This Row],[Width(m)]]/$L$6</f>
        <v>4.9295774647887329</v>
      </c>
      <c r="D13" s="15">
        <v>4.96</v>
      </c>
      <c r="E13" s="15">
        <v>2.8</v>
      </c>
      <c r="F13" s="4">
        <v>2.5</v>
      </c>
      <c r="G13" s="4">
        <f>ROUNDUP(Tabela22[[#This Row],[Length(m)]]*Tabela22[[#This Row],[Width(m)]],1)</f>
        <v>13.9</v>
      </c>
      <c r="H13" s="4">
        <f>ROUNDUP( Tabela22[[#This Row],[Area(m²)]]/10*2,0)</f>
        <v>3</v>
      </c>
    </row>
    <row r="14" spans="1:21" x14ac:dyDescent="0.25">
      <c r="A14" s="4" t="s">
        <v>32</v>
      </c>
      <c r="B14" s="15">
        <f>Tabela22[[#This Row],[Length(m)]]/$L$6</f>
        <v>8.7323943661971839</v>
      </c>
      <c r="C14" s="15">
        <f>Tabela22[[#This Row],[Width(m)]]/$L$6</f>
        <v>4.9295774647887329</v>
      </c>
      <c r="D14" s="15">
        <v>4.96</v>
      </c>
      <c r="E14" s="15">
        <v>2.8</v>
      </c>
      <c r="F14" s="4">
        <v>2.5</v>
      </c>
      <c r="G14" s="4">
        <f>ROUNDUP(Tabela22[[#This Row],[Length(m)]]*Tabela22[[#This Row],[Width(m)]],1)</f>
        <v>13.9</v>
      </c>
      <c r="H14" s="4">
        <f>ROUNDUP( Tabela22[[#This Row],[Area(m²)]]/10*2,0)</f>
        <v>3</v>
      </c>
    </row>
    <row r="15" spans="1:21" x14ac:dyDescent="0.25">
      <c r="A15" s="4" t="s">
        <v>33</v>
      </c>
      <c r="B15" s="15">
        <f>Tabela22[[#This Row],[Length(m)]]/$L$6</f>
        <v>8.7323943661971839</v>
      </c>
      <c r="C15" s="15">
        <f>Tabela22[[#This Row],[Width(m)]]/$L$6</f>
        <v>4.9295774647887329</v>
      </c>
      <c r="D15" s="15">
        <v>4.96</v>
      </c>
      <c r="E15" s="15">
        <v>2.8</v>
      </c>
      <c r="F15" s="4">
        <v>2.5</v>
      </c>
      <c r="G15" s="4">
        <f>ROUNDUP(Tabela22[[#This Row],[Length(m)]]*Tabela22[[#This Row],[Width(m)]],1)</f>
        <v>13.9</v>
      </c>
      <c r="H15" s="4">
        <f>ROUNDUP( Tabela22[[#This Row],[Area(m²)]]/10*2,0)</f>
        <v>3</v>
      </c>
    </row>
    <row r="16" spans="1:21" x14ac:dyDescent="0.25">
      <c r="A16" s="4" t="s">
        <v>34</v>
      </c>
      <c r="B16" s="15">
        <f>Tabela22[[#This Row],[Length(m)]]/$L$6</f>
        <v>8.7323943661971839</v>
      </c>
      <c r="C16" s="15">
        <f>Tabela22[[#This Row],[Width(m)]]/$L$6</f>
        <v>4.9295774647887329</v>
      </c>
      <c r="D16" s="15">
        <v>4.96</v>
      </c>
      <c r="E16" s="15">
        <v>2.8</v>
      </c>
      <c r="F16" s="4">
        <v>2.5</v>
      </c>
      <c r="G16" s="4">
        <f>ROUNDUP(Tabela22[[#This Row],[Length(m)]]*Tabela22[[#This Row],[Width(m)]],1)</f>
        <v>13.9</v>
      </c>
      <c r="H16" s="4">
        <f>ROUNDUP( Tabela22[[#This Row],[Area(m²)]]/10*2,0)</f>
        <v>3</v>
      </c>
    </row>
    <row r="17" spans="1:8" x14ac:dyDescent="0.25">
      <c r="A17" s="4" t="s">
        <v>35</v>
      </c>
      <c r="B17" s="15">
        <f>Tabela22[[#This Row],[Length(m)]]/$L$6</f>
        <v>8.7323943661971839</v>
      </c>
      <c r="C17" s="15">
        <f>Tabela22[[#This Row],[Width(m)]]/$L$6</f>
        <v>4.9295774647887329</v>
      </c>
      <c r="D17" s="15">
        <v>4.96</v>
      </c>
      <c r="E17" s="15">
        <v>2.8</v>
      </c>
      <c r="F17" s="4">
        <v>2.5</v>
      </c>
      <c r="G17" s="4">
        <f>ROUNDUP(Tabela22[[#This Row],[Length(m)]]*Tabela22[[#This Row],[Width(m)]],1)</f>
        <v>13.9</v>
      </c>
      <c r="H17" s="4">
        <f>ROUNDUP( Tabela22[[#This Row],[Area(m²)]]/10*2,0)</f>
        <v>3</v>
      </c>
    </row>
    <row r="18" spans="1:8" x14ac:dyDescent="0.25">
      <c r="A18" s="4" t="s">
        <v>36</v>
      </c>
      <c r="B18" s="15">
        <f>Tabela22[[#This Row],[Length(m)]]/$L$6</f>
        <v>12.482394366197184</v>
      </c>
      <c r="C18" s="15">
        <f>Tabela22[[#This Row],[Width(m)]]/$L$6</f>
        <v>10.17605633802817</v>
      </c>
      <c r="D18" s="15">
        <v>7.09</v>
      </c>
      <c r="E18" s="15">
        <v>5.78</v>
      </c>
      <c r="F18" s="4">
        <v>2.5</v>
      </c>
      <c r="G18" s="4">
        <f>ROUNDUP(Tabela22[[#This Row],[Length(m)]]*Tabela22[[#This Row],[Width(m)]],1)</f>
        <v>41</v>
      </c>
      <c r="H18" s="4">
        <f>ROUNDUP( Tabela22[[#This Row],[Area(m²)]]/10*2,0)</f>
        <v>9</v>
      </c>
    </row>
  </sheetData>
  <mergeCells count="1">
    <mergeCell ref="A1:U2"/>
  </mergeCells>
  <phoneticPr fontId="2" type="noConversion"/>
  <pageMargins left="0.7" right="0.7" top="0.75" bottom="0.75" header="0.3" footer="0.3"/>
  <pageSetup paperSize="9" scale="61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A7C8-9F73-4897-97DA-D3BF989EDF0B}">
  <sheetPr>
    <pageSetUpPr fitToPage="1"/>
  </sheetPr>
  <dimension ref="A1"/>
  <sheetViews>
    <sheetView view="pageBreakPreview" zoomScale="10" zoomScaleNormal="25" zoomScaleSheetLayoutView="10" workbookViewId="0">
      <selection activeCell="BW388" sqref="BW388"/>
    </sheetView>
  </sheetViews>
  <sheetFormatPr defaultRowHeight="15" x14ac:dyDescent="0.25"/>
  <sheetData/>
  <pageMargins left="0.7" right="0.7" top="0.75" bottom="0.75" header="0.3" footer="0.3"/>
  <pageSetup paperSize="9" scale="1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B51A-8F37-41E3-A14C-01CCFA123057}">
  <sheetPr>
    <pageSetUpPr fitToPage="1"/>
  </sheetPr>
  <dimension ref="A1"/>
  <sheetViews>
    <sheetView view="pageBreakPreview" zoomScale="25" zoomScaleNormal="10" zoomScaleSheetLayoutView="25" workbookViewId="0">
      <selection activeCell="AT155" sqref="AT155"/>
    </sheetView>
  </sheetViews>
  <sheetFormatPr defaultRowHeight="15" x14ac:dyDescent="0.25"/>
  <sheetData/>
  <pageMargins left="0.7" right="0.7" top="0.75" bottom="0.75" header="0.3" footer="0.3"/>
  <pageSetup paperSize="9" scale="18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98F9-B365-496B-966F-C16339BBDE93}">
  <sheetPr>
    <pageSetUpPr fitToPage="1"/>
  </sheetPr>
  <dimension ref="B1:P61"/>
  <sheetViews>
    <sheetView zoomScale="85" zoomScaleNormal="85" zoomScaleSheetLayoutView="55" workbookViewId="0">
      <selection activeCell="J1" sqref="J1:J1048576"/>
    </sheetView>
  </sheetViews>
  <sheetFormatPr defaultRowHeight="15" x14ac:dyDescent="0.25"/>
  <cols>
    <col min="2" max="4" width="13.42578125" customWidth="1"/>
    <col min="5" max="5" width="24.7109375" style="17" customWidth="1"/>
    <col min="6" max="6" width="47.5703125" customWidth="1"/>
    <col min="7" max="9" width="26.5703125" customWidth="1"/>
    <col min="10" max="11" width="21.7109375" bestFit="1" customWidth="1"/>
    <col min="12" max="12" width="18" customWidth="1"/>
    <col min="13" max="13" width="12.5703125" customWidth="1"/>
    <col min="15" max="15" width="27.140625" bestFit="1" customWidth="1"/>
  </cols>
  <sheetData>
    <row r="1" spans="2:16" ht="15.75" thickBot="1" x14ac:dyDescent="0.3"/>
    <row r="2" spans="2:16" ht="75.75" thickBot="1" x14ac:dyDescent="0.3">
      <c r="B2" s="61" t="s">
        <v>37</v>
      </c>
      <c r="C2" s="39" t="s">
        <v>38</v>
      </c>
      <c r="D2" s="39" t="s">
        <v>39</v>
      </c>
      <c r="E2" s="62" t="s">
        <v>46</v>
      </c>
      <c r="F2" s="39" t="s">
        <v>40</v>
      </c>
      <c r="G2" s="39" t="s">
        <v>312</v>
      </c>
      <c r="H2" s="39" t="s">
        <v>142</v>
      </c>
      <c r="I2" s="39" t="s">
        <v>143</v>
      </c>
      <c r="J2" s="63" t="s">
        <v>269</v>
      </c>
      <c r="K2" s="63" t="s">
        <v>328</v>
      </c>
      <c r="L2" s="64" t="s">
        <v>268</v>
      </c>
      <c r="M2" s="65" t="s">
        <v>271</v>
      </c>
      <c r="N2" s="65" t="s">
        <v>302</v>
      </c>
    </row>
    <row r="3" spans="2:16" ht="15.75" thickBot="1" x14ac:dyDescent="0.3">
      <c r="B3" s="34" t="s">
        <v>13</v>
      </c>
      <c r="C3" s="39" t="s">
        <v>292</v>
      </c>
      <c r="D3" s="39" t="s">
        <v>41</v>
      </c>
      <c r="E3" s="36">
        <v>4.3</v>
      </c>
      <c r="F3" s="35" t="s">
        <v>140</v>
      </c>
      <c r="G3" s="36">
        <f>E3+1</f>
        <v>5.3</v>
      </c>
      <c r="H3" s="36">
        <f>G3*1.2</f>
        <v>6.3599999999999994</v>
      </c>
      <c r="I3" s="75">
        <f>_xlfn.CEILING.MATH(H3,1,0)</f>
        <v>7</v>
      </c>
      <c r="J3" s="76">
        <v>5</v>
      </c>
      <c r="K3" s="76">
        <f>5*M3</f>
        <v>10</v>
      </c>
      <c r="L3" s="77" t="str">
        <f>IF(K3&lt;=12,"1 of 12",IF(K3&lt;=24,"1 of 24",IF(K3&lt;=48,"1 of 48",0)))</f>
        <v>1 of 12</v>
      </c>
      <c r="M3" s="74">
        <v>2</v>
      </c>
      <c r="N3" s="73" t="s">
        <v>303</v>
      </c>
    </row>
    <row r="4" spans="2:16" ht="15.75" thickBot="1" x14ac:dyDescent="0.3">
      <c r="B4" s="96" t="s">
        <v>14</v>
      </c>
      <c r="C4" s="51" t="s">
        <v>41</v>
      </c>
      <c r="D4" s="51" t="s">
        <v>42</v>
      </c>
      <c r="E4" s="41">
        <v>0.5</v>
      </c>
      <c r="F4" s="40" t="s">
        <v>140</v>
      </c>
      <c r="G4" s="41">
        <f>+E4+1</f>
        <v>1.5</v>
      </c>
      <c r="H4" s="41">
        <f>G4*1.2</f>
        <v>1.7999999999999998</v>
      </c>
      <c r="I4" s="16">
        <f t="shared" ref="I4:I59" si="0">_xlfn.CEILING.MATH(H4,1,0)</f>
        <v>2</v>
      </c>
      <c r="J4" s="24">
        <v>7</v>
      </c>
      <c r="K4" s="24">
        <f>2*M4+5*M4</f>
        <v>14</v>
      </c>
      <c r="L4" s="60" t="str">
        <f>IF(K4&lt;=12,"1 of 12",IF(K4&lt;=24,"1 of 24",IF(K4&lt;=48,"1 of 48",0)))</f>
        <v>1 of 24</v>
      </c>
      <c r="M4" s="59">
        <v>2</v>
      </c>
      <c r="N4" s="73" t="str">
        <f>IF(OR(L4="1 of 12",L4="1 of 24"),"12U","24U")</f>
        <v>12U</v>
      </c>
      <c r="O4" t="s">
        <v>295</v>
      </c>
      <c r="P4" s="73">
        <f>COUNTIF($L$4:$L$59,"1 of 12")</f>
        <v>1</v>
      </c>
    </row>
    <row r="5" spans="2:16" ht="15.75" thickBot="1" x14ac:dyDescent="0.3">
      <c r="B5" s="94"/>
      <c r="C5" s="49" t="s">
        <v>42</v>
      </c>
      <c r="D5" s="49" t="s">
        <v>43</v>
      </c>
      <c r="E5" s="16">
        <v>0.5</v>
      </c>
      <c r="F5" s="19" t="s">
        <v>140</v>
      </c>
      <c r="G5" s="16">
        <f>+E5+1</f>
        <v>1.5</v>
      </c>
      <c r="H5" s="16">
        <f t="shared" ref="H5:H59" si="1">G5*1.2</f>
        <v>1.7999999999999998</v>
      </c>
      <c r="I5" s="16">
        <f t="shared" si="0"/>
        <v>2</v>
      </c>
      <c r="J5" s="78"/>
      <c r="K5" s="25"/>
      <c r="L5" s="48"/>
      <c r="O5" t="s">
        <v>296</v>
      </c>
      <c r="P5" s="73">
        <f>COUNTIF($L$4:$L$59,"1 of 24")</f>
        <v>5</v>
      </c>
    </row>
    <row r="6" spans="2:16" ht="15.75" thickBot="1" x14ac:dyDescent="0.3">
      <c r="B6" s="95"/>
      <c r="C6" s="50" t="s">
        <v>43</v>
      </c>
      <c r="D6" s="50" t="s">
        <v>270</v>
      </c>
      <c r="E6" s="32"/>
      <c r="F6" s="31"/>
      <c r="G6" s="32"/>
      <c r="H6" s="32"/>
      <c r="I6" s="32"/>
      <c r="J6" s="79">
        <f>(COUNTIF(D7:D59,"CP")+1)</f>
        <v>6</v>
      </c>
      <c r="K6" s="42">
        <f>(COUNTIF(D7:D59,"CP")+1)*M6</f>
        <v>18</v>
      </c>
      <c r="L6" s="43" t="str">
        <f>IF(K6&lt;=12,"1 of 12",IF(K6&lt;=24,"1 of 24",IF(K6&lt;=48,"1 of 48",0)))</f>
        <v>1 of 24</v>
      </c>
      <c r="M6" s="74">
        <v>3</v>
      </c>
      <c r="N6" s="73" t="str">
        <f>IF(OR(L6="1 of 12",L6="1 of 24"),"12U","24U")</f>
        <v>12U</v>
      </c>
      <c r="O6" t="s">
        <v>324</v>
      </c>
      <c r="P6" s="73">
        <f>COUNTIF($L$3:$L$68,"1 of 48")</f>
        <v>1</v>
      </c>
    </row>
    <row r="7" spans="2:16" ht="15.75" thickBot="1" x14ac:dyDescent="0.3">
      <c r="B7" s="96" t="s">
        <v>15</v>
      </c>
      <c r="C7" s="51" t="s">
        <v>43</v>
      </c>
      <c r="D7" s="51" t="s">
        <v>44</v>
      </c>
      <c r="E7" s="41">
        <v>2</v>
      </c>
      <c r="F7" s="40" t="s">
        <v>140</v>
      </c>
      <c r="G7" s="41">
        <f>+E7+1</f>
        <v>3</v>
      </c>
      <c r="H7" s="41">
        <f t="shared" si="1"/>
        <v>3.5999999999999996</v>
      </c>
      <c r="I7" s="41">
        <f t="shared" si="0"/>
        <v>4</v>
      </c>
      <c r="J7" s="91">
        <f>COUNTA(C8:C14)</f>
        <v>7</v>
      </c>
      <c r="K7" s="91">
        <f>COUNTA(C8:C14)*M7</f>
        <v>14</v>
      </c>
      <c r="L7" s="98" t="str">
        <f>IF(K7&lt;=12,"1 of 12",IF(K7&lt;=24,"1 of 24",IF(K7&lt;=48,"1 of 48",0)))</f>
        <v>1 of 24</v>
      </c>
      <c r="M7" s="59">
        <v>2</v>
      </c>
      <c r="N7" s="73" t="str">
        <f>IF(OR(L7="1 of 12",L7="1 of 24"),"12U","24U")</f>
        <v>12U</v>
      </c>
    </row>
    <row r="8" spans="2:16" x14ac:dyDescent="0.25">
      <c r="B8" s="94"/>
      <c r="C8" s="19" t="s">
        <v>44</v>
      </c>
      <c r="D8" s="19" t="s">
        <v>45</v>
      </c>
      <c r="E8" s="16">
        <f>+(3/4)*6.6</f>
        <v>4.9499999999999993</v>
      </c>
      <c r="F8" s="19" t="s">
        <v>55</v>
      </c>
      <c r="G8" s="16">
        <f>+E8+1</f>
        <v>5.9499999999999993</v>
      </c>
      <c r="H8" s="16">
        <f t="shared" si="1"/>
        <v>7.1399999999999988</v>
      </c>
      <c r="I8" s="16">
        <f t="shared" si="0"/>
        <v>8</v>
      </c>
      <c r="J8" s="91"/>
      <c r="K8" s="91"/>
      <c r="L8" s="98"/>
    </row>
    <row r="9" spans="2:16" ht="15.75" thickBot="1" x14ac:dyDescent="0.3">
      <c r="B9" s="94"/>
      <c r="C9" s="19" t="s">
        <v>44</v>
      </c>
      <c r="D9" s="19" t="s">
        <v>47</v>
      </c>
      <c r="E9" s="16">
        <f>+(2/4)*6.6</f>
        <v>3.3</v>
      </c>
      <c r="F9" s="19" t="s">
        <v>56</v>
      </c>
      <c r="G9" s="16">
        <f t="shared" ref="G9:G13" si="2">+E9+1</f>
        <v>4.3</v>
      </c>
      <c r="H9" s="16">
        <f t="shared" si="1"/>
        <v>5.1599999999999993</v>
      </c>
      <c r="I9" s="16">
        <f t="shared" si="0"/>
        <v>6</v>
      </c>
      <c r="J9" s="91"/>
      <c r="K9" s="91"/>
      <c r="L9" s="98"/>
    </row>
    <row r="10" spans="2:16" ht="15.75" thickBot="1" x14ac:dyDescent="0.3">
      <c r="B10" s="94"/>
      <c r="C10" s="19" t="s">
        <v>44</v>
      </c>
      <c r="D10" s="19" t="s">
        <v>48</v>
      </c>
      <c r="E10" s="16">
        <f>+(1/4)*6.6</f>
        <v>1.65</v>
      </c>
      <c r="F10" s="19" t="s">
        <v>57</v>
      </c>
      <c r="G10" s="16">
        <f t="shared" si="2"/>
        <v>2.65</v>
      </c>
      <c r="H10" s="16">
        <f t="shared" si="1"/>
        <v>3.1799999999999997</v>
      </c>
      <c r="I10" s="16">
        <f t="shared" si="0"/>
        <v>4</v>
      </c>
      <c r="J10" s="91"/>
      <c r="K10" s="91"/>
      <c r="L10" s="98"/>
    </row>
    <row r="11" spans="2:16" ht="15.75" thickBot="1" x14ac:dyDescent="0.3">
      <c r="B11" s="94"/>
      <c r="C11" s="19" t="s">
        <v>44</v>
      </c>
      <c r="D11" s="19" t="s">
        <v>49</v>
      </c>
      <c r="E11" s="16">
        <f>4.42/2</f>
        <v>2.21</v>
      </c>
      <c r="F11" s="19" t="s">
        <v>58</v>
      </c>
      <c r="G11" s="16">
        <f t="shared" si="2"/>
        <v>3.21</v>
      </c>
      <c r="H11" s="16">
        <f t="shared" si="1"/>
        <v>3.8519999999999999</v>
      </c>
      <c r="I11" s="16">
        <f t="shared" si="0"/>
        <v>4</v>
      </c>
      <c r="J11" s="91"/>
      <c r="K11" s="91"/>
      <c r="L11" s="98"/>
    </row>
    <row r="12" spans="2:16" ht="15.75" thickBot="1" x14ac:dyDescent="0.3">
      <c r="B12" s="94"/>
      <c r="C12" s="19" t="s">
        <v>44</v>
      </c>
      <c r="D12" s="19" t="s">
        <v>50</v>
      </c>
      <c r="E12" s="16">
        <f>4.42+((1/4)*6.6)</f>
        <v>6.07</v>
      </c>
      <c r="F12" s="19" t="s">
        <v>59</v>
      </c>
      <c r="G12" s="16">
        <f t="shared" si="2"/>
        <v>7.07</v>
      </c>
      <c r="H12" s="16">
        <f t="shared" si="1"/>
        <v>8.484</v>
      </c>
      <c r="I12" s="16">
        <f t="shared" si="0"/>
        <v>9</v>
      </c>
      <c r="J12" s="91"/>
      <c r="K12" s="91"/>
      <c r="L12" s="98"/>
    </row>
    <row r="13" spans="2:16" ht="15.75" thickBot="1" x14ac:dyDescent="0.3">
      <c r="B13" s="94"/>
      <c r="C13" s="19" t="s">
        <v>44</v>
      </c>
      <c r="D13" s="19" t="s">
        <v>51</v>
      </c>
      <c r="E13" s="16">
        <f>4.42+((2/4)*6.6)</f>
        <v>7.72</v>
      </c>
      <c r="F13" s="19" t="s">
        <v>60</v>
      </c>
      <c r="G13" s="16">
        <f t="shared" si="2"/>
        <v>8.7199999999999989</v>
      </c>
      <c r="H13" s="16">
        <f t="shared" si="1"/>
        <v>10.463999999999999</v>
      </c>
      <c r="I13" s="16">
        <f t="shared" si="0"/>
        <v>11</v>
      </c>
      <c r="J13" s="91"/>
      <c r="K13" s="91"/>
      <c r="L13" s="98"/>
    </row>
    <row r="14" spans="2:16" ht="15.75" thickBot="1" x14ac:dyDescent="0.3">
      <c r="B14" s="95"/>
      <c r="C14" s="31" t="s">
        <v>44</v>
      </c>
      <c r="D14" s="31" t="s">
        <v>62</v>
      </c>
      <c r="E14" s="32">
        <f>4.42+((3/4)*6.6)</f>
        <v>9.3699999999999992</v>
      </c>
      <c r="F14" s="31" t="s">
        <v>61</v>
      </c>
      <c r="G14" s="32">
        <f>+E14+1</f>
        <v>10.37</v>
      </c>
      <c r="H14" s="32">
        <f t="shared" si="1"/>
        <v>12.443999999999999</v>
      </c>
      <c r="I14" s="32">
        <f t="shared" si="0"/>
        <v>13</v>
      </c>
      <c r="J14" s="92"/>
      <c r="K14" s="92"/>
      <c r="L14" s="99"/>
    </row>
    <row r="15" spans="2:16" ht="15.75" thickBot="1" x14ac:dyDescent="0.3">
      <c r="B15" s="93" t="s">
        <v>16</v>
      </c>
      <c r="C15" s="38" t="s">
        <v>43</v>
      </c>
      <c r="D15" s="38" t="s">
        <v>44</v>
      </c>
      <c r="E15" s="30">
        <f>2+4.42+0.38</f>
        <v>6.8</v>
      </c>
      <c r="F15" s="29" t="s">
        <v>63</v>
      </c>
      <c r="G15" s="41">
        <f>+E15+1</f>
        <v>7.8</v>
      </c>
      <c r="H15" s="30">
        <f t="shared" si="1"/>
        <v>9.36</v>
      </c>
      <c r="I15" s="30">
        <f t="shared" si="0"/>
        <v>10</v>
      </c>
      <c r="J15" s="90">
        <f>COUNTA(C16:C24)</f>
        <v>9</v>
      </c>
      <c r="K15" s="90">
        <f>COUNTA(C16:C24)*M15</f>
        <v>18</v>
      </c>
      <c r="L15" s="97" t="str">
        <f>IF(K15&lt;=12,"1 of 12",IF(K15&lt;=24,"1 of 24",IF(K15&lt;=48,"1 of 48",0)))</f>
        <v>1 of 24</v>
      </c>
      <c r="M15" s="59">
        <v>2</v>
      </c>
      <c r="N15" s="73" t="str">
        <f>IF(OR(L15="1 of 12",L15="1 of 24"),"12U","24U")</f>
        <v>12U</v>
      </c>
    </row>
    <row r="16" spans="2:16" x14ac:dyDescent="0.25">
      <c r="B16" s="94"/>
      <c r="C16" s="19" t="s">
        <v>44</v>
      </c>
      <c r="D16" s="19" t="s">
        <v>64</v>
      </c>
      <c r="E16" s="16">
        <f>+(1/3)*6.6</f>
        <v>2.1999999999999997</v>
      </c>
      <c r="F16" s="19" t="s">
        <v>73</v>
      </c>
      <c r="G16" s="16">
        <f>+E16+1</f>
        <v>3.1999999999999997</v>
      </c>
      <c r="H16" s="16">
        <f t="shared" si="1"/>
        <v>3.8399999999999994</v>
      </c>
      <c r="I16" s="16">
        <f t="shared" si="0"/>
        <v>4</v>
      </c>
      <c r="J16" s="91"/>
      <c r="K16" s="91"/>
      <c r="L16" s="98"/>
    </row>
    <row r="17" spans="2:14" ht="15.75" thickBot="1" x14ac:dyDescent="0.3">
      <c r="B17" s="94"/>
      <c r="C17" s="19" t="s">
        <v>44</v>
      </c>
      <c r="D17" s="19" t="s">
        <v>65</v>
      </c>
      <c r="E17" s="16">
        <f>+(2/3)*6.6</f>
        <v>4.3999999999999995</v>
      </c>
      <c r="F17" s="19" t="s">
        <v>74</v>
      </c>
      <c r="G17" s="16">
        <f t="shared" ref="G17:G23" si="3">+E17+1</f>
        <v>5.3999999999999995</v>
      </c>
      <c r="H17" s="16">
        <f t="shared" si="1"/>
        <v>6.4799999999999995</v>
      </c>
      <c r="I17" s="16">
        <f t="shared" si="0"/>
        <v>7</v>
      </c>
      <c r="J17" s="91"/>
      <c r="K17" s="91"/>
      <c r="L17" s="98"/>
    </row>
    <row r="18" spans="2:14" ht="15.75" thickBot="1" x14ac:dyDescent="0.3">
      <c r="B18" s="94"/>
      <c r="C18" s="19" t="s">
        <v>44</v>
      </c>
      <c r="D18" s="19" t="s">
        <v>66</v>
      </c>
      <c r="E18" s="16">
        <f>+(1/3)*4.34</f>
        <v>1.4466666666666665</v>
      </c>
      <c r="F18" s="19" t="s">
        <v>52</v>
      </c>
      <c r="G18" s="16">
        <f t="shared" si="3"/>
        <v>2.4466666666666663</v>
      </c>
      <c r="H18" s="16">
        <f t="shared" si="1"/>
        <v>2.9359999999999995</v>
      </c>
      <c r="I18" s="16">
        <f t="shared" si="0"/>
        <v>3</v>
      </c>
      <c r="J18" s="91"/>
      <c r="K18" s="91"/>
      <c r="L18" s="98"/>
    </row>
    <row r="19" spans="2:14" ht="15.75" thickBot="1" x14ac:dyDescent="0.3">
      <c r="B19" s="94"/>
      <c r="C19" s="19" t="s">
        <v>44</v>
      </c>
      <c r="D19" s="19" t="s">
        <v>67</v>
      </c>
      <c r="E19" s="16">
        <f>+(2/3)*4.34</f>
        <v>2.8933333333333331</v>
      </c>
      <c r="F19" s="19" t="s">
        <v>53</v>
      </c>
      <c r="G19" s="16">
        <f t="shared" si="3"/>
        <v>3.8933333333333331</v>
      </c>
      <c r="H19" s="16">
        <f t="shared" si="1"/>
        <v>4.6719999999999997</v>
      </c>
      <c r="I19" s="16">
        <f t="shared" si="0"/>
        <v>5</v>
      </c>
      <c r="J19" s="91"/>
      <c r="K19" s="91"/>
      <c r="L19" s="98"/>
    </row>
    <row r="20" spans="2:14" ht="15.75" thickBot="1" x14ac:dyDescent="0.3">
      <c r="B20" s="94"/>
      <c r="C20" s="19" t="s">
        <v>44</v>
      </c>
      <c r="D20" s="19" t="s">
        <v>68</v>
      </c>
      <c r="E20" s="16">
        <f>4.34+(6.64-4.34)/2</f>
        <v>5.49</v>
      </c>
      <c r="F20" s="19" t="s">
        <v>54</v>
      </c>
      <c r="G20" s="16">
        <f t="shared" si="3"/>
        <v>6.49</v>
      </c>
      <c r="H20" s="16">
        <f t="shared" si="1"/>
        <v>7.7880000000000003</v>
      </c>
      <c r="I20" s="16">
        <f t="shared" si="0"/>
        <v>8</v>
      </c>
      <c r="J20" s="91"/>
      <c r="K20" s="91"/>
      <c r="L20" s="98"/>
    </row>
    <row r="21" spans="2:14" ht="15.75" thickBot="1" x14ac:dyDescent="0.3">
      <c r="B21" s="94"/>
      <c r="C21" s="19" t="s">
        <v>44</v>
      </c>
      <c r="D21" s="19" t="s">
        <v>69</v>
      </c>
      <c r="E21" s="16">
        <f>+(1/3)*6.6 + 6.64</f>
        <v>8.84</v>
      </c>
      <c r="F21" s="19" t="s">
        <v>75</v>
      </c>
      <c r="G21" s="16">
        <f t="shared" si="3"/>
        <v>9.84</v>
      </c>
      <c r="H21" s="16">
        <f t="shared" si="1"/>
        <v>11.808</v>
      </c>
      <c r="I21" s="16">
        <f t="shared" si="0"/>
        <v>12</v>
      </c>
      <c r="J21" s="91"/>
      <c r="K21" s="91"/>
      <c r="L21" s="98"/>
    </row>
    <row r="22" spans="2:14" ht="15.75" thickBot="1" x14ac:dyDescent="0.3">
      <c r="B22" s="94"/>
      <c r="C22" s="19" t="s">
        <v>44</v>
      </c>
      <c r="D22" s="19" t="s">
        <v>70</v>
      </c>
      <c r="E22" s="16">
        <f>+(2/3)*6.6 + 6.64</f>
        <v>11.04</v>
      </c>
      <c r="F22" s="19" t="s">
        <v>76</v>
      </c>
      <c r="G22" s="16">
        <f t="shared" si="3"/>
        <v>12.04</v>
      </c>
      <c r="H22" s="16">
        <f t="shared" si="1"/>
        <v>14.447999999999999</v>
      </c>
      <c r="I22" s="16">
        <f t="shared" si="0"/>
        <v>15</v>
      </c>
      <c r="J22" s="91"/>
      <c r="K22" s="91"/>
      <c r="L22" s="98"/>
    </row>
    <row r="23" spans="2:14" ht="15.75" thickBot="1" x14ac:dyDescent="0.3">
      <c r="B23" s="94"/>
      <c r="C23" s="19" t="s">
        <v>44</v>
      </c>
      <c r="D23" s="19" t="s">
        <v>71</v>
      </c>
      <c r="E23" s="16">
        <f>+(1/3)*6.6 + 4.34</f>
        <v>6.5399999999999991</v>
      </c>
      <c r="F23" s="19" t="s">
        <v>77</v>
      </c>
      <c r="G23" s="16">
        <f t="shared" si="3"/>
        <v>7.5399999999999991</v>
      </c>
      <c r="H23" s="16">
        <f t="shared" si="1"/>
        <v>9.0479999999999983</v>
      </c>
      <c r="I23" s="16">
        <f t="shared" si="0"/>
        <v>10</v>
      </c>
      <c r="J23" s="91"/>
      <c r="K23" s="91"/>
      <c r="L23" s="98"/>
    </row>
    <row r="24" spans="2:14" ht="15.75" thickBot="1" x14ac:dyDescent="0.3">
      <c r="B24" s="95"/>
      <c r="C24" s="31" t="s">
        <v>44</v>
      </c>
      <c r="D24" s="31" t="s">
        <v>72</v>
      </c>
      <c r="E24" s="32">
        <f>+(2/3)*6.6 + 4.34</f>
        <v>8.7399999999999984</v>
      </c>
      <c r="F24" s="31" t="s">
        <v>78</v>
      </c>
      <c r="G24" s="32">
        <f>+E24+1</f>
        <v>9.7399999999999984</v>
      </c>
      <c r="H24" s="32">
        <f t="shared" si="1"/>
        <v>11.687999999999997</v>
      </c>
      <c r="I24" s="32">
        <f t="shared" si="0"/>
        <v>12</v>
      </c>
      <c r="J24" s="92"/>
      <c r="K24" s="92"/>
      <c r="L24" s="99"/>
    </row>
    <row r="25" spans="2:14" ht="15.75" thickBot="1" x14ac:dyDescent="0.3">
      <c r="B25" s="93" t="s">
        <v>20</v>
      </c>
      <c r="C25" s="38" t="s">
        <v>43</v>
      </c>
      <c r="D25" s="38" t="s">
        <v>44</v>
      </c>
      <c r="E25" s="30">
        <f>4.42+4.34+6.6+1.89+4.96</f>
        <v>22.21</v>
      </c>
      <c r="F25" s="29" t="s">
        <v>79</v>
      </c>
      <c r="G25" s="41">
        <f>+E25+1</f>
        <v>23.21</v>
      </c>
      <c r="H25" s="30">
        <f t="shared" si="1"/>
        <v>27.852</v>
      </c>
      <c r="I25" s="30">
        <f t="shared" si="0"/>
        <v>28</v>
      </c>
      <c r="J25" s="90">
        <f>COUNTA(C26:C34,C36:C43)</f>
        <v>17</v>
      </c>
      <c r="K25" s="90">
        <f>COUNTA(C26:C34,C36:C43)*M25</f>
        <v>34</v>
      </c>
      <c r="L25" s="97" t="str">
        <f>IF(K25&lt;=12,"1 of 12",IF(K25&lt;=24,"1 of 24",IF(K25&lt;=48,"1 of 48",0)))</f>
        <v>1 of 48</v>
      </c>
      <c r="M25" s="59">
        <v>2</v>
      </c>
      <c r="N25" s="73" t="str">
        <f>IF(OR(L25="1 of 12",L25="1 of 24"),"12U","24U")</f>
        <v>24U</v>
      </c>
    </row>
    <row r="26" spans="2:14" x14ac:dyDescent="0.25">
      <c r="B26" s="94"/>
      <c r="C26" s="19" t="s">
        <v>44</v>
      </c>
      <c r="D26" s="19" t="s">
        <v>80</v>
      </c>
      <c r="E26" s="16">
        <f>4.94+(1/3)*4.96</f>
        <v>6.5933333333333337</v>
      </c>
      <c r="F26" s="19" t="s">
        <v>81</v>
      </c>
      <c r="G26" s="16">
        <f>+E26+1</f>
        <v>7.5933333333333337</v>
      </c>
      <c r="H26" s="16">
        <f t="shared" si="1"/>
        <v>9.1120000000000001</v>
      </c>
      <c r="I26" s="16">
        <f t="shared" si="0"/>
        <v>10</v>
      </c>
      <c r="J26" s="91"/>
      <c r="K26" s="91"/>
      <c r="L26" s="98"/>
    </row>
    <row r="27" spans="2:14" ht="15.75" thickBot="1" x14ac:dyDescent="0.3">
      <c r="B27" s="94"/>
      <c r="C27" s="19" t="s">
        <v>44</v>
      </c>
      <c r="D27" s="19" t="s">
        <v>82</v>
      </c>
      <c r="E27" s="16">
        <f>4.94+(2/3)*4.96</f>
        <v>8.2466666666666661</v>
      </c>
      <c r="F27" s="19" t="s">
        <v>85</v>
      </c>
      <c r="G27" s="16">
        <f t="shared" ref="G27:G42" si="4">+E27+1</f>
        <v>9.2466666666666661</v>
      </c>
      <c r="H27" s="16">
        <f t="shared" si="1"/>
        <v>11.095999999999998</v>
      </c>
      <c r="I27" s="16">
        <f t="shared" si="0"/>
        <v>12</v>
      </c>
      <c r="J27" s="91"/>
      <c r="K27" s="91"/>
      <c r="L27" s="98"/>
    </row>
    <row r="28" spans="2:14" ht="15.75" thickBot="1" x14ac:dyDescent="0.3">
      <c r="B28" s="94"/>
      <c r="C28" s="19" t="s">
        <v>44</v>
      </c>
      <c r="D28" s="19" t="s">
        <v>83</v>
      </c>
      <c r="E28" s="16">
        <f>+(2/3)*4.96</f>
        <v>3.3066666666666666</v>
      </c>
      <c r="F28" s="19" t="s">
        <v>87</v>
      </c>
      <c r="G28" s="16">
        <f t="shared" si="4"/>
        <v>4.3066666666666666</v>
      </c>
      <c r="H28" s="16">
        <f t="shared" si="1"/>
        <v>5.1680000000000001</v>
      </c>
      <c r="I28" s="16">
        <f t="shared" si="0"/>
        <v>6</v>
      </c>
      <c r="J28" s="91"/>
      <c r="K28" s="91"/>
      <c r="L28" s="98"/>
    </row>
    <row r="29" spans="2:14" ht="15.75" thickBot="1" x14ac:dyDescent="0.3">
      <c r="B29" s="94"/>
      <c r="C29" s="19" t="s">
        <v>44</v>
      </c>
      <c r="D29" s="19" t="s">
        <v>84</v>
      </c>
      <c r="E29" s="16">
        <f>+(1/3)*4.96</f>
        <v>1.6533333333333333</v>
      </c>
      <c r="F29" s="19" t="s">
        <v>86</v>
      </c>
      <c r="G29" s="16">
        <f t="shared" si="4"/>
        <v>2.6533333333333333</v>
      </c>
      <c r="H29" s="16">
        <f t="shared" si="1"/>
        <v>3.1839999999999997</v>
      </c>
      <c r="I29" s="16">
        <f t="shared" si="0"/>
        <v>4</v>
      </c>
      <c r="J29" s="91"/>
      <c r="K29" s="91"/>
      <c r="L29" s="98"/>
    </row>
    <row r="30" spans="2:14" ht="15.75" thickBot="1" x14ac:dyDescent="0.3">
      <c r="B30" s="94"/>
      <c r="C30" s="19" t="s">
        <v>44</v>
      </c>
      <c r="D30" s="19" t="s">
        <v>88</v>
      </c>
      <c r="E30" s="16">
        <f>2.44/2</f>
        <v>1.22</v>
      </c>
      <c r="F30" s="19" t="s">
        <v>89</v>
      </c>
      <c r="G30" s="16">
        <f t="shared" si="4"/>
        <v>2.2199999999999998</v>
      </c>
      <c r="H30" s="16">
        <f t="shared" si="1"/>
        <v>2.6639999999999997</v>
      </c>
      <c r="I30" s="16">
        <f t="shared" si="0"/>
        <v>3</v>
      </c>
      <c r="J30" s="91"/>
      <c r="K30" s="91"/>
      <c r="L30" s="98"/>
    </row>
    <row r="31" spans="2:14" ht="15.75" thickBot="1" x14ac:dyDescent="0.3">
      <c r="B31" s="94" t="s">
        <v>19</v>
      </c>
      <c r="C31" s="19" t="s">
        <v>44</v>
      </c>
      <c r="D31" s="19" t="s">
        <v>90</v>
      </c>
      <c r="E31" s="16">
        <f>4.94+3.09+(1/3)*4.96</f>
        <v>9.6833333333333336</v>
      </c>
      <c r="F31" s="19" t="s">
        <v>94</v>
      </c>
      <c r="G31" s="16">
        <f t="shared" si="4"/>
        <v>10.683333333333334</v>
      </c>
      <c r="H31" s="16">
        <f t="shared" si="1"/>
        <v>12.82</v>
      </c>
      <c r="I31" s="16">
        <f t="shared" si="0"/>
        <v>13</v>
      </c>
      <c r="J31" s="91"/>
      <c r="K31" s="91"/>
      <c r="L31" s="98"/>
    </row>
    <row r="32" spans="2:14" ht="15.75" thickBot="1" x14ac:dyDescent="0.3">
      <c r="B32" s="94"/>
      <c r="C32" s="19" t="s">
        <v>44</v>
      </c>
      <c r="D32" s="19" t="s">
        <v>91</v>
      </c>
      <c r="E32" s="16">
        <f>4.94+3.09+(2/3)*4.96</f>
        <v>11.336666666666668</v>
      </c>
      <c r="F32" s="19" t="s">
        <v>95</v>
      </c>
      <c r="G32" s="16">
        <f t="shared" si="4"/>
        <v>12.336666666666668</v>
      </c>
      <c r="H32" s="16">
        <f t="shared" si="1"/>
        <v>14.804</v>
      </c>
      <c r="I32" s="16">
        <f t="shared" si="0"/>
        <v>15</v>
      </c>
      <c r="J32" s="91"/>
      <c r="K32" s="91"/>
      <c r="L32" s="98"/>
    </row>
    <row r="33" spans="2:14" ht="15.75" thickBot="1" x14ac:dyDescent="0.3">
      <c r="B33" s="94"/>
      <c r="C33" s="19" t="s">
        <v>44</v>
      </c>
      <c r="D33" s="19" t="s">
        <v>92</v>
      </c>
      <c r="E33" s="16">
        <f>4.94+(2/3)*4.96</f>
        <v>8.2466666666666661</v>
      </c>
      <c r="F33" s="19" t="s">
        <v>85</v>
      </c>
      <c r="G33" s="41">
        <f t="shared" si="4"/>
        <v>9.2466666666666661</v>
      </c>
      <c r="H33" s="16">
        <f t="shared" si="1"/>
        <v>11.095999999999998</v>
      </c>
      <c r="I33" s="16">
        <f t="shared" si="0"/>
        <v>12</v>
      </c>
      <c r="J33" s="91"/>
      <c r="K33" s="91"/>
      <c r="L33" s="98"/>
    </row>
    <row r="34" spans="2:14" ht="15.75" thickBot="1" x14ac:dyDescent="0.3">
      <c r="B34" s="94"/>
      <c r="C34" s="19" t="s">
        <v>44</v>
      </c>
      <c r="D34" s="19" t="s">
        <v>93</v>
      </c>
      <c r="E34" s="16">
        <f>4.94+(1/3)*4.96</f>
        <v>6.5933333333333337</v>
      </c>
      <c r="F34" s="19" t="s">
        <v>81</v>
      </c>
      <c r="G34" s="16">
        <f t="shared" si="4"/>
        <v>7.5933333333333337</v>
      </c>
      <c r="H34" s="16">
        <f t="shared" si="1"/>
        <v>9.1120000000000001</v>
      </c>
      <c r="I34" s="16">
        <f t="shared" si="0"/>
        <v>10</v>
      </c>
      <c r="J34" s="91"/>
      <c r="K34" s="91"/>
      <c r="L34" s="98"/>
    </row>
    <row r="35" spans="2:14" ht="15.75" thickBot="1" x14ac:dyDescent="0.3">
      <c r="B35" s="94"/>
      <c r="C35" s="44" t="s">
        <v>43</v>
      </c>
      <c r="D35" s="44" t="s">
        <v>96</v>
      </c>
      <c r="E35" s="16">
        <f>2+4.42+0.38+4.34+6.6+1.89+0.38+4.96+4.94+(3.09/2)</f>
        <v>31.455000000000005</v>
      </c>
      <c r="F35" s="19" t="s">
        <v>97</v>
      </c>
      <c r="G35" s="16">
        <f t="shared" si="4"/>
        <v>32.455000000000005</v>
      </c>
      <c r="H35" s="16">
        <f t="shared" si="1"/>
        <v>38.946000000000005</v>
      </c>
      <c r="I35" s="16">
        <f t="shared" si="0"/>
        <v>39</v>
      </c>
      <c r="J35" s="91"/>
      <c r="K35" s="91"/>
      <c r="L35" s="98"/>
    </row>
    <row r="36" spans="2:14" ht="15.75" thickBot="1" x14ac:dyDescent="0.3">
      <c r="B36" s="94" t="s">
        <v>18</v>
      </c>
      <c r="C36" s="19" t="s">
        <v>44</v>
      </c>
      <c r="D36" s="19" t="s">
        <v>98</v>
      </c>
      <c r="E36" s="16">
        <f>4.94+2*3.09+(1/3)*4.96</f>
        <v>12.773333333333333</v>
      </c>
      <c r="F36" s="19" t="s">
        <v>99</v>
      </c>
      <c r="G36" s="16">
        <f t="shared" si="4"/>
        <v>13.773333333333333</v>
      </c>
      <c r="H36" s="16">
        <f t="shared" si="1"/>
        <v>16.527999999999999</v>
      </c>
      <c r="I36" s="16">
        <f t="shared" si="0"/>
        <v>17</v>
      </c>
      <c r="J36" s="91"/>
      <c r="K36" s="91"/>
      <c r="L36" s="98"/>
    </row>
    <row r="37" spans="2:14" ht="15.75" thickBot="1" x14ac:dyDescent="0.3">
      <c r="B37" s="94"/>
      <c r="C37" s="19" t="s">
        <v>44</v>
      </c>
      <c r="D37" s="19" t="s">
        <v>101</v>
      </c>
      <c r="E37" s="16">
        <f>4.94+2*3.09+(2/3)*4.96</f>
        <v>14.426666666666668</v>
      </c>
      <c r="F37" s="19" t="s">
        <v>100</v>
      </c>
      <c r="G37" s="16">
        <f t="shared" si="4"/>
        <v>15.426666666666668</v>
      </c>
      <c r="H37" s="16">
        <f t="shared" si="1"/>
        <v>18.512</v>
      </c>
      <c r="I37" s="16">
        <f t="shared" si="0"/>
        <v>19</v>
      </c>
      <c r="J37" s="91"/>
      <c r="K37" s="91"/>
      <c r="L37" s="98"/>
    </row>
    <row r="38" spans="2:14" ht="15.75" thickBot="1" x14ac:dyDescent="0.3">
      <c r="B38" s="94"/>
      <c r="C38" s="19" t="s">
        <v>44</v>
      </c>
      <c r="D38" s="19" t="s">
        <v>102</v>
      </c>
      <c r="E38" s="16">
        <f>4.94+3.09+(2/3)*4.96</f>
        <v>11.336666666666668</v>
      </c>
      <c r="F38" s="19" t="s">
        <v>95</v>
      </c>
      <c r="G38" s="16">
        <f t="shared" si="4"/>
        <v>12.336666666666668</v>
      </c>
      <c r="H38" s="16">
        <f t="shared" si="1"/>
        <v>14.804</v>
      </c>
      <c r="I38" s="16">
        <f t="shared" si="0"/>
        <v>15</v>
      </c>
      <c r="J38" s="91"/>
      <c r="K38" s="91"/>
      <c r="L38" s="98"/>
    </row>
    <row r="39" spans="2:14" ht="15.75" thickBot="1" x14ac:dyDescent="0.3">
      <c r="B39" s="94"/>
      <c r="C39" s="19" t="s">
        <v>44</v>
      </c>
      <c r="D39" s="19" t="s">
        <v>103</v>
      </c>
      <c r="E39" s="16">
        <f>4.94+3.09+(1/3)*4.96</f>
        <v>9.6833333333333336</v>
      </c>
      <c r="F39" s="19" t="s">
        <v>94</v>
      </c>
      <c r="G39" s="16">
        <f t="shared" si="4"/>
        <v>10.683333333333334</v>
      </c>
      <c r="H39" s="16">
        <f t="shared" si="1"/>
        <v>12.82</v>
      </c>
      <c r="I39" s="16">
        <f t="shared" si="0"/>
        <v>13</v>
      </c>
      <c r="J39" s="91"/>
      <c r="K39" s="91"/>
      <c r="L39" s="98"/>
    </row>
    <row r="40" spans="2:14" ht="15.75" thickBot="1" x14ac:dyDescent="0.3">
      <c r="B40" s="94" t="s">
        <v>17</v>
      </c>
      <c r="C40" s="19" t="s">
        <v>44</v>
      </c>
      <c r="D40" s="19" t="s">
        <v>104</v>
      </c>
      <c r="E40" s="16">
        <f>4.94+3*3.09+(1/3)*4.96</f>
        <v>15.863333333333333</v>
      </c>
      <c r="F40" s="19" t="s">
        <v>108</v>
      </c>
      <c r="G40" s="16">
        <f t="shared" si="4"/>
        <v>16.863333333333333</v>
      </c>
      <c r="H40" s="16">
        <f t="shared" si="1"/>
        <v>20.236000000000001</v>
      </c>
      <c r="I40" s="16">
        <f t="shared" si="0"/>
        <v>21</v>
      </c>
      <c r="J40" s="91"/>
      <c r="K40" s="91"/>
      <c r="L40" s="98"/>
    </row>
    <row r="41" spans="2:14" ht="15.75" thickBot="1" x14ac:dyDescent="0.3">
      <c r="B41" s="94"/>
      <c r="C41" s="19" t="s">
        <v>44</v>
      </c>
      <c r="D41" s="19" t="s">
        <v>105</v>
      </c>
      <c r="E41" s="16">
        <f>4.94+3*3.09+(2/3)*4.96</f>
        <v>17.516666666666666</v>
      </c>
      <c r="F41" s="19" t="s">
        <v>109</v>
      </c>
      <c r="G41" s="41">
        <f t="shared" si="4"/>
        <v>18.516666666666666</v>
      </c>
      <c r="H41" s="16">
        <f t="shared" si="1"/>
        <v>22.22</v>
      </c>
      <c r="I41" s="16">
        <f t="shared" si="0"/>
        <v>23</v>
      </c>
      <c r="J41" s="91"/>
      <c r="K41" s="91"/>
      <c r="L41" s="98"/>
    </row>
    <row r="42" spans="2:14" ht="15.75" thickBot="1" x14ac:dyDescent="0.3">
      <c r="B42" s="94"/>
      <c r="C42" s="19" t="s">
        <v>44</v>
      </c>
      <c r="D42" s="19" t="s">
        <v>106</v>
      </c>
      <c r="E42" s="16">
        <f>4.94+2*3.09+(2/3)*4.96</f>
        <v>14.426666666666668</v>
      </c>
      <c r="F42" s="19" t="s">
        <v>100</v>
      </c>
      <c r="G42" s="16">
        <f t="shared" si="4"/>
        <v>15.426666666666668</v>
      </c>
      <c r="H42" s="16">
        <f t="shared" si="1"/>
        <v>18.512</v>
      </c>
      <c r="I42" s="16">
        <f t="shared" si="0"/>
        <v>19</v>
      </c>
      <c r="J42" s="91"/>
      <c r="K42" s="91"/>
      <c r="L42" s="98"/>
    </row>
    <row r="43" spans="2:14" ht="15.75" thickBot="1" x14ac:dyDescent="0.3">
      <c r="B43" s="95"/>
      <c r="C43" s="31" t="s">
        <v>44</v>
      </c>
      <c r="D43" s="31" t="s">
        <v>107</v>
      </c>
      <c r="E43" s="32">
        <f>4.94+2*3.09+(1/3)*4.96</f>
        <v>12.773333333333333</v>
      </c>
      <c r="F43" s="31" t="s">
        <v>99</v>
      </c>
      <c r="G43" s="32">
        <f>+E43+1</f>
        <v>13.773333333333333</v>
      </c>
      <c r="H43" s="32">
        <f t="shared" si="1"/>
        <v>16.527999999999999</v>
      </c>
      <c r="I43" s="32">
        <f t="shared" si="0"/>
        <v>17</v>
      </c>
      <c r="J43" s="92"/>
      <c r="K43" s="92"/>
      <c r="L43" s="99"/>
    </row>
    <row r="44" spans="2:14" ht="15.75" thickBot="1" x14ac:dyDescent="0.3">
      <c r="B44" s="93" t="s">
        <v>21</v>
      </c>
      <c r="C44" s="38" t="s">
        <v>43</v>
      </c>
      <c r="D44" s="38" t="s">
        <v>44</v>
      </c>
      <c r="E44" s="30">
        <f>4.42+4.34+6.6+1.89+4.96+2.53</f>
        <v>24.740000000000002</v>
      </c>
      <c r="F44" s="29" t="s">
        <v>110</v>
      </c>
      <c r="G44" s="41">
        <f>+E44+1</f>
        <v>25.740000000000002</v>
      </c>
      <c r="H44" s="30">
        <f t="shared" si="1"/>
        <v>30.888000000000002</v>
      </c>
      <c r="I44" s="30">
        <f t="shared" si="0"/>
        <v>31</v>
      </c>
      <c r="J44" s="100">
        <f>COUNTA(C45:C50)</f>
        <v>6</v>
      </c>
      <c r="K44" s="100">
        <f>COUNTA(C45:C50)*M44</f>
        <v>12</v>
      </c>
      <c r="L44" s="103" t="str">
        <f>IF(K44&lt;=12,"1 of 12",IF(K44&lt;=24,"1 of 24",IF(K44&lt;=48,"1 of 48",0)))</f>
        <v>1 of 12</v>
      </c>
      <c r="M44" s="59">
        <v>2</v>
      </c>
      <c r="N44" s="73" t="str">
        <f>IF(OR(L44="1 of 12",L44="1 of 24"),"12U","24U")</f>
        <v>12U</v>
      </c>
    </row>
    <row r="45" spans="2:14" x14ac:dyDescent="0.25">
      <c r="B45" s="94"/>
      <c r="C45" s="19" t="s">
        <v>44</v>
      </c>
      <c r="D45" s="19" t="s">
        <v>111</v>
      </c>
      <c r="E45" s="16">
        <f>3.6+3.01/2</f>
        <v>5.1050000000000004</v>
      </c>
      <c r="F45" s="19" t="s">
        <v>112</v>
      </c>
      <c r="G45" s="16">
        <f>+E45+1</f>
        <v>6.1050000000000004</v>
      </c>
      <c r="H45" s="16">
        <f t="shared" si="1"/>
        <v>7.3260000000000005</v>
      </c>
      <c r="I45" s="16">
        <f t="shared" si="0"/>
        <v>8</v>
      </c>
      <c r="J45" s="101"/>
      <c r="K45" s="101"/>
      <c r="L45" s="104"/>
    </row>
    <row r="46" spans="2:14" ht="15.75" thickBot="1" x14ac:dyDescent="0.3">
      <c r="B46" s="94"/>
      <c r="C46" s="19" t="s">
        <v>44</v>
      </c>
      <c r="D46" s="19" t="s">
        <v>118</v>
      </c>
      <c r="E46" s="16">
        <f>3.6-(1/3)*5.81</f>
        <v>1.6633333333333336</v>
      </c>
      <c r="F46" s="19" t="s">
        <v>113</v>
      </c>
      <c r="G46" s="16">
        <f t="shared" ref="G46:G49" si="5">+E46+1</f>
        <v>2.6633333333333336</v>
      </c>
      <c r="H46" s="16">
        <f t="shared" si="1"/>
        <v>3.1960000000000002</v>
      </c>
      <c r="I46" s="16">
        <f t="shared" si="0"/>
        <v>4</v>
      </c>
      <c r="J46" s="101"/>
      <c r="K46" s="101"/>
      <c r="L46" s="104"/>
    </row>
    <row r="47" spans="2:14" ht="15.75" thickBot="1" x14ac:dyDescent="0.3">
      <c r="B47" s="94"/>
      <c r="C47" s="19" t="s">
        <v>44</v>
      </c>
      <c r="D47" s="19" t="s">
        <v>119</v>
      </c>
      <c r="E47" s="16">
        <f>+(5.81-3.6)-(1/3)*5.81</f>
        <v>0.27333333333333298</v>
      </c>
      <c r="F47" s="19" t="s">
        <v>114</v>
      </c>
      <c r="G47" s="16">
        <f t="shared" si="5"/>
        <v>1.273333333333333</v>
      </c>
      <c r="H47" s="16">
        <f t="shared" si="1"/>
        <v>1.5279999999999996</v>
      </c>
      <c r="I47" s="16">
        <f t="shared" si="0"/>
        <v>2</v>
      </c>
      <c r="J47" s="101"/>
      <c r="K47" s="101"/>
      <c r="L47" s="104"/>
    </row>
    <row r="48" spans="2:14" ht="15.75" thickBot="1" x14ac:dyDescent="0.3">
      <c r="B48" s="94"/>
      <c r="C48" s="19" t="s">
        <v>44</v>
      </c>
      <c r="D48" s="19" t="s">
        <v>120</v>
      </c>
      <c r="E48" s="16">
        <f>+(5.81-3.6)+4.65/2</f>
        <v>4.5350000000000001</v>
      </c>
      <c r="F48" s="19" t="s">
        <v>115</v>
      </c>
      <c r="G48" s="16">
        <f t="shared" si="5"/>
        <v>5.5350000000000001</v>
      </c>
      <c r="H48" s="16">
        <f t="shared" si="1"/>
        <v>6.6420000000000003</v>
      </c>
      <c r="I48" s="16">
        <f t="shared" si="0"/>
        <v>7</v>
      </c>
      <c r="J48" s="101"/>
      <c r="K48" s="101"/>
      <c r="L48" s="104"/>
    </row>
    <row r="49" spans="2:14" ht="15.75" thickBot="1" x14ac:dyDescent="0.3">
      <c r="B49" s="94"/>
      <c r="C49" s="19" t="s">
        <v>44</v>
      </c>
      <c r="D49" s="19" t="s">
        <v>121</v>
      </c>
      <c r="E49" s="16">
        <f>+(5.81-3.6)-(1/3)*5.81+4.65</f>
        <v>4.9233333333333338</v>
      </c>
      <c r="F49" s="19" t="s">
        <v>116</v>
      </c>
      <c r="G49" s="16">
        <f t="shared" si="5"/>
        <v>5.9233333333333338</v>
      </c>
      <c r="H49" s="16">
        <f t="shared" si="1"/>
        <v>7.1080000000000005</v>
      </c>
      <c r="I49" s="16">
        <f t="shared" si="0"/>
        <v>8</v>
      </c>
      <c r="J49" s="101"/>
      <c r="K49" s="101"/>
      <c r="L49" s="104"/>
    </row>
    <row r="50" spans="2:14" ht="15.75" thickBot="1" x14ac:dyDescent="0.3">
      <c r="B50" s="95"/>
      <c r="C50" s="31" t="s">
        <v>44</v>
      </c>
      <c r="D50" s="31" t="s">
        <v>122</v>
      </c>
      <c r="E50" s="32">
        <f>3.6-(1/3)*5.81+4.65</f>
        <v>6.3133333333333344</v>
      </c>
      <c r="F50" s="31" t="s">
        <v>117</v>
      </c>
      <c r="G50" s="32">
        <f>+E50+1</f>
        <v>7.3133333333333344</v>
      </c>
      <c r="H50" s="32">
        <f t="shared" si="1"/>
        <v>8.7760000000000016</v>
      </c>
      <c r="I50" s="32">
        <f t="shared" si="0"/>
        <v>9</v>
      </c>
      <c r="J50" s="102"/>
      <c r="K50" s="102"/>
      <c r="L50" s="105"/>
    </row>
    <row r="51" spans="2:14" ht="15.75" thickBot="1" x14ac:dyDescent="0.3">
      <c r="B51" s="93" t="s">
        <v>22</v>
      </c>
      <c r="C51" s="38" t="s">
        <v>43</v>
      </c>
      <c r="D51" s="38" t="s">
        <v>44</v>
      </c>
      <c r="E51" s="30">
        <f>4.42+4.34+6.6+1.89+4.96+2.53+4.65</f>
        <v>29.39</v>
      </c>
      <c r="F51" s="29" t="s">
        <v>123</v>
      </c>
      <c r="G51" s="41">
        <f>+E51+1</f>
        <v>30.39</v>
      </c>
      <c r="H51" s="30">
        <f t="shared" si="1"/>
        <v>36.467999999999996</v>
      </c>
      <c r="I51" s="30">
        <f t="shared" si="0"/>
        <v>37</v>
      </c>
      <c r="J51" s="90">
        <f>COUNTA(C52:C59)</f>
        <v>8</v>
      </c>
      <c r="K51" s="90">
        <f>COUNTA(C52:C59)*M51</f>
        <v>16</v>
      </c>
      <c r="L51" s="97" t="str">
        <f>IF(K51&lt;=12,"1 of 12",IF(K51&lt;=24,"1 of 24",IF(K51&lt;=48,"1 of 48",0)))</f>
        <v>1 of 24</v>
      </c>
      <c r="M51" s="59">
        <v>2</v>
      </c>
      <c r="N51" s="73" t="str">
        <f>IF(OR(L51="1 of 12",L51="1 of 24"),"12U","24U")</f>
        <v>12U</v>
      </c>
    </row>
    <row r="52" spans="2:14" x14ac:dyDescent="0.25">
      <c r="B52" s="94"/>
      <c r="C52" s="19" t="s">
        <v>44</v>
      </c>
      <c r="D52" s="19" t="s">
        <v>124</v>
      </c>
      <c r="E52" s="16">
        <f>7.16+3.6+(1/3)*7.16</f>
        <v>13.146666666666667</v>
      </c>
      <c r="F52" s="19" t="s">
        <v>125</v>
      </c>
      <c r="G52" s="16">
        <f>+E52+1</f>
        <v>14.146666666666667</v>
      </c>
      <c r="H52" s="16">
        <f t="shared" si="1"/>
        <v>16.975999999999999</v>
      </c>
      <c r="I52" s="16">
        <f t="shared" si="0"/>
        <v>17</v>
      </c>
      <c r="J52" s="91"/>
      <c r="K52" s="91"/>
      <c r="L52" s="98"/>
    </row>
    <row r="53" spans="2:14" x14ac:dyDescent="0.25">
      <c r="B53" s="94"/>
      <c r="C53" s="19" t="s">
        <v>44</v>
      </c>
      <c r="D53" s="19" t="s">
        <v>133</v>
      </c>
      <c r="E53" s="16">
        <f>7.16+3.6+(2/3)*7.16</f>
        <v>15.533333333333333</v>
      </c>
      <c r="F53" s="19" t="s">
        <v>126</v>
      </c>
      <c r="G53" s="16">
        <f t="shared" ref="G53:G58" si="6">+E53+1</f>
        <v>16.533333333333331</v>
      </c>
      <c r="H53" s="16">
        <f t="shared" si="1"/>
        <v>19.839999999999996</v>
      </c>
      <c r="I53" s="16">
        <f t="shared" si="0"/>
        <v>20</v>
      </c>
      <c r="J53" s="91"/>
      <c r="K53" s="91"/>
      <c r="L53" s="98"/>
    </row>
    <row r="54" spans="2:14" x14ac:dyDescent="0.25">
      <c r="B54" s="94"/>
      <c r="C54" s="19" t="s">
        <v>44</v>
      </c>
      <c r="D54" s="19" t="s">
        <v>134</v>
      </c>
      <c r="E54" s="16">
        <f>3.6/2</f>
        <v>1.8</v>
      </c>
      <c r="F54" s="19" t="s">
        <v>127</v>
      </c>
      <c r="G54" s="16">
        <f t="shared" si="6"/>
        <v>2.8</v>
      </c>
      <c r="H54" s="16">
        <f t="shared" si="1"/>
        <v>3.36</v>
      </c>
      <c r="I54" s="16">
        <f t="shared" si="0"/>
        <v>4</v>
      </c>
      <c r="J54" s="91"/>
      <c r="K54" s="91"/>
      <c r="L54" s="98"/>
    </row>
    <row r="55" spans="2:14" x14ac:dyDescent="0.25">
      <c r="B55" s="94"/>
      <c r="C55" s="19" t="s">
        <v>44</v>
      </c>
      <c r="D55" s="19" t="s">
        <v>135</v>
      </c>
      <c r="E55" s="16">
        <f>+(5.81-3.6)+(1/4)*7.16</f>
        <v>3.9999999999999996</v>
      </c>
      <c r="F55" s="19" t="s">
        <v>130</v>
      </c>
      <c r="G55" s="16">
        <f t="shared" si="6"/>
        <v>5</v>
      </c>
      <c r="H55" s="16">
        <f t="shared" si="1"/>
        <v>6</v>
      </c>
      <c r="I55" s="16">
        <f t="shared" si="0"/>
        <v>6</v>
      </c>
      <c r="J55" s="91"/>
      <c r="K55" s="91"/>
      <c r="L55" s="98"/>
    </row>
    <row r="56" spans="2:14" x14ac:dyDescent="0.25">
      <c r="B56" s="94"/>
      <c r="C56" s="19" t="s">
        <v>44</v>
      </c>
      <c r="D56" s="19" t="s">
        <v>136</v>
      </c>
      <c r="E56" s="16">
        <f>+(5.81-3.6)+(2/4)*7.16</f>
        <v>5.7899999999999991</v>
      </c>
      <c r="F56" s="19" t="s">
        <v>129</v>
      </c>
      <c r="G56" s="16">
        <f t="shared" si="6"/>
        <v>6.7899999999999991</v>
      </c>
      <c r="H56" s="16">
        <f t="shared" si="1"/>
        <v>8.1479999999999979</v>
      </c>
      <c r="I56" s="16">
        <f t="shared" si="0"/>
        <v>9</v>
      </c>
      <c r="J56" s="91"/>
      <c r="K56" s="91"/>
      <c r="L56" s="98"/>
    </row>
    <row r="57" spans="2:14" x14ac:dyDescent="0.25">
      <c r="B57" s="94"/>
      <c r="C57" s="19" t="s">
        <v>44</v>
      </c>
      <c r="D57" s="19" t="s">
        <v>137</v>
      </c>
      <c r="E57" s="16">
        <f>7.16+(5.81-3.6)+(1/4)*7.16</f>
        <v>11.16</v>
      </c>
      <c r="F57" s="19" t="s">
        <v>128</v>
      </c>
      <c r="G57" s="16">
        <f t="shared" si="6"/>
        <v>12.16</v>
      </c>
      <c r="H57" s="16">
        <f t="shared" si="1"/>
        <v>14.591999999999999</v>
      </c>
      <c r="I57" s="16">
        <f t="shared" si="0"/>
        <v>15</v>
      </c>
      <c r="J57" s="91"/>
      <c r="K57" s="91"/>
      <c r="L57" s="98"/>
    </row>
    <row r="58" spans="2:14" x14ac:dyDescent="0.25">
      <c r="B58" s="94"/>
      <c r="C58" s="19" t="s">
        <v>44</v>
      </c>
      <c r="D58" s="19" t="s">
        <v>138</v>
      </c>
      <c r="E58" s="16">
        <f>7.16*(1/3)</f>
        <v>2.3866666666666667</v>
      </c>
      <c r="F58" s="19" t="s">
        <v>131</v>
      </c>
      <c r="G58" s="16">
        <f t="shared" si="6"/>
        <v>3.3866666666666667</v>
      </c>
      <c r="H58" s="16">
        <f t="shared" si="1"/>
        <v>4.0640000000000001</v>
      </c>
      <c r="I58" s="16">
        <f t="shared" si="0"/>
        <v>5</v>
      </c>
      <c r="J58" s="91"/>
      <c r="K58" s="91"/>
      <c r="L58" s="98"/>
    </row>
    <row r="59" spans="2:14" ht="15.75" thickBot="1" x14ac:dyDescent="0.3">
      <c r="B59" s="95"/>
      <c r="C59" s="31" t="s">
        <v>44</v>
      </c>
      <c r="D59" s="31" t="s">
        <v>139</v>
      </c>
      <c r="E59" s="32">
        <f>7.16*(2/3)</f>
        <v>4.7733333333333334</v>
      </c>
      <c r="F59" s="31" t="s">
        <v>132</v>
      </c>
      <c r="G59" s="32">
        <f>+E59+1</f>
        <v>5.7733333333333334</v>
      </c>
      <c r="H59" s="32">
        <f t="shared" si="1"/>
        <v>6.9279999999999999</v>
      </c>
      <c r="I59" s="32">
        <f t="shared" si="0"/>
        <v>7</v>
      </c>
      <c r="J59" s="92"/>
      <c r="K59" s="92"/>
      <c r="L59" s="99"/>
    </row>
    <row r="60" spans="2:14" x14ac:dyDescent="0.25">
      <c r="B60" s="26" t="s">
        <v>293</v>
      </c>
      <c r="C60" s="20"/>
      <c r="D60" s="20"/>
      <c r="E60" s="27"/>
      <c r="F60" s="20"/>
      <c r="G60" s="28">
        <f>SUM(G4:G59)</f>
        <v>506.53833333333336</v>
      </c>
      <c r="H60" s="28">
        <f>SUM(H4:H59)</f>
        <v>607.846</v>
      </c>
      <c r="I60" s="28">
        <f>SUM(I4:I59)</f>
        <v>634</v>
      </c>
      <c r="J60" s="37">
        <f>SUM(J7:J59)</f>
        <v>47</v>
      </c>
      <c r="K60" s="37">
        <f>SUM(K7:K59)</f>
        <v>94</v>
      </c>
    </row>
    <row r="61" spans="2:14" x14ac:dyDescent="0.25">
      <c r="B61" s="26" t="s">
        <v>294</v>
      </c>
      <c r="C61" s="20"/>
      <c r="D61" s="20"/>
      <c r="E61" s="27"/>
      <c r="F61" s="20"/>
      <c r="G61" s="28">
        <f t="shared" ref="G61:H61" si="7">SUM(G3)</f>
        <v>5.3</v>
      </c>
      <c r="H61" s="28">
        <f t="shared" si="7"/>
        <v>6.3599999999999994</v>
      </c>
      <c r="I61" s="28">
        <f>SUM(I3)</f>
        <v>7</v>
      </c>
      <c r="J61" s="37">
        <f>SUM(J3:J4)</f>
        <v>12</v>
      </c>
      <c r="K61" s="37">
        <f>SUM(K3:K4)</f>
        <v>24</v>
      </c>
      <c r="L61" s="23"/>
    </row>
  </sheetData>
  <autoFilter ref="N1:N61" xr:uid="{5C8A98F9-B365-496B-966F-C16339BBDE93}"/>
  <mergeCells count="24">
    <mergeCell ref="B44:B50"/>
    <mergeCell ref="J25:J43"/>
    <mergeCell ref="J44:J50"/>
    <mergeCell ref="J15:J24"/>
    <mergeCell ref="B4:B6"/>
    <mergeCell ref="L7:L14"/>
    <mergeCell ref="L15:L24"/>
    <mergeCell ref="B40:B43"/>
    <mergeCell ref="J51:J59"/>
    <mergeCell ref="B51:B59"/>
    <mergeCell ref="B7:B14"/>
    <mergeCell ref="B15:B24"/>
    <mergeCell ref="L51:L59"/>
    <mergeCell ref="K7:K14"/>
    <mergeCell ref="K15:K24"/>
    <mergeCell ref="K51:K59"/>
    <mergeCell ref="K25:K43"/>
    <mergeCell ref="K44:K50"/>
    <mergeCell ref="L25:L43"/>
    <mergeCell ref="B25:B30"/>
    <mergeCell ref="B31:B35"/>
    <mergeCell ref="B36:B39"/>
    <mergeCell ref="L44:L50"/>
    <mergeCell ref="J7:J14"/>
  </mergeCells>
  <phoneticPr fontId="2" type="noConversion"/>
  <pageMargins left="0.7" right="0.7" top="0.75" bottom="0.75" header="0.3" footer="0.3"/>
  <pageSetup paperSize="9" scale="3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3C9E-ACA1-4946-9B9E-7EC683021FDA}">
  <sheetPr>
    <pageSetUpPr fitToPage="1"/>
  </sheetPr>
  <dimension ref="B1:P69"/>
  <sheetViews>
    <sheetView zoomScale="85" zoomScaleNormal="85" zoomScaleSheetLayoutView="70" workbookViewId="0">
      <selection activeCell="J69" sqref="J69"/>
    </sheetView>
  </sheetViews>
  <sheetFormatPr defaultRowHeight="15" x14ac:dyDescent="0.25"/>
  <cols>
    <col min="2" max="3" width="11" customWidth="1"/>
    <col min="4" max="4" width="15.42578125" customWidth="1"/>
    <col min="5" max="5" width="24.7109375" style="17" bestFit="1" customWidth="1"/>
    <col min="6" max="6" width="35.85546875" customWidth="1"/>
    <col min="7" max="9" width="26.5703125" customWidth="1"/>
    <col min="10" max="11" width="23.85546875" customWidth="1"/>
    <col min="12" max="12" width="20.5703125" customWidth="1"/>
    <col min="13" max="13" width="12.5703125" customWidth="1"/>
    <col min="15" max="15" width="27.140625" bestFit="1" customWidth="1"/>
  </cols>
  <sheetData>
    <row r="1" spans="2:16" ht="15.75" thickBot="1" x14ac:dyDescent="0.3"/>
    <row r="2" spans="2:16" ht="60.75" thickBot="1" x14ac:dyDescent="0.3">
      <c r="B2" s="45" t="s">
        <v>37</v>
      </c>
      <c r="C2" s="46" t="s">
        <v>38</v>
      </c>
      <c r="D2" s="46" t="s">
        <v>39</v>
      </c>
      <c r="E2" s="47" t="s">
        <v>46</v>
      </c>
      <c r="F2" s="46" t="s">
        <v>40</v>
      </c>
      <c r="G2" s="46" t="s">
        <v>141</v>
      </c>
      <c r="H2" s="46" t="s">
        <v>142</v>
      </c>
      <c r="I2" s="46" t="s">
        <v>143</v>
      </c>
      <c r="J2" s="52" t="s">
        <v>269</v>
      </c>
      <c r="K2" s="52" t="s">
        <v>327</v>
      </c>
      <c r="L2" s="53" t="s">
        <v>268</v>
      </c>
      <c r="M2" s="58" t="s">
        <v>271</v>
      </c>
      <c r="N2" s="65" t="s">
        <v>302</v>
      </c>
    </row>
    <row r="3" spans="2:16" ht="15.75" thickBot="1" x14ac:dyDescent="0.3">
      <c r="B3" s="106" t="s">
        <v>23</v>
      </c>
      <c r="C3" s="38" t="s">
        <v>42</v>
      </c>
      <c r="D3" s="38" t="s">
        <v>43</v>
      </c>
      <c r="E3" s="30">
        <f>4.28+4</f>
        <v>8.2800000000000011</v>
      </c>
      <c r="F3" s="29" t="s">
        <v>144</v>
      </c>
      <c r="G3" s="30">
        <f>+E3+1.5</f>
        <v>9.7800000000000011</v>
      </c>
      <c r="H3" s="30">
        <f>G3*1.2</f>
        <v>11.736000000000001</v>
      </c>
      <c r="I3" s="30">
        <f>_xlfn.CEILING.MATH(H3,1,0)</f>
        <v>12</v>
      </c>
      <c r="J3" s="54"/>
      <c r="K3" s="54"/>
      <c r="L3" s="55"/>
      <c r="O3" t="s">
        <v>295</v>
      </c>
      <c r="P3" s="73">
        <f>COUNTIF($L$3:$L$68,"1 of 12")</f>
        <v>2</v>
      </c>
    </row>
    <row r="4" spans="2:16" ht="15.75" thickBot="1" x14ac:dyDescent="0.3">
      <c r="B4" s="107"/>
      <c r="C4" s="50" t="s">
        <v>43</v>
      </c>
      <c r="D4" s="50" t="s">
        <v>270</v>
      </c>
      <c r="E4" s="32"/>
      <c r="F4" s="31"/>
      <c r="G4" s="32"/>
      <c r="H4" s="32"/>
      <c r="I4" s="32"/>
      <c r="J4" s="56">
        <f>COUNTIF(D5:D69,"CP")+1</f>
        <v>5</v>
      </c>
      <c r="K4" s="56">
        <f>COUNTIF(D5:D69,"CP")*M4+1*M4</f>
        <v>15</v>
      </c>
      <c r="L4" s="57" t="str">
        <f>IF(K4&lt;=12,"1 of 12",IF(K4&lt;=24,"1 of 24",IF(K4&lt;=48,"1 of 48",0)))</f>
        <v>1 of 24</v>
      </c>
      <c r="M4" s="74">
        <v>3</v>
      </c>
      <c r="N4" s="73" t="str">
        <f>IF(OR(L4="1 of 12",L4="1 of 24"),"12U","24U")</f>
        <v>12U</v>
      </c>
      <c r="O4" t="s">
        <v>296</v>
      </c>
      <c r="P4" s="73">
        <f>COUNTIF($L$3:$L$68,"1 of 24")</f>
        <v>5</v>
      </c>
    </row>
    <row r="5" spans="2:16" ht="15.75" thickBot="1" x14ac:dyDescent="0.3">
      <c r="B5" s="108" t="s">
        <v>24</v>
      </c>
      <c r="C5" s="51" t="s">
        <v>43</v>
      </c>
      <c r="D5" s="51" t="s">
        <v>44</v>
      </c>
      <c r="E5" s="41">
        <v>0.5</v>
      </c>
      <c r="F5" s="40" t="s">
        <v>145</v>
      </c>
      <c r="G5" s="30">
        <f>+E5+1.5</f>
        <v>2</v>
      </c>
      <c r="H5" s="41">
        <f>G5*1.2</f>
        <v>2.4</v>
      </c>
      <c r="I5" s="41">
        <f>_xlfn.CEILING.MATH(H5,1,0)</f>
        <v>3</v>
      </c>
      <c r="J5" s="91">
        <f>COUNTA(C6:C15)</f>
        <v>10</v>
      </c>
      <c r="K5" s="91">
        <f>COUNTA(C6:C15)*M5</f>
        <v>20</v>
      </c>
      <c r="L5" s="98" t="str">
        <f>IF(K5&lt;=12,"1 of 12",IF(K5&lt;=24,"1 of 24",IF(K5&lt;=48,"1 of 48",0)))</f>
        <v>1 of 24</v>
      </c>
      <c r="M5" s="74">
        <v>2</v>
      </c>
      <c r="N5" s="73" t="str">
        <f>IF(OR(L5="1 of 12",L5="1 of 24"),"12U","24U")</f>
        <v>12U</v>
      </c>
      <c r="O5" t="s">
        <v>324</v>
      </c>
      <c r="P5" s="73">
        <f>COUNTIF($L$3:$L$68,"1 of 48")+COUNTIF($L$3:$L$68,"2 of 48")*2</f>
        <v>2</v>
      </c>
    </row>
    <row r="6" spans="2:16" x14ac:dyDescent="0.25">
      <c r="B6" s="108"/>
      <c r="C6" s="22" t="s">
        <v>44</v>
      </c>
      <c r="D6" s="22" t="s">
        <v>146</v>
      </c>
      <c r="E6" s="16">
        <f>6.6*(2/3)</f>
        <v>4.3999999999999995</v>
      </c>
      <c r="F6" s="19" t="s">
        <v>147</v>
      </c>
      <c r="G6" s="16">
        <f>+E6+1.5</f>
        <v>5.8999999999999995</v>
      </c>
      <c r="H6" s="16">
        <f t="shared" ref="H6:H59" si="0">G6*1.2</f>
        <v>7.0799999999999992</v>
      </c>
      <c r="I6" s="16">
        <f t="shared" ref="I6:I59" si="1">_xlfn.CEILING.MATH(H6,1,0)</f>
        <v>8</v>
      </c>
      <c r="J6" s="91"/>
      <c r="K6" s="91"/>
      <c r="L6" s="98"/>
    </row>
    <row r="7" spans="2:16" ht="15.75" thickBot="1" x14ac:dyDescent="0.3">
      <c r="B7" s="108"/>
      <c r="C7" s="22" t="s">
        <v>44</v>
      </c>
      <c r="D7" s="22" t="s">
        <v>148</v>
      </c>
      <c r="E7" s="16">
        <f>6.6*(1/3)</f>
        <v>2.1999999999999997</v>
      </c>
      <c r="F7" s="19" t="s">
        <v>149</v>
      </c>
      <c r="G7" s="16">
        <f t="shared" ref="G7:G14" si="2">+E7+1.5</f>
        <v>3.6999999999999997</v>
      </c>
      <c r="H7" s="16">
        <f t="shared" si="0"/>
        <v>4.4399999999999995</v>
      </c>
      <c r="I7" s="16">
        <f t="shared" si="1"/>
        <v>5</v>
      </c>
      <c r="J7" s="91"/>
      <c r="K7" s="91"/>
      <c r="L7" s="98"/>
    </row>
    <row r="8" spans="2:16" ht="15.75" thickBot="1" x14ac:dyDescent="0.3">
      <c r="B8" s="108"/>
      <c r="C8" s="22" t="s">
        <v>44</v>
      </c>
      <c r="D8" s="22" t="s">
        <v>153</v>
      </c>
      <c r="E8" s="16">
        <f>7.46*(1/4)</f>
        <v>1.865</v>
      </c>
      <c r="F8" s="19" t="s">
        <v>150</v>
      </c>
      <c r="G8" s="16">
        <f t="shared" si="2"/>
        <v>3.3650000000000002</v>
      </c>
      <c r="H8" s="16">
        <f t="shared" si="0"/>
        <v>4.0380000000000003</v>
      </c>
      <c r="I8" s="16">
        <f t="shared" si="1"/>
        <v>5</v>
      </c>
      <c r="J8" s="91"/>
      <c r="K8" s="91"/>
      <c r="L8" s="98"/>
    </row>
    <row r="9" spans="2:16" ht="15.75" thickBot="1" x14ac:dyDescent="0.3">
      <c r="B9" s="108"/>
      <c r="C9" s="22" t="s">
        <v>44</v>
      </c>
      <c r="D9" s="22" t="s">
        <v>154</v>
      </c>
      <c r="E9" s="16">
        <f>7.46*(2/4)</f>
        <v>3.73</v>
      </c>
      <c r="F9" s="19" t="s">
        <v>151</v>
      </c>
      <c r="G9" s="16">
        <f t="shared" si="2"/>
        <v>5.23</v>
      </c>
      <c r="H9" s="16">
        <f t="shared" si="0"/>
        <v>6.2760000000000007</v>
      </c>
      <c r="I9" s="16">
        <f t="shared" si="1"/>
        <v>7</v>
      </c>
      <c r="J9" s="91"/>
      <c r="K9" s="91"/>
      <c r="L9" s="98"/>
    </row>
    <row r="10" spans="2:16" ht="15.75" thickBot="1" x14ac:dyDescent="0.3">
      <c r="B10" s="108"/>
      <c r="C10" s="22" t="s">
        <v>44</v>
      </c>
      <c r="D10" s="22" t="s">
        <v>155</v>
      </c>
      <c r="E10" s="16">
        <f>7.46*(3/4)</f>
        <v>5.5949999999999998</v>
      </c>
      <c r="F10" s="19" t="s">
        <v>152</v>
      </c>
      <c r="G10" s="16">
        <f t="shared" si="2"/>
        <v>7.0949999999999998</v>
      </c>
      <c r="H10" s="16">
        <f t="shared" si="0"/>
        <v>8.5139999999999993</v>
      </c>
      <c r="I10" s="16">
        <f t="shared" si="1"/>
        <v>9</v>
      </c>
      <c r="J10" s="91"/>
      <c r="K10" s="91"/>
      <c r="L10" s="98"/>
    </row>
    <row r="11" spans="2:16" ht="15.75" thickBot="1" x14ac:dyDescent="0.3">
      <c r="B11" s="108"/>
      <c r="C11" s="22" t="s">
        <v>44</v>
      </c>
      <c r="D11" s="22" t="s">
        <v>156</v>
      </c>
      <c r="E11" s="16">
        <f>7.46+6.6*(1/3)</f>
        <v>9.66</v>
      </c>
      <c r="F11" s="19" t="s">
        <v>161</v>
      </c>
      <c r="G11" s="16">
        <f t="shared" si="2"/>
        <v>11.16</v>
      </c>
      <c r="H11" s="16">
        <f t="shared" si="0"/>
        <v>13.391999999999999</v>
      </c>
      <c r="I11" s="16">
        <f t="shared" si="1"/>
        <v>14</v>
      </c>
      <c r="J11" s="91"/>
      <c r="K11" s="91"/>
      <c r="L11" s="98"/>
    </row>
    <row r="12" spans="2:16" ht="15.75" thickBot="1" x14ac:dyDescent="0.3">
      <c r="B12" s="108"/>
      <c r="C12" s="22" t="s">
        <v>44</v>
      </c>
      <c r="D12" s="22" t="s">
        <v>157</v>
      </c>
      <c r="E12" s="16">
        <f>7.46+6.6*(2/3)</f>
        <v>11.86</v>
      </c>
      <c r="F12" s="19" t="s">
        <v>162</v>
      </c>
      <c r="G12" s="16">
        <f t="shared" si="2"/>
        <v>13.36</v>
      </c>
      <c r="H12" s="16">
        <f t="shared" si="0"/>
        <v>16.032</v>
      </c>
      <c r="I12" s="16">
        <f t="shared" si="1"/>
        <v>17</v>
      </c>
      <c r="J12" s="91"/>
      <c r="K12" s="91"/>
      <c r="L12" s="98"/>
    </row>
    <row r="13" spans="2:16" ht="15.75" thickBot="1" x14ac:dyDescent="0.3">
      <c r="B13" s="108"/>
      <c r="C13" s="22" t="s">
        <v>44</v>
      </c>
      <c r="D13" s="22" t="s">
        <v>158</v>
      </c>
      <c r="E13" s="16">
        <f>6.6+5.78*(2/3)</f>
        <v>10.453333333333333</v>
      </c>
      <c r="F13" s="19" t="s">
        <v>163</v>
      </c>
      <c r="G13" s="16">
        <f t="shared" si="2"/>
        <v>11.953333333333333</v>
      </c>
      <c r="H13" s="16">
        <f t="shared" si="0"/>
        <v>14.343999999999999</v>
      </c>
      <c r="I13" s="16">
        <f t="shared" si="1"/>
        <v>15</v>
      </c>
      <c r="J13" s="91"/>
      <c r="K13" s="91"/>
      <c r="L13" s="98"/>
    </row>
    <row r="14" spans="2:16" ht="15.75" thickBot="1" x14ac:dyDescent="0.3">
      <c r="B14" s="108"/>
      <c r="C14" s="22" t="s">
        <v>44</v>
      </c>
      <c r="D14" s="22" t="s">
        <v>159</v>
      </c>
      <c r="E14" s="16">
        <f>6.6+5.78*(1/3)</f>
        <v>8.5266666666666673</v>
      </c>
      <c r="F14" s="19" t="s">
        <v>164</v>
      </c>
      <c r="G14" s="16">
        <f t="shared" si="2"/>
        <v>10.026666666666667</v>
      </c>
      <c r="H14" s="16">
        <f t="shared" si="0"/>
        <v>12.032</v>
      </c>
      <c r="I14" s="16">
        <f t="shared" si="1"/>
        <v>13</v>
      </c>
      <c r="J14" s="91"/>
      <c r="K14" s="91"/>
      <c r="L14" s="98"/>
    </row>
    <row r="15" spans="2:16" ht="15.75" thickBot="1" x14ac:dyDescent="0.3">
      <c r="B15" s="109"/>
      <c r="C15" s="33" t="s">
        <v>44</v>
      </c>
      <c r="D15" s="33" t="s">
        <v>160</v>
      </c>
      <c r="E15" s="32">
        <f>7.46/2+6.6/2</f>
        <v>7.0299999999999994</v>
      </c>
      <c r="F15" s="31" t="s">
        <v>165</v>
      </c>
      <c r="G15" s="32">
        <f>+E15+1.5</f>
        <v>8.5299999999999994</v>
      </c>
      <c r="H15" s="32">
        <f t="shared" si="0"/>
        <v>10.235999999999999</v>
      </c>
      <c r="I15" s="32">
        <f t="shared" si="1"/>
        <v>11</v>
      </c>
      <c r="J15" s="92"/>
      <c r="K15" s="92"/>
      <c r="L15" s="99"/>
    </row>
    <row r="16" spans="2:16" ht="15.75" thickBot="1" x14ac:dyDescent="0.3">
      <c r="B16" s="110" t="s">
        <v>25</v>
      </c>
      <c r="C16" s="38" t="s">
        <v>43</v>
      </c>
      <c r="D16" s="38" t="s">
        <v>44</v>
      </c>
      <c r="E16" s="30">
        <f>3.05+0.28+7.46+0.28</f>
        <v>11.069999999999999</v>
      </c>
      <c r="F16" s="29" t="s">
        <v>177</v>
      </c>
      <c r="G16" s="30">
        <f>+E16+1.5</f>
        <v>12.569999999999999</v>
      </c>
      <c r="H16" s="30">
        <f t="shared" si="0"/>
        <v>15.083999999999998</v>
      </c>
      <c r="I16" s="30">
        <f t="shared" si="1"/>
        <v>16</v>
      </c>
      <c r="J16" s="90">
        <f>COUNTA(C17:C27)</f>
        <v>11</v>
      </c>
      <c r="K16" s="90">
        <f>COUNTA(C17:C27)*M16</f>
        <v>22</v>
      </c>
      <c r="L16" s="97" t="str">
        <f>IF(K16&lt;=12,"1 of 12",IF(K16&lt;=24,"1 of 24",IF(K16&lt;=48,"1 of 48",0)))</f>
        <v>1 of 24</v>
      </c>
      <c r="M16" s="74">
        <v>2</v>
      </c>
      <c r="N16" s="73" t="str">
        <f>IF(OR(L16="1 of 12",L16="1 of 24"),"12U","24U")</f>
        <v>12U</v>
      </c>
    </row>
    <row r="17" spans="2:14" x14ac:dyDescent="0.25">
      <c r="B17" s="108"/>
      <c r="C17" s="19" t="s">
        <v>44</v>
      </c>
      <c r="D17" s="19" t="s">
        <v>166</v>
      </c>
      <c r="E17" s="16">
        <f>6.6*(2/3)</f>
        <v>4.3999999999999995</v>
      </c>
      <c r="F17" s="19" t="s">
        <v>147</v>
      </c>
      <c r="G17" s="16">
        <f>+E17+1.5</f>
        <v>5.8999999999999995</v>
      </c>
      <c r="H17" s="16">
        <f t="shared" si="0"/>
        <v>7.0799999999999992</v>
      </c>
      <c r="I17" s="16">
        <f t="shared" si="1"/>
        <v>8</v>
      </c>
      <c r="J17" s="91"/>
      <c r="K17" s="91"/>
      <c r="L17" s="98"/>
    </row>
    <row r="18" spans="2:14" ht="15.75" thickBot="1" x14ac:dyDescent="0.3">
      <c r="B18" s="108"/>
      <c r="C18" s="19" t="s">
        <v>44</v>
      </c>
      <c r="D18" s="19" t="s">
        <v>167</v>
      </c>
      <c r="E18" s="16">
        <f>6.6*(1/3)</f>
        <v>2.1999999999999997</v>
      </c>
      <c r="F18" s="19" t="s">
        <v>149</v>
      </c>
      <c r="G18" s="16">
        <f t="shared" ref="G18:G26" si="3">+E18+1.5</f>
        <v>3.6999999999999997</v>
      </c>
      <c r="H18" s="16">
        <f t="shared" si="0"/>
        <v>4.4399999999999995</v>
      </c>
      <c r="I18" s="16">
        <f t="shared" si="1"/>
        <v>5</v>
      </c>
      <c r="J18" s="91"/>
      <c r="K18" s="91"/>
      <c r="L18" s="98"/>
    </row>
    <row r="19" spans="2:14" ht="15.75" thickBot="1" x14ac:dyDescent="0.3">
      <c r="B19" s="108"/>
      <c r="C19" s="19" t="s">
        <v>44</v>
      </c>
      <c r="D19" s="19" t="s">
        <v>168</v>
      </c>
      <c r="E19" s="16">
        <f>8.26*(1/4)</f>
        <v>2.0649999999999999</v>
      </c>
      <c r="F19" s="19" t="s">
        <v>178</v>
      </c>
      <c r="G19" s="16">
        <f t="shared" si="3"/>
        <v>3.5649999999999999</v>
      </c>
      <c r="H19" s="16">
        <f t="shared" si="0"/>
        <v>4.2779999999999996</v>
      </c>
      <c r="I19" s="16">
        <f t="shared" si="1"/>
        <v>5</v>
      </c>
      <c r="J19" s="91"/>
      <c r="K19" s="91"/>
      <c r="L19" s="98"/>
    </row>
    <row r="20" spans="2:14" ht="15.75" thickBot="1" x14ac:dyDescent="0.3">
      <c r="B20" s="108"/>
      <c r="C20" s="19" t="s">
        <v>44</v>
      </c>
      <c r="D20" s="19" t="s">
        <v>169</v>
      </c>
      <c r="E20" s="16">
        <f>8.26*(2/4)</f>
        <v>4.13</v>
      </c>
      <c r="F20" s="19" t="s">
        <v>179</v>
      </c>
      <c r="G20" s="16">
        <f t="shared" si="3"/>
        <v>5.63</v>
      </c>
      <c r="H20" s="16">
        <f t="shared" si="0"/>
        <v>6.7559999999999993</v>
      </c>
      <c r="I20" s="16">
        <f t="shared" si="1"/>
        <v>7</v>
      </c>
      <c r="J20" s="91"/>
      <c r="K20" s="91"/>
      <c r="L20" s="98"/>
    </row>
    <row r="21" spans="2:14" ht="15.75" thickBot="1" x14ac:dyDescent="0.3">
      <c r="B21" s="108"/>
      <c r="C21" s="19" t="s">
        <v>44</v>
      </c>
      <c r="D21" s="19" t="s">
        <v>170</v>
      </c>
      <c r="E21" s="16">
        <f>8.26*(3/4)</f>
        <v>6.1950000000000003</v>
      </c>
      <c r="F21" s="19" t="s">
        <v>180</v>
      </c>
      <c r="G21" s="16">
        <f t="shared" si="3"/>
        <v>7.6950000000000003</v>
      </c>
      <c r="H21" s="16">
        <f t="shared" si="0"/>
        <v>9.234</v>
      </c>
      <c r="I21" s="16">
        <f t="shared" si="1"/>
        <v>10</v>
      </c>
      <c r="J21" s="91"/>
      <c r="K21" s="91"/>
      <c r="L21" s="98"/>
    </row>
    <row r="22" spans="2:14" ht="15.75" thickBot="1" x14ac:dyDescent="0.3">
      <c r="B22" s="108"/>
      <c r="C22" s="19" t="s">
        <v>44</v>
      </c>
      <c r="D22" s="19" t="s">
        <v>171</v>
      </c>
      <c r="E22" s="16">
        <f>8.26+6.6*(1/3)</f>
        <v>10.459999999999999</v>
      </c>
      <c r="F22" s="19" t="s">
        <v>181</v>
      </c>
      <c r="G22" s="16">
        <f t="shared" si="3"/>
        <v>11.959999999999999</v>
      </c>
      <c r="H22" s="16">
        <f t="shared" si="0"/>
        <v>14.351999999999999</v>
      </c>
      <c r="I22" s="16">
        <f t="shared" si="1"/>
        <v>15</v>
      </c>
      <c r="J22" s="91"/>
      <c r="K22" s="91"/>
      <c r="L22" s="98"/>
    </row>
    <row r="23" spans="2:14" ht="15.75" thickBot="1" x14ac:dyDescent="0.3">
      <c r="B23" s="108"/>
      <c r="C23" s="19" t="s">
        <v>44</v>
      </c>
      <c r="D23" s="19" t="s">
        <v>172</v>
      </c>
      <c r="E23" s="16">
        <f>8.26+6.6*(2/3)</f>
        <v>12.66</v>
      </c>
      <c r="F23" s="19" t="s">
        <v>182</v>
      </c>
      <c r="G23" s="16">
        <f t="shared" si="3"/>
        <v>14.16</v>
      </c>
      <c r="H23" s="16">
        <f t="shared" si="0"/>
        <v>16.992000000000001</v>
      </c>
      <c r="I23" s="16">
        <f t="shared" si="1"/>
        <v>17</v>
      </c>
      <c r="J23" s="91"/>
      <c r="K23" s="91"/>
      <c r="L23" s="98"/>
    </row>
    <row r="24" spans="2:14" ht="15.75" thickBot="1" x14ac:dyDescent="0.3">
      <c r="B24" s="108"/>
      <c r="C24" s="19" t="s">
        <v>44</v>
      </c>
      <c r="D24" s="19" t="s">
        <v>173</v>
      </c>
      <c r="E24" s="16">
        <f>8.26+6.6+6.6*(1/3)</f>
        <v>17.059999999999999</v>
      </c>
      <c r="F24" s="19" t="s">
        <v>183</v>
      </c>
      <c r="G24" s="16">
        <f t="shared" si="3"/>
        <v>18.559999999999999</v>
      </c>
      <c r="H24" s="16">
        <f t="shared" si="0"/>
        <v>22.271999999999998</v>
      </c>
      <c r="I24" s="16">
        <f t="shared" si="1"/>
        <v>23</v>
      </c>
      <c r="J24" s="91"/>
      <c r="K24" s="91"/>
      <c r="L24" s="98"/>
    </row>
    <row r="25" spans="2:14" ht="15.75" thickBot="1" x14ac:dyDescent="0.3">
      <c r="B25" s="108"/>
      <c r="C25" s="19" t="s">
        <v>44</v>
      </c>
      <c r="D25" s="19" t="s">
        <v>174</v>
      </c>
      <c r="E25" s="16">
        <f>8.26+6.6+6.6*(2/3)</f>
        <v>19.259999999999998</v>
      </c>
      <c r="F25" s="19" t="s">
        <v>184</v>
      </c>
      <c r="G25" s="16">
        <f t="shared" si="3"/>
        <v>20.759999999999998</v>
      </c>
      <c r="H25" s="16">
        <f t="shared" si="0"/>
        <v>24.911999999999995</v>
      </c>
      <c r="I25" s="16">
        <f t="shared" si="1"/>
        <v>25</v>
      </c>
      <c r="J25" s="91"/>
      <c r="K25" s="91"/>
      <c r="L25" s="98" t="str">
        <f>IF(K16&lt;=12,"1 of 12",IF(K16&lt;=24,"1 of 24",IF(K16&lt;=36,"1 of 24 and 1 of 12",0)))</f>
        <v>1 of 24</v>
      </c>
    </row>
    <row r="26" spans="2:14" ht="15.75" thickBot="1" x14ac:dyDescent="0.3">
      <c r="B26" s="108"/>
      <c r="C26" s="19" t="s">
        <v>44</v>
      </c>
      <c r="D26" s="19" t="s">
        <v>175</v>
      </c>
      <c r="E26" s="16">
        <f>8.26*(1/3)+6.6/2</f>
        <v>6.0533333333333328</v>
      </c>
      <c r="F26" s="19" t="s">
        <v>185</v>
      </c>
      <c r="G26" s="16">
        <f t="shared" si="3"/>
        <v>7.5533333333333328</v>
      </c>
      <c r="H26" s="16">
        <f t="shared" si="0"/>
        <v>9.0639999999999983</v>
      </c>
      <c r="I26" s="16">
        <f t="shared" si="1"/>
        <v>10</v>
      </c>
      <c r="J26" s="91"/>
      <c r="K26" s="91"/>
      <c r="L26" s="98"/>
    </row>
    <row r="27" spans="2:14" ht="15.75" thickBot="1" x14ac:dyDescent="0.3">
      <c r="B27" s="109"/>
      <c r="C27" s="31" t="s">
        <v>44</v>
      </c>
      <c r="D27" s="31" t="s">
        <v>176</v>
      </c>
      <c r="E27" s="32">
        <f>8.26*(2/3)+6.6/2</f>
        <v>8.8066666666666649</v>
      </c>
      <c r="F27" s="31" t="s">
        <v>186</v>
      </c>
      <c r="G27" s="32">
        <f>+E27+1.5</f>
        <v>10.306666666666665</v>
      </c>
      <c r="H27" s="32">
        <f t="shared" si="0"/>
        <v>12.367999999999997</v>
      </c>
      <c r="I27" s="32">
        <f t="shared" si="1"/>
        <v>13</v>
      </c>
      <c r="J27" s="92"/>
      <c r="K27" s="92"/>
      <c r="L27" s="99"/>
    </row>
    <row r="28" spans="2:14" ht="15.75" thickBot="1" x14ac:dyDescent="0.3">
      <c r="B28" s="110" t="s">
        <v>26</v>
      </c>
      <c r="C28" s="38" t="s">
        <v>43</v>
      </c>
      <c r="D28" s="38" t="s">
        <v>44</v>
      </c>
      <c r="E28" s="30">
        <f>6.6+0.28+1.91+0.28+1.94</f>
        <v>11.009999999999998</v>
      </c>
      <c r="F28" s="29" t="s">
        <v>187</v>
      </c>
      <c r="G28" s="30">
        <f>+E28+1.5</f>
        <v>12.509999999999998</v>
      </c>
      <c r="H28" s="30">
        <f t="shared" si="0"/>
        <v>15.011999999999997</v>
      </c>
      <c r="I28" s="30">
        <f t="shared" si="1"/>
        <v>16</v>
      </c>
      <c r="J28" s="90">
        <f>COUNTA(C29:C58)</f>
        <v>30</v>
      </c>
      <c r="K28" s="90">
        <f>COUNTA(C29:C58)*M28</f>
        <v>60</v>
      </c>
      <c r="L28" s="97" t="str">
        <f>IF(K28&lt;=12,"1 of 12",IF(K28&lt;=24,"1 of 24",IF(K28&lt;=48,"1 of 48",IF(K28&lt;=96,"2 of 48",0))))</f>
        <v>2 of 48</v>
      </c>
      <c r="M28" s="74">
        <v>2</v>
      </c>
      <c r="N28" s="73" t="str">
        <f>IF(OR(L28="1 of 12",L28="1 of 24"),"12U","24U")</f>
        <v>24U</v>
      </c>
    </row>
    <row r="29" spans="2:14" x14ac:dyDescent="0.25">
      <c r="B29" s="108"/>
      <c r="C29" s="19" t="s">
        <v>44</v>
      </c>
      <c r="D29" s="19" t="s">
        <v>188</v>
      </c>
      <c r="E29" s="16">
        <f>3.26/2</f>
        <v>1.63</v>
      </c>
      <c r="F29" s="19" t="s">
        <v>191</v>
      </c>
      <c r="G29" s="16">
        <f>+E29+1.5</f>
        <v>3.13</v>
      </c>
      <c r="H29" s="16">
        <f t="shared" si="0"/>
        <v>3.7559999999999998</v>
      </c>
      <c r="I29" s="16">
        <f t="shared" si="1"/>
        <v>4</v>
      </c>
      <c r="J29" s="91"/>
      <c r="K29" s="91"/>
      <c r="L29" s="98"/>
    </row>
    <row r="30" spans="2:14" ht="15.75" thickBot="1" x14ac:dyDescent="0.3">
      <c r="B30" s="108"/>
      <c r="C30" s="19" t="s">
        <v>44</v>
      </c>
      <c r="D30" s="19" t="s">
        <v>189</v>
      </c>
      <c r="E30" s="16">
        <f>2.74+5*(1/3)</f>
        <v>4.4066666666666663</v>
      </c>
      <c r="F30" s="19" t="s">
        <v>192</v>
      </c>
      <c r="G30" s="16">
        <f t="shared" ref="G30:G57" si="4">+E30+1.5</f>
        <v>5.9066666666666663</v>
      </c>
      <c r="H30" s="16">
        <f t="shared" si="0"/>
        <v>7.0879999999999992</v>
      </c>
      <c r="I30" s="16">
        <f t="shared" si="1"/>
        <v>8</v>
      </c>
      <c r="J30" s="91"/>
      <c r="K30" s="91"/>
      <c r="L30" s="98"/>
    </row>
    <row r="31" spans="2:14" ht="15.75" thickBot="1" x14ac:dyDescent="0.3">
      <c r="B31" s="111"/>
      <c r="C31" s="19" t="s">
        <v>44</v>
      </c>
      <c r="D31" s="19" t="s">
        <v>190</v>
      </c>
      <c r="E31" s="16">
        <f>2.74+5*(2/3)</f>
        <v>6.0733333333333333</v>
      </c>
      <c r="F31" s="19" t="s">
        <v>193</v>
      </c>
      <c r="G31" s="16">
        <f t="shared" si="4"/>
        <v>7.5733333333333333</v>
      </c>
      <c r="H31" s="16">
        <f t="shared" si="0"/>
        <v>9.0879999999999992</v>
      </c>
      <c r="I31" s="16">
        <f t="shared" si="1"/>
        <v>10</v>
      </c>
      <c r="J31" s="91"/>
      <c r="K31" s="91"/>
      <c r="L31" s="98"/>
    </row>
    <row r="32" spans="2:14" ht="15.75" thickBot="1" x14ac:dyDescent="0.3">
      <c r="B32" s="112" t="s">
        <v>27</v>
      </c>
      <c r="C32" s="19" t="s">
        <v>44</v>
      </c>
      <c r="D32" s="19" t="s">
        <v>194</v>
      </c>
      <c r="E32" s="16">
        <f>2.74+0.28+5/2</f>
        <v>5.5200000000000005</v>
      </c>
      <c r="F32" s="18" t="s">
        <v>221</v>
      </c>
      <c r="G32" s="16">
        <f t="shared" si="4"/>
        <v>7.0200000000000005</v>
      </c>
      <c r="H32" s="16">
        <f t="shared" si="0"/>
        <v>8.4239999999999995</v>
      </c>
      <c r="I32" s="16">
        <f t="shared" si="1"/>
        <v>9</v>
      </c>
      <c r="J32" s="91"/>
      <c r="K32" s="91"/>
      <c r="L32" s="98"/>
    </row>
    <row r="33" spans="2:12" ht="15.75" thickBot="1" x14ac:dyDescent="0.3">
      <c r="B33" s="108"/>
      <c r="C33" s="19" t="s">
        <v>44</v>
      </c>
      <c r="D33" s="19" t="s">
        <v>195</v>
      </c>
      <c r="E33" s="16">
        <f>2.74*2+0.28+5*(0.333333333333333)</f>
        <v>7.4266666666666659</v>
      </c>
      <c r="F33" s="19" t="s">
        <v>222</v>
      </c>
      <c r="G33" s="16">
        <f t="shared" si="4"/>
        <v>8.9266666666666659</v>
      </c>
      <c r="H33" s="16">
        <f t="shared" si="0"/>
        <v>10.711999999999998</v>
      </c>
      <c r="I33" s="16">
        <f t="shared" si="1"/>
        <v>11</v>
      </c>
      <c r="J33" s="91"/>
      <c r="K33" s="91"/>
      <c r="L33" s="98"/>
    </row>
    <row r="34" spans="2:12" ht="15.75" thickBot="1" x14ac:dyDescent="0.3">
      <c r="B34" s="111"/>
      <c r="C34" s="19" t="s">
        <v>44</v>
      </c>
      <c r="D34" s="19" t="s">
        <v>196</v>
      </c>
      <c r="E34" s="16">
        <f>2.74*2+0.28+5*(0.666666666666667)</f>
        <v>9.0933333333333355</v>
      </c>
      <c r="F34" s="19" t="s">
        <v>223</v>
      </c>
      <c r="G34" s="16">
        <f t="shared" si="4"/>
        <v>10.593333333333335</v>
      </c>
      <c r="H34" s="16">
        <f t="shared" si="0"/>
        <v>12.712000000000002</v>
      </c>
      <c r="I34" s="16">
        <f t="shared" si="1"/>
        <v>13</v>
      </c>
      <c r="J34" s="91"/>
      <c r="K34" s="91"/>
      <c r="L34" s="98"/>
    </row>
    <row r="35" spans="2:12" ht="15.75" thickBot="1" x14ac:dyDescent="0.3">
      <c r="B35" s="112" t="s">
        <v>28</v>
      </c>
      <c r="C35" s="19" t="s">
        <v>44</v>
      </c>
      <c r="D35" s="19" t="s">
        <v>197</v>
      </c>
      <c r="E35" s="16">
        <f>2.74*2+0.28*2+5*(0.333333333333333)</f>
        <v>7.7066666666666661</v>
      </c>
      <c r="F35" s="18" t="s">
        <v>224</v>
      </c>
      <c r="G35" s="16">
        <f t="shared" si="4"/>
        <v>9.206666666666667</v>
      </c>
      <c r="H35" s="16">
        <f t="shared" si="0"/>
        <v>11.048</v>
      </c>
      <c r="I35" s="16">
        <f t="shared" si="1"/>
        <v>12</v>
      </c>
      <c r="J35" s="91"/>
      <c r="K35" s="91"/>
      <c r="L35" s="98"/>
    </row>
    <row r="36" spans="2:12" ht="15.75" thickBot="1" x14ac:dyDescent="0.3">
      <c r="B36" s="108"/>
      <c r="C36" s="19" t="s">
        <v>44</v>
      </c>
      <c r="D36" s="19" t="s">
        <v>198</v>
      </c>
      <c r="E36" s="16">
        <f>2.74*2+0.28*2+5*(0.666666666666667)</f>
        <v>9.3733333333333348</v>
      </c>
      <c r="F36" s="19" t="s">
        <v>225</v>
      </c>
      <c r="G36" s="16">
        <f t="shared" si="4"/>
        <v>10.873333333333335</v>
      </c>
      <c r="H36" s="16">
        <f t="shared" si="0"/>
        <v>13.048000000000002</v>
      </c>
      <c r="I36" s="16">
        <f t="shared" si="1"/>
        <v>14</v>
      </c>
      <c r="J36" s="91"/>
      <c r="K36" s="91"/>
      <c r="L36" s="98"/>
    </row>
    <row r="37" spans="2:12" ht="15.75" thickBot="1" x14ac:dyDescent="0.3">
      <c r="B37" s="111"/>
      <c r="C37" s="19" t="s">
        <v>44</v>
      </c>
      <c r="D37" s="19" t="s">
        <v>199</v>
      </c>
      <c r="E37" s="16">
        <f>2.74*3+0.28*2+2.5</f>
        <v>11.280000000000001</v>
      </c>
      <c r="F37" s="19" t="s">
        <v>226</v>
      </c>
      <c r="G37" s="16">
        <f t="shared" si="4"/>
        <v>12.780000000000001</v>
      </c>
      <c r="H37" s="16">
        <f t="shared" si="0"/>
        <v>15.336</v>
      </c>
      <c r="I37" s="16">
        <f t="shared" si="1"/>
        <v>16</v>
      </c>
      <c r="J37" s="91"/>
      <c r="K37" s="91"/>
      <c r="L37" s="98"/>
    </row>
    <row r="38" spans="2:12" ht="15.75" thickBot="1" x14ac:dyDescent="0.3">
      <c r="B38" s="112" t="s">
        <v>29</v>
      </c>
      <c r="C38" s="19" t="s">
        <v>44</v>
      </c>
      <c r="D38" s="19" t="s">
        <v>200</v>
      </c>
      <c r="E38" s="16">
        <f>2.74*3+0.28*3+2.5</f>
        <v>11.56</v>
      </c>
      <c r="F38" s="19" t="s">
        <v>227</v>
      </c>
      <c r="G38" s="16">
        <f t="shared" si="4"/>
        <v>13.06</v>
      </c>
      <c r="H38" s="16">
        <f t="shared" si="0"/>
        <v>15.672000000000001</v>
      </c>
      <c r="I38" s="16">
        <f t="shared" si="1"/>
        <v>16</v>
      </c>
      <c r="J38" s="91"/>
      <c r="K38" s="91"/>
      <c r="L38" s="98"/>
    </row>
    <row r="39" spans="2:12" ht="15.75" thickBot="1" x14ac:dyDescent="0.3">
      <c r="B39" s="108"/>
      <c r="C39" s="19" t="s">
        <v>44</v>
      </c>
      <c r="D39" s="19" t="s">
        <v>201</v>
      </c>
      <c r="E39" s="16">
        <f>2.74*4+0.28*3+5*(0.333333333333333)</f>
        <v>13.466666666666665</v>
      </c>
      <c r="F39" s="19" t="s">
        <v>228</v>
      </c>
      <c r="G39" s="16">
        <f t="shared" si="4"/>
        <v>14.966666666666665</v>
      </c>
      <c r="H39" s="16">
        <f t="shared" si="0"/>
        <v>17.959999999999997</v>
      </c>
      <c r="I39" s="16">
        <f t="shared" si="1"/>
        <v>18</v>
      </c>
      <c r="J39" s="91"/>
      <c r="K39" s="91"/>
      <c r="L39" s="98"/>
    </row>
    <row r="40" spans="2:12" ht="15.75" thickBot="1" x14ac:dyDescent="0.3">
      <c r="B40" s="111"/>
      <c r="C40" s="19" t="s">
        <v>44</v>
      </c>
      <c r="D40" s="19" t="s">
        <v>202</v>
      </c>
      <c r="E40" s="16">
        <f>2.74*4+0.28*3+5*(0.666666666666667)</f>
        <v>15.133333333333336</v>
      </c>
      <c r="F40" s="19" t="s">
        <v>229</v>
      </c>
      <c r="G40" s="16">
        <f t="shared" si="4"/>
        <v>16.633333333333336</v>
      </c>
      <c r="H40" s="16">
        <f t="shared" si="0"/>
        <v>19.960000000000004</v>
      </c>
      <c r="I40" s="16">
        <f t="shared" si="1"/>
        <v>20</v>
      </c>
      <c r="J40" s="91"/>
      <c r="K40" s="91"/>
      <c r="L40" s="98"/>
    </row>
    <row r="41" spans="2:12" ht="15.75" thickBot="1" x14ac:dyDescent="0.3">
      <c r="B41" s="112" t="s">
        <v>30</v>
      </c>
      <c r="C41" s="19" t="s">
        <v>44</v>
      </c>
      <c r="D41" s="19" t="s">
        <v>203</v>
      </c>
      <c r="E41" s="16">
        <f>2.74*4+0.28*4+5*(0.666666666666667)</f>
        <v>15.413333333333338</v>
      </c>
      <c r="F41" s="19" t="s">
        <v>230</v>
      </c>
      <c r="G41" s="16">
        <f t="shared" si="4"/>
        <v>16.913333333333338</v>
      </c>
      <c r="H41" s="16">
        <f t="shared" si="0"/>
        <v>20.296000000000003</v>
      </c>
      <c r="I41" s="16">
        <f t="shared" si="1"/>
        <v>21</v>
      </c>
      <c r="J41" s="91"/>
      <c r="K41" s="91"/>
      <c r="L41" s="98"/>
    </row>
    <row r="42" spans="2:12" ht="15.75" thickBot="1" x14ac:dyDescent="0.3">
      <c r="B42" s="108"/>
      <c r="C42" s="19" t="s">
        <v>44</v>
      </c>
      <c r="D42" s="19" t="s">
        <v>209</v>
      </c>
      <c r="E42" s="16">
        <f>2.74*4+0.28*4+5*(0.333333333333333)</f>
        <v>13.746666666666666</v>
      </c>
      <c r="F42" s="19" t="s">
        <v>231</v>
      </c>
      <c r="G42" s="16">
        <f t="shared" si="4"/>
        <v>15.246666666666666</v>
      </c>
      <c r="H42" s="16">
        <f t="shared" si="0"/>
        <v>18.295999999999999</v>
      </c>
      <c r="I42" s="16">
        <f t="shared" si="1"/>
        <v>19</v>
      </c>
      <c r="J42" s="91"/>
      <c r="K42" s="91"/>
      <c r="L42" s="98"/>
    </row>
    <row r="43" spans="2:12" ht="15.75" thickBot="1" x14ac:dyDescent="0.3">
      <c r="B43" s="111"/>
      <c r="C43" s="19" t="s">
        <v>44</v>
      </c>
      <c r="D43" s="19" t="s">
        <v>210</v>
      </c>
      <c r="E43" s="16">
        <f>2.74*5+0.28*4+3.26/2</f>
        <v>16.45</v>
      </c>
      <c r="F43" s="19" t="s">
        <v>232</v>
      </c>
      <c r="G43" s="16">
        <f t="shared" si="4"/>
        <v>17.95</v>
      </c>
      <c r="H43" s="16">
        <f t="shared" si="0"/>
        <v>21.54</v>
      </c>
      <c r="I43" s="16">
        <f t="shared" si="1"/>
        <v>22</v>
      </c>
      <c r="J43" s="91"/>
      <c r="K43" s="91"/>
      <c r="L43" s="98"/>
    </row>
    <row r="44" spans="2:12" ht="15.75" thickBot="1" x14ac:dyDescent="0.3">
      <c r="B44" s="112" t="s">
        <v>31</v>
      </c>
      <c r="C44" s="19" t="s">
        <v>44</v>
      </c>
      <c r="D44" s="19" t="s">
        <v>204</v>
      </c>
      <c r="E44" s="16">
        <f>5+0.28+(5-3.23+(3.23/2))</f>
        <v>8.6649999999999991</v>
      </c>
      <c r="F44" s="19" t="s">
        <v>233</v>
      </c>
      <c r="G44" s="16">
        <f t="shared" si="4"/>
        <v>10.164999999999999</v>
      </c>
      <c r="H44" s="16">
        <f t="shared" si="0"/>
        <v>12.197999999999999</v>
      </c>
      <c r="I44" s="16">
        <f t="shared" si="1"/>
        <v>13</v>
      </c>
      <c r="J44" s="91"/>
      <c r="K44" s="91"/>
      <c r="L44" s="98" t="str">
        <f>IF(K32&lt;=12,"1 of 12",IF(K32&lt;=24,"1 of 24",IF(K32&lt;=36,"1 of 24 and 1 of 12",0)))</f>
        <v>1 of 12</v>
      </c>
    </row>
    <row r="45" spans="2:12" ht="15.75" thickBot="1" x14ac:dyDescent="0.3">
      <c r="B45" s="108"/>
      <c r="C45" s="19" t="s">
        <v>44</v>
      </c>
      <c r="D45" s="19" t="s">
        <v>211</v>
      </c>
      <c r="E45" s="16">
        <f>2.74+5+0.28+5*(0.333333333333333)</f>
        <v>9.6866666666666639</v>
      </c>
      <c r="F45" s="19" t="s">
        <v>234</v>
      </c>
      <c r="G45" s="16">
        <f t="shared" si="4"/>
        <v>11.186666666666664</v>
      </c>
      <c r="H45" s="16">
        <f t="shared" si="0"/>
        <v>13.423999999999996</v>
      </c>
      <c r="I45" s="16">
        <f t="shared" si="1"/>
        <v>14</v>
      </c>
      <c r="J45" s="91"/>
      <c r="K45" s="91"/>
      <c r="L45" s="98"/>
    </row>
    <row r="46" spans="2:12" ht="15.75" thickBot="1" x14ac:dyDescent="0.3">
      <c r="B46" s="111"/>
      <c r="C46" s="19" t="s">
        <v>44</v>
      </c>
      <c r="D46" s="19" t="s">
        <v>212</v>
      </c>
      <c r="E46" s="16">
        <f>2.74+5+0.28+5*(0.666666666666667)</f>
        <v>11.353333333333335</v>
      </c>
      <c r="F46" s="19" t="s">
        <v>235</v>
      </c>
      <c r="G46" s="16">
        <f t="shared" si="4"/>
        <v>12.853333333333335</v>
      </c>
      <c r="H46" s="16">
        <f t="shared" si="0"/>
        <v>15.424000000000001</v>
      </c>
      <c r="I46" s="16">
        <f t="shared" si="1"/>
        <v>16</v>
      </c>
      <c r="J46" s="91"/>
      <c r="K46" s="91"/>
      <c r="L46" s="98"/>
    </row>
    <row r="47" spans="2:12" ht="15.75" thickBot="1" x14ac:dyDescent="0.3">
      <c r="B47" s="112" t="s">
        <v>32</v>
      </c>
      <c r="C47" s="19" t="s">
        <v>44</v>
      </c>
      <c r="D47" s="19" t="s">
        <v>205</v>
      </c>
      <c r="E47" s="16">
        <f>2.74+0.28*2+5+2.5</f>
        <v>10.8</v>
      </c>
      <c r="F47" s="19" t="s">
        <v>239</v>
      </c>
      <c r="G47" s="16">
        <f t="shared" si="4"/>
        <v>12.3</v>
      </c>
      <c r="H47" s="16">
        <f t="shared" si="0"/>
        <v>14.76</v>
      </c>
      <c r="I47" s="16">
        <f t="shared" si="1"/>
        <v>15</v>
      </c>
      <c r="J47" s="91"/>
      <c r="K47" s="91"/>
      <c r="L47" s="98"/>
    </row>
    <row r="48" spans="2:12" ht="15.75" thickBot="1" x14ac:dyDescent="0.3">
      <c r="B48" s="108"/>
      <c r="C48" s="19" t="s">
        <v>44</v>
      </c>
      <c r="D48" s="19" t="s">
        <v>213</v>
      </c>
      <c r="E48" s="16">
        <f>2.74*2+0.28*2+5+5*(0.333333333333333)</f>
        <v>12.706666666666665</v>
      </c>
      <c r="F48" s="19" t="s">
        <v>236</v>
      </c>
      <c r="G48" s="16">
        <f t="shared" si="4"/>
        <v>14.206666666666665</v>
      </c>
      <c r="H48" s="16">
        <f t="shared" si="0"/>
        <v>17.047999999999998</v>
      </c>
      <c r="I48" s="16">
        <f t="shared" si="1"/>
        <v>18</v>
      </c>
      <c r="J48" s="91"/>
      <c r="K48" s="91"/>
      <c r="L48" s="98"/>
    </row>
    <row r="49" spans="2:14" ht="15.75" thickBot="1" x14ac:dyDescent="0.3">
      <c r="B49" s="111"/>
      <c r="C49" s="19" t="s">
        <v>44</v>
      </c>
      <c r="D49" s="19" t="s">
        <v>214</v>
      </c>
      <c r="E49" s="16">
        <f>2.74*2+0.28*2+5+5*(0.666666666666667)</f>
        <v>14.373333333333335</v>
      </c>
      <c r="F49" s="19" t="s">
        <v>237</v>
      </c>
      <c r="G49" s="16">
        <f t="shared" si="4"/>
        <v>15.873333333333335</v>
      </c>
      <c r="H49" s="16">
        <f t="shared" si="0"/>
        <v>19.048000000000002</v>
      </c>
      <c r="I49" s="16">
        <f t="shared" si="1"/>
        <v>20</v>
      </c>
      <c r="J49" s="91"/>
      <c r="K49" s="91"/>
      <c r="L49" s="98"/>
    </row>
    <row r="50" spans="2:14" ht="15.75" thickBot="1" x14ac:dyDescent="0.3">
      <c r="B50" s="112" t="s">
        <v>33</v>
      </c>
      <c r="C50" s="19" t="s">
        <v>44</v>
      </c>
      <c r="D50" s="19" t="s">
        <v>206</v>
      </c>
      <c r="E50" s="16">
        <f>2.74*2+0.28*3+5+5*(0.666666666666667)</f>
        <v>14.653333333333336</v>
      </c>
      <c r="F50" s="19" t="s">
        <v>238</v>
      </c>
      <c r="G50" s="16">
        <f t="shared" si="4"/>
        <v>16.153333333333336</v>
      </c>
      <c r="H50" s="16">
        <f t="shared" si="0"/>
        <v>19.384000000000004</v>
      </c>
      <c r="I50" s="16">
        <f t="shared" si="1"/>
        <v>20</v>
      </c>
      <c r="J50" s="91"/>
      <c r="K50" s="91"/>
      <c r="L50" s="98"/>
    </row>
    <row r="51" spans="2:14" ht="15.75" thickBot="1" x14ac:dyDescent="0.3">
      <c r="B51" s="108"/>
      <c r="C51" s="19" t="s">
        <v>44</v>
      </c>
      <c r="D51" s="19" t="s">
        <v>215</v>
      </c>
      <c r="E51" s="16">
        <f>2.74*3+0.28*3+5+5*(0.333333333333333)</f>
        <v>15.726666666666665</v>
      </c>
      <c r="F51" s="19" t="s">
        <v>242</v>
      </c>
      <c r="G51" s="16">
        <f t="shared" si="4"/>
        <v>17.226666666666667</v>
      </c>
      <c r="H51" s="16">
        <f t="shared" si="0"/>
        <v>20.672000000000001</v>
      </c>
      <c r="I51" s="16">
        <f t="shared" si="1"/>
        <v>21</v>
      </c>
      <c r="J51" s="91"/>
      <c r="K51" s="91"/>
      <c r="L51" s="98" t="str">
        <f>IF(K51&lt;=12,"1 of 12",IF(K51&lt;=24,"1 of 24",IF(K51&lt;=36,"1 of 24 and 1 of 12",0)))</f>
        <v>1 of 12</v>
      </c>
    </row>
    <row r="52" spans="2:14" ht="15.75" thickBot="1" x14ac:dyDescent="0.3">
      <c r="B52" s="111"/>
      <c r="C52" s="19" t="s">
        <v>44</v>
      </c>
      <c r="D52" s="19" t="s">
        <v>216</v>
      </c>
      <c r="E52" s="16">
        <f>2.74*3+0.28*3+5+2.5</f>
        <v>16.560000000000002</v>
      </c>
      <c r="F52" s="19" t="s">
        <v>240</v>
      </c>
      <c r="G52" s="16">
        <f t="shared" si="4"/>
        <v>18.060000000000002</v>
      </c>
      <c r="H52" s="16">
        <f t="shared" si="0"/>
        <v>21.672000000000001</v>
      </c>
      <c r="I52" s="16">
        <f t="shared" si="1"/>
        <v>22</v>
      </c>
      <c r="J52" s="91"/>
      <c r="K52" s="91"/>
      <c r="L52" s="98"/>
    </row>
    <row r="53" spans="2:14" ht="15.75" thickBot="1" x14ac:dyDescent="0.3">
      <c r="B53" s="112" t="s">
        <v>34</v>
      </c>
      <c r="C53" s="19" t="s">
        <v>44</v>
      </c>
      <c r="D53" s="19" t="s">
        <v>207</v>
      </c>
      <c r="E53" s="16">
        <f>2.74*3+0.28*4+5+2.5</f>
        <v>16.84</v>
      </c>
      <c r="F53" s="19" t="s">
        <v>241</v>
      </c>
      <c r="G53" s="16">
        <f t="shared" si="4"/>
        <v>18.34</v>
      </c>
      <c r="H53" s="16">
        <f t="shared" si="0"/>
        <v>22.007999999999999</v>
      </c>
      <c r="I53" s="16">
        <f t="shared" si="1"/>
        <v>23</v>
      </c>
      <c r="J53" s="91"/>
      <c r="K53" s="91"/>
      <c r="L53" s="98"/>
    </row>
    <row r="54" spans="2:14" ht="15.75" thickBot="1" x14ac:dyDescent="0.3">
      <c r="B54" s="108"/>
      <c r="C54" s="19" t="s">
        <v>44</v>
      </c>
      <c r="D54" s="19" t="s">
        <v>217</v>
      </c>
      <c r="E54" s="16">
        <f>2.74*4+0.28*4+5+5*(0.333333333333333)</f>
        <v>18.746666666666666</v>
      </c>
      <c r="F54" s="19" t="s">
        <v>243</v>
      </c>
      <c r="G54" s="16">
        <f t="shared" si="4"/>
        <v>20.246666666666666</v>
      </c>
      <c r="H54" s="16">
        <f t="shared" si="0"/>
        <v>24.295999999999999</v>
      </c>
      <c r="I54" s="16">
        <f t="shared" si="1"/>
        <v>25</v>
      </c>
      <c r="J54" s="91"/>
      <c r="K54" s="91"/>
      <c r="L54" s="98"/>
    </row>
    <row r="55" spans="2:14" ht="15.75" thickBot="1" x14ac:dyDescent="0.3">
      <c r="B55" s="111"/>
      <c r="C55" s="19" t="s">
        <v>44</v>
      </c>
      <c r="D55" s="19" t="s">
        <v>218</v>
      </c>
      <c r="E55" s="16">
        <f>2.74*4+0.28*4+5+5*(0.666666666666667)</f>
        <v>20.413333333333338</v>
      </c>
      <c r="F55" s="19" t="s">
        <v>244</v>
      </c>
      <c r="G55" s="16">
        <f t="shared" si="4"/>
        <v>21.913333333333338</v>
      </c>
      <c r="H55" s="16">
        <f t="shared" si="0"/>
        <v>26.296000000000003</v>
      </c>
      <c r="I55" s="16">
        <f t="shared" si="1"/>
        <v>27</v>
      </c>
      <c r="J55" s="91"/>
      <c r="K55" s="91"/>
      <c r="L55" s="98"/>
    </row>
    <row r="56" spans="2:14" ht="15.75" thickBot="1" x14ac:dyDescent="0.3">
      <c r="B56" s="112" t="s">
        <v>35</v>
      </c>
      <c r="C56" s="19" t="s">
        <v>44</v>
      </c>
      <c r="D56" s="19" t="s">
        <v>208</v>
      </c>
      <c r="E56" s="16">
        <f>2.74*4+0.28*5+5+5*(0.666666666666667)</f>
        <v>20.693333333333335</v>
      </c>
      <c r="F56" s="19" t="s">
        <v>245</v>
      </c>
      <c r="G56" s="16">
        <f t="shared" si="4"/>
        <v>22.193333333333335</v>
      </c>
      <c r="H56" s="16">
        <f t="shared" si="0"/>
        <v>26.632000000000001</v>
      </c>
      <c r="I56" s="16">
        <f t="shared" si="1"/>
        <v>27</v>
      </c>
      <c r="J56" s="91"/>
      <c r="K56" s="91"/>
      <c r="L56" s="98"/>
    </row>
    <row r="57" spans="2:14" ht="15.75" thickBot="1" x14ac:dyDescent="0.3">
      <c r="B57" s="108"/>
      <c r="C57" s="19" t="s">
        <v>44</v>
      </c>
      <c r="D57" s="19" t="s">
        <v>219</v>
      </c>
      <c r="E57" s="16">
        <f>2.74*4+0.28*5+5+5*(0.333333333333333)</f>
        <v>19.026666666666664</v>
      </c>
      <c r="F57" s="19" t="s">
        <v>246</v>
      </c>
      <c r="G57" s="16">
        <f t="shared" si="4"/>
        <v>20.526666666666664</v>
      </c>
      <c r="H57" s="16">
        <f t="shared" si="0"/>
        <v>24.631999999999994</v>
      </c>
      <c r="I57" s="16">
        <f t="shared" si="1"/>
        <v>25</v>
      </c>
      <c r="J57" s="91"/>
      <c r="K57" s="91"/>
      <c r="L57" s="98"/>
    </row>
    <row r="58" spans="2:14" ht="15.75" thickBot="1" x14ac:dyDescent="0.3">
      <c r="B58" s="109"/>
      <c r="C58" s="31" t="s">
        <v>44</v>
      </c>
      <c r="D58" s="31" t="s">
        <v>220</v>
      </c>
      <c r="E58" s="32">
        <f>2.74*5+0.28*5+5+(5-3.23+(3.23/2))</f>
        <v>23.484999999999999</v>
      </c>
      <c r="F58" s="31" t="s">
        <v>247</v>
      </c>
      <c r="G58" s="32">
        <f>+E58+1.5</f>
        <v>24.984999999999999</v>
      </c>
      <c r="H58" s="32">
        <f t="shared" si="0"/>
        <v>29.981999999999999</v>
      </c>
      <c r="I58" s="32">
        <f t="shared" si="1"/>
        <v>30</v>
      </c>
      <c r="J58" s="92"/>
      <c r="K58" s="92"/>
      <c r="L58" s="99"/>
    </row>
    <row r="59" spans="2:14" ht="19.149999999999999" customHeight="1" thickBot="1" x14ac:dyDescent="0.3">
      <c r="B59" s="110" t="s">
        <v>36</v>
      </c>
      <c r="C59" s="38" t="s">
        <v>43</v>
      </c>
      <c r="D59" s="38" t="s">
        <v>44</v>
      </c>
      <c r="E59" s="30">
        <f>6.6+0.28+1.91+0.28+5+0.28+5+2.16+0.28</f>
        <v>21.79</v>
      </c>
      <c r="F59" s="29" t="s">
        <v>248</v>
      </c>
      <c r="G59" s="30">
        <f>+E59+1.5</f>
        <v>23.29</v>
      </c>
      <c r="H59" s="30">
        <f t="shared" si="0"/>
        <v>27.947999999999997</v>
      </c>
      <c r="I59" s="30">
        <f t="shared" si="1"/>
        <v>28</v>
      </c>
      <c r="J59" s="90">
        <f>COUNTA(C60:C68)</f>
        <v>9</v>
      </c>
      <c r="K59" s="90">
        <f>COUNTA(C60:C68)*M59</f>
        <v>18</v>
      </c>
      <c r="L59" s="97" t="str">
        <f>IF(K59&lt;=12,"1 of 12",IF(K59&lt;=24,"1 of 24",IF(K59&lt;=48,"1 of 48",0)))</f>
        <v>1 of 24</v>
      </c>
      <c r="M59" s="74">
        <v>2</v>
      </c>
      <c r="N59" s="73" t="str">
        <f>IF(OR(L59="1 of 12",L59="1 of 24"),"12U","24U")</f>
        <v>12U</v>
      </c>
    </row>
    <row r="60" spans="2:14" ht="19.149999999999999" customHeight="1" x14ac:dyDescent="0.25">
      <c r="B60" s="108"/>
      <c r="C60" s="19" t="s">
        <v>44</v>
      </c>
      <c r="D60" s="19" t="s">
        <v>249</v>
      </c>
      <c r="E60" s="16">
        <f>7.14+5.82+5.46*(0.333333333333333)</f>
        <v>14.78</v>
      </c>
      <c r="F60" s="19" t="s">
        <v>258</v>
      </c>
      <c r="G60" s="16">
        <f>+E60+1.5</f>
        <v>16.28</v>
      </c>
      <c r="H60" s="16">
        <f t="shared" ref="H60:H63" si="5">G60*1.2</f>
        <v>19.536000000000001</v>
      </c>
      <c r="I60" s="16">
        <f t="shared" ref="I60:I63" si="6">_xlfn.CEILING.MATH(H60,1,0)</f>
        <v>20</v>
      </c>
      <c r="J60" s="91"/>
      <c r="K60" s="91"/>
      <c r="L60" s="98"/>
    </row>
    <row r="61" spans="2:14" ht="19.149999999999999" customHeight="1" x14ac:dyDescent="0.25">
      <c r="B61" s="108"/>
      <c r="C61" s="19" t="s">
        <v>44</v>
      </c>
      <c r="D61" s="19" t="s">
        <v>250</v>
      </c>
      <c r="E61" s="16">
        <f>7.14+5.82+5.46*(0.666666666666667)</f>
        <v>16.600000000000001</v>
      </c>
      <c r="F61" s="19" t="s">
        <v>259</v>
      </c>
      <c r="G61" s="16">
        <f t="shared" ref="G61:G67" si="7">+E61+1.5</f>
        <v>18.100000000000001</v>
      </c>
      <c r="H61" s="16">
        <f t="shared" si="5"/>
        <v>21.720000000000002</v>
      </c>
      <c r="I61" s="16">
        <f t="shared" si="6"/>
        <v>22</v>
      </c>
      <c r="J61" s="91"/>
      <c r="K61" s="91"/>
      <c r="L61" s="98"/>
    </row>
    <row r="62" spans="2:14" ht="19.149999999999999" customHeight="1" x14ac:dyDescent="0.25">
      <c r="B62" s="108"/>
      <c r="C62" s="19" t="s">
        <v>44</v>
      </c>
      <c r="D62" s="19" t="s">
        <v>251</v>
      </c>
      <c r="E62" s="16">
        <f>5.82*(0.666666666666667)</f>
        <v>3.8800000000000021</v>
      </c>
      <c r="F62" s="19" t="s">
        <v>260</v>
      </c>
      <c r="G62" s="16">
        <f t="shared" si="7"/>
        <v>5.3800000000000026</v>
      </c>
      <c r="H62" s="16">
        <f t="shared" si="5"/>
        <v>6.4560000000000031</v>
      </c>
      <c r="I62" s="16">
        <f t="shared" si="6"/>
        <v>7</v>
      </c>
      <c r="J62" s="91"/>
      <c r="K62" s="91"/>
      <c r="L62" s="98"/>
    </row>
    <row r="63" spans="2:14" ht="19.149999999999999" customHeight="1" x14ac:dyDescent="0.25">
      <c r="B63" s="108"/>
      <c r="C63" s="19" t="s">
        <v>44</v>
      </c>
      <c r="D63" s="19" t="s">
        <v>252</v>
      </c>
      <c r="E63" s="16">
        <f>5.82*(0.333333333333333)</f>
        <v>1.9399999999999979</v>
      </c>
      <c r="F63" s="19" t="s">
        <v>261</v>
      </c>
      <c r="G63" s="16">
        <f t="shared" si="7"/>
        <v>3.4399999999999977</v>
      </c>
      <c r="H63" s="16">
        <f t="shared" si="5"/>
        <v>4.1279999999999974</v>
      </c>
      <c r="I63" s="16">
        <f t="shared" si="6"/>
        <v>5</v>
      </c>
      <c r="J63" s="91"/>
      <c r="K63" s="91"/>
      <c r="L63" s="98"/>
    </row>
    <row r="64" spans="2:14" ht="19.149999999999999" customHeight="1" x14ac:dyDescent="0.25">
      <c r="B64" s="108"/>
      <c r="C64" s="19" t="s">
        <v>44</v>
      </c>
      <c r="D64" s="19" t="s">
        <v>253</v>
      </c>
      <c r="E64" s="16">
        <f>7.14*(0.25)</f>
        <v>1.7849999999999999</v>
      </c>
      <c r="F64" s="19" t="s">
        <v>262</v>
      </c>
      <c r="G64" s="16">
        <f t="shared" si="7"/>
        <v>3.2850000000000001</v>
      </c>
      <c r="H64" s="16">
        <f t="shared" ref="H64:H66" si="8">G64*1.2</f>
        <v>3.9420000000000002</v>
      </c>
      <c r="I64" s="16">
        <f t="shared" ref="I64:I66" si="9">_xlfn.CEILING.MATH(H64,1,0)</f>
        <v>4</v>
      </c>
      <c r="J64" s="91"/>
      <c r="K64" s="91"/>
      <c r="L64" s="98"/>
    </row>
    <row r="65" spans="2:12" ht="19.149999999999999" customHeight="1" x14ac:dyDescent="0.25">
      <c r="B65" s="108"/>
      <c r="C65" s="19" t="s">
        <v>44</v>
      </c>
      <c r="D65" s="19" t="s">
        <v>254</v>
      </c>
      <c r="E65" s="16">
        <f>7.14*(0.5)</f>
        <v>3.57</v>
      </c>
      <c r="F65" s="19" t="s">
        <v>263</v>
      </c>
      <c r="G65" s="16">
        <f t="shared" si="7"/>
        <v>5.07</v>
      </c>
      <c r="H65" s="16">
        <f t="shared" si="8"/>
        <v>6.0840000000000005</v>
      </c>
      <c r="I65" s="16">
        <f t="shared" si="9"/>
        <v>7</v>
      </c>
      <c r="J65" s="91"/>
      <c r="K65" s="91"/>
      <c r="L65" s="98"/>
    </row>
    <row r="66" spans="2:12" ht="19.149999999999999" customHeight="1" x14ac:dyDescent="0.25">
      <c r="B66" s="108"/>
      <c r="C66" s="19" t="s">
        <v>44</v>
      </c>
      <c r="D66" s="19" t="s">
        <v>255</v>
      </c>
      <c r="E66" s="16">
        <f>7.14*(0.75)</f>
        <v>5.3549999999999995</v>
      </c>
      <c r="F66" s="19" t="s">
        <v>264</v>
      </c>
      <c r="G66" s="16">
        <f t="shared" si="7"/>
        <v>6.8549999999999995</v>
      </c>
      <c r="H66" s="16">
        <f t="shared" si="8"/>
        <v>8.2259999999999991</v>
      </c>
      <c r="I66" s="16">
        <f t="shared" si="9"/>
        <v>9</v>
      </c>
      <c r="J66" s="91"/>
      <c r="K66" s="91"/>
      <c r="L66" s="98"/>
    </row>
    <row r="67" spans="2:12" ht="19.149999999999999" customHeight="1" x14ac:dyDescent="0.25">
      <c r="B67" s="108"/>
      <c r="C67" s="19" t="s">
        <v>44</v>
      </c>
      <c r="D67" s="19" t="s">
        <v>256</v>
      </c>
      <c r="E67" s="16">
        <f>7.14+5.82*(0.333333333333333)</f>
        <v>9.0799999999999983</v>
      </c>
      <c r="F67" s="19" t="s">
        <v>265</v>
      </c>
      <c r="G67" s="16">
        <f t="shared" si="7"/>
        <v>10.579999999999998</v>
      </c>
      <c r="H67" s="16">
        <f t="shared" ref="H67:H68" si="10">G67*1.2</f>
        <v>12.695999999999998</v>
      </c>
      <c r="I67" s="16">
        <f t="shared" ref="I67:I68" si="11">_xlfn.CEILING.MATH(H67,1,0)</f>
        <v>13</v>
      </c>
      <c r="J67" s="91"/>
      <c r="K67" s="91"/>
      <c r="L67" s="98"/>
    </row>
    <row r="68" spans="2:12" ht="19.149999999999999" customHeight="1" thickBot="1" x14ac:dyDescent="0.3">
      <c r="B68" s="109"/>
      <c r="C68" s="31" t="s">
        <v>44</v>
      </c>
      <c r="D68" s="31" t="s">
        <v>257</v>
      </c>
      <c r="E68" s="32">
        <f>7.14+5.82*(0.666666666666667)</f>
        <v>11.020000000000001</v>
      </c>
      <c r="F68" s="31" t="s">
        <v>266</v>
      </c>
      <c r="G68" s="32">
        <f>+E68+1.5</f>
        <v>12.520000000000001</v>
      </c>
      <c r="H68" s="32">
        <f t="shared" si="10"/>
        <v>15.024000000000001</v>
      </c>
      <c r="I68" s="32">
        <f t="shared" si="11"/>
        <v>16</v>
      </c>
      <c r="J68" s="92"/>
      <c r="K68" s="92"/>
      <c r="L68" s="99"/>
    </row>
    <row r="69" spans="2:12" x14ac:dyDescent="0.25">
      <c r="B69" s="26" t="s">
        <v>267</v>
      </c>
      <c r="C69" s="20"/>
      <c r="D69" s="20"/>
      <c r="E69" s="27"/>
      <c r="F69" s="20"/>
      <c r="G69" s="28">
        <f>SUM(G5:G68)</f>
        <v>749.00000000000011</v>
      </c>
      <c r="H69" s="28">
        <f>SUM(H5:H68)</f>
        <v>898.8</v>
      </c>
      <c r="I69" s="28">
        <f>SUM(I5:I68)</f>
        <v>937</v>
      </c>
      <c r="J69" s="37">
        <f>SUM(J5:J68)</f>
        <v>60</v>
      </c>
      <c r="K69" s="37">
        <f>SUM(K5:K68)</f>
        <v>120</v>
      </c>
    </row>
  </sheetData>
  <autoFilter ref="N1:N69" xr:uid="{08733C9E-ACA1-4946-9B9E-7EC683021FDA}"/>
  <mergeCells count="26">
    <mergeCell ref="K5:K15"/>
    <mergeCell ref="L5:L15"/>
    <mergeCell ref="B5:B15"/>
    <mergeCell ref="B28:B31"/>
    <mergeCell ref="B16:B27"/>
    <mergeCell ref="K16:K27"/>
    <mergeCell ref="K59:K68"/>
    <mergeCell ref="K28:K58"/>
    <mergeCell ref="L16:L27"/>
    <mergeCell ref="L28:L58"/>
    <mergeCell ref="L59:L68"/>
    <mergeCell ref="J5:J15"/>
    <mergeCell ref="J16:J27"/>
    <mergeCell ref="J28:J58"/>
    <mergeCell ref="J59:J68"/>
    <mergeCell ref="B3:B4"/>
    <mergeCell ref="B32:B34"/>
    <mergeCell ref="B59:B68"/>
    <mergeCell ref="B35:B37"/>
    <mergeCell ref="B38:B40"/>
    <mergeCell ref="B56:B58"/>
    <mergeCell ref="B41:B43"/>
    <mergeCell ref="B44:B46"/>
    <mergeCell ref="B47:B49"/>
    <mergeCell ref="B50:B52"/>
    <mergeCell ref="B53:B55"/>
  </mergeCells>
  <phoneticPr fontId="2" type="noConversion"/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9763-12E7-41DC-99F3-738638A8C84B}">
  <sheetPr>
    <pageSetUpPr fitToPage="1"/>
  </sheetPr>
  <dimension ref="B1:G21"/>
  <sheetViews>
    <sheetView view="pageBreakPreview" zoomScale="85" zoomScaleNormal="70" zoomScaleSheetLayoutView="85" workbookViewId="0">
      <selection activeCell="B10" sqref="B10:G21"/>
    </sheetView>
  </sheetViews>
  <sheetFormatPr defaultRowHeight="15" x14ac:dyDescent="0.25"/>
  <cols>
    <col min="2" max="2" width="16.140625" customWidth="1"/>
    <col min="3" max="3" width="15.28515625" customWidth="1"/>
    <col min="4" max="4" width="15.85546875" customWidth="1"/>
    <col min="5" max="5" width="39.42578125" customWidth="1"/>
    <col min="6" max="6" width="21.28515625" customWidth="1"/>
    <col min="7" max="7" width="21" customWidth="1"/>
  </cols>
  <sheetData>
    <row r="1" spans="2:7" ht="15.75" thickBot="1" x14ac:dyDescent="0.3"/>
    <row r="2" spans="2:7" ht="45" x14ac:dyDescent="0.25">
      <c r="B2" s="67" t="s">
        <v>38</v>
      </c>
      <c r="C2" s="38" t="s">
        <v>39</v>
      </c>
      <c r="D2" s="68" t="s">
        <v>273</v>
      </c>
      <c r="E2" s="68" t="s">
        <v>274</v>
      </c>
      <c r="F2" s="38" t="s">
        <v>142</v>
      </c>
      <c r="G2" s="72" t="s">
        <v>143</v>
      </c>
    </row>
    <row r="3" spans="2:7" x14ac:dyDescent="0.25">
      <c r="B3" s="66" t="s">
        <v>272</v>
      </c>
      <c r="C3" s="21" t="s">
        <v>281</v>
      </c>
      <c r="D3" s="16">
        <f>2.56*2+39.59</f>
        <v>44.71</v>
      </c>
      <c r="E3" s="16" t="s">
        <v>275</v>
      </c>
      <c r="F3" s="19">
        <f>D3*1.2</f>
        <v>53.652000000000001</v>
      </c>
      <c r="G3" s="69">
        <f>_xlfn.CEILING.MATH(F3,1,0)</f>
        <v>54</v>
      </c>
    </row>
    <row r="4" spans="2:7" x14ac:dyDescent="0.25">
      <c r="B4" s="66" t="s">
        <v>272</v>
      </c>
      <c r="C4" s="21" t="s">
        <v>282</v>
      </c>
      <c r="D4" s="16">
        <f>2.56*2+39.59+56.43</f>
        <v>101.14</v>
      </c>
      <c r="E4" s="16" t="s">
        <v>276</v>
      </c>
      <c r="F4" s="19">
        <f t="shared" ref="F4:F6" si="0">D4*1.2</f>
        <v>121.36799999999999</v>
      </c>
      <c r="G4" s="69">
        <f>_xlfn.CEILING.MATH(F4,1,0)</f>
        <v>122</v>
      </c>
    </row>
    <row r="5" spans="2:7" x14ac:dyDescent="0.25">
      <c r="B5" s="66" t="s">
        <v>272</v>
      </c>
      <c r="C5" s="21" t="s">
        <v>283</v>
      </c>
      <c r="D5" s="16">
        <f>2.56*2+6.46+53.6+47.72+56.42</f>
        <v>169.32</v>
      </c>
      <c r="E5" s="16" t="s">
        <v>277</v>
      </c>
      <c r="F5" s="19">
        <f t="shared" si="0"/>
        <v>203.184</v>
      </c>
      <c r="G5" s="69">
        <f>_xlfn.CEILING.MATH(F5,1,0)</f>
        <v>204</v>
      </c>
    </row>
    <row r="6" spans="2:7" ht="15.75" thickBot="1" x14ac:dyDescent="0.3">
      <c r="B6" s="85" t="s">
        <v>272</v>
      </c>
      <c r="C6" s="86" t="s">
        <v>284</v>
      </c>
      <c r="D6" s="87">
        <f>2.56*2+6.46+53.6+47.72</f>
        <v>112.9</v>
      </c>
      <c r="E6" s="32" t="s">
        <v>278</v>
      </c>
      <c r="F6" s="31">
        <f t="shared" si="0"/>
        <v>135.47999999999999</v>
      </c>
      <c r="G6" s="70">
        <f t="shared" ref="G6" si="1">_xlfn.CEILING.MATH(F6,1,0)</f>
        <v>136</v>
      </c>
    </row>
    <row r="7" spans="2:7" x14ac:dyDescent="0.25">
      <c r="B7" s="44" t="s">
        <v>267</v>
      </c>
      <c r="C7" s="80"/>
      <c r="D7" s="88">
        <f>SUM(D3:D6)</f>
        <v>428.06999999999994</v>
      </c>
      <c r="E7" s="71"/>
      <c r="F7" s="71">
        <f>SUM(F3:F6)</f>
        <v>513.68399999999997</v>
      </c>
      <c r="G7" s="71">
        <f>SUM(G3:G6)</f>
        <v>516</v>
      </c>
    </row>
    <row r="9" spans="2:7" ht="15.75" thickBot="1" x14ac:dyDescent="0.3">
      <c r="B9" s="113" t="s">
        <v>279</v>
      </c>
      <c r="C9" s="113"/>
      <c r="D9" s="113"/>
      <c r="E9" s="113"/>
      <c r="F9" s="113"/>
      <c r="G9" s="113"/>
    </row>
    <row r="10" spans="2:7" ht="45" x14ac:dyDescent="0.25">
      <c r="B10" s="67" t="s">
        <v>38</v>
      </c>
      <c r="C10" s="38" t="s">
        <v>39</v>
      </c>
      <c r="D10" s="68" t="s">
        <v>273</v>
      </c>
      <c r="E10" s="68" t="s">
        <v>274</v>
      </c>
      <c r="F10" s="38" t="s">
        <v>142</v>
      </c>
      <c r="G10" s="72" t="s">
        <v>143</v>
      </c>
    </row>
    <row r="11" spans="2:7" x14ac:dyDescent="0.25">
      <c r="B11" s="66" t="s">
        <v>280</v>
      </c>
      <c r="C11" s="21" t="s">
        <v>281</v>
      </c>
      <c r="D11" s="16">
        <f>2.56*2+39.59</f>
        <v>44.71</v>
      </c>
      <c r="E11" s="16" t="s">
        <v>275</v>
      </c>
      <c r="F11" s="19">
        <f>D11*1.2</f>
        <v>53.652000000000001</v>
      </c>
      <c r="G11" s="69">
        <f>_xlfn.CEILING.MATH(F11,1,0)</f>
        <v>54</v>
      </c>
    </row>
    <row r="12" spans="2:7" x14ac:dyDescent="0.25">
      <c r="B12" s="66" t="s">
        <v>281</v>
      </c>
      <c r="C12" s="21" t="s">
        <v>282</v>
      </c>
      <c r="D12" s="16">
        <f>2.56*2+56.43</f>
        <v>61.55</v>
      </c>
      <c r="E12" s="16" t="s">
        <v>285</v>
      </c>
      <c r="F12" s="19">
        <f t="shared" ref="F12:F14" si="2">D12*1.2</f>
        <v>73.86</v>
      </c>
      <c r="G12" s="69">
        <f>_xlfn.CEILING.MATH(F12,1,0)</f>
        <v>74</v>
      </c>
    </row>
    <row r="13" spans="2:7" x14ac:dyDescent="0.25">
      <c r="B13" s="66" t="s">
        <v>282</v>
      </c>
      <c r="C13" s="21" t="s">
        <v>283</v>
      </c>
      <c r="D13" s="16">
        <f>2.56*2+4.89*2+53.6</f>
        <v>68.5</v>
      </c>
      <c r="E13" s="16" t="s">
        <v>286</v>
      </c>
      <c r="F13" s="19">
        <f t="shared" si="2"/>
        <v>82.2</v>
      </c>
      <c r="G13" s="69">
        <f>_xlfn.CEILING.MATH(F13,1,0)</f>
        <v>83</v>
      </c>
    </row>
    <row r="14" spans="2:7" x14ac:dyDescent="0.25">
      <c r="B14" s="66" t="s">
        <v>283</v>
      </c>
      <c r="C14" s="21" t="s">
        <v>284</v>
      </c>
      <c r="D14" s="16">
        <f>2.56*2+56.42</f>
        <v>61.54</v>
      </c>
      <c r="E14" s="16" t="s">
        <v>287</v>
      </c>
      <c r="F14" s="19">
        <f t="shared" si="2"/>
        <v>73.847999999999999</v>
      </c>
      <c r="G14" s="69">
        <f t="shared" ref="G14" si="3">_xlfn.CEILING.MATH(F14,1,0)</f>
        <v>74</v>
      </c>
    </row>
    <row r="15" spans="2:7" x14ac:dyDescent="0.25">
      <c r="B15" s="66" t="s">
        <v>280</v>
      </c>
      <c r="C15" s="21" t="s">
        <v>282</v>
      </c>
      <c r="D15" s="16">
        <f>2.56*2+39.59+56.43</f>
        <v>101.14</v>
      </c>
      <c r="E15" s="16" t="s">
        <v>276</v>
      </c>
      <c r="F15" s="19">
        <f>D15*1.2</f>
        <v>121.36799999999999</v>
      </c>
      <c r="G15" s="69">
        <f t="shared" ref="G15:G20" si="4">_xlfn.CEILING.MATH(F15,1,0)</f>
        <v>122</v>
      </c>
    </row>
    <row r="16" spans="2:7" x14ac:dyDescent="0.25">
      <c r="B16" s="66" t="s">
        <v>281</v>
      </c>
      <c r="C16" s="21" t="s">
        <v>283</v>
      </c>
      <c r="D16" s="16">
        <f>2.56*2+56.43+4.89*2+53.6</f>
        <v>124.93</v>
      </c>
      <c r="E16" s="16" t="s">
        <v>288</v>
      </c>
      <c r="F16" s="19">
        <f t="shared" ref="F16:F17" si="5">D16*1.2</f>
        <v>149.916</v>
      </c>
      <c r="G16" s="69">
        <f t="shared" si="4"/>
        <v>150</v>
      </c>
    </row>
    <row r="17" spans="2:7" x14ac:dyDescent="0.25">
      <c r="B17" s="66" t="s">
        <v>282</v>
      </c>
      <c r="C17" s="21" t="s">
        <v>284</v>
      </c>
      <c r="D17" s="16">
        <f>2.56*2+4.89*2+53.6+56.42</f>
        <v>124.92</v>
      </c>
      <c r="E17" s="16" t="s">
        <v>289</v>
      </c>
      <c r="F17" s="19">
        <f t="shared" si="5"/>
        <v>149.904</v>
      </c>
      <c r="G17" s="69">
        <f t="shared" si="4"/>
        <v>150</v>
      </c>
    </row>
    <row r="18" spans="2:7" x14ac:dyDescent="0.25">
      <c r="B18" s="66" t="s">
        <v>280</v>
      </c>
      <c r="C18" s="21" t="s">
        <v>283</v>
      </c>
      <c r="D18" s="16">
        <f>2.56*2+6.46+53.6+47.72+56.42</f>
        <v>169.32</v>
      </c>
      <c r="E18" s="16" t="s">
        <v>277</v>
      </c>
      <c r="F18" s="19">
        <f>D18*1.2</f>
        <v>203.184</v>
      </c>
      <c r="G18" s="69">
        <f t="shared" si="4"/>
        <v>204</v>
      </c>
    </row>
    <row r="19" spans="2:7" x14ac:dyDescent="0.25">
      <c r="B19" s="66" t="s">
        <v>281</v>
      </c>
      <c r="C19" s="21" t="s">
        <v>284</v>
      </c>
      <c r="D19" s="16">
        <f>2.56*2+47.72*2+53.6</f>
        <v>154.16</v>
      </c>
      <c r="E19" s="16" t="s">
        <v>290</v>
      </c>
      <c r="F19" s="19">
        <f t="shared" ref="F19" si="6">D19*1.2</f>
        <v>184.99199999999999</v>
      </c>
      <c r="G19" s="69">
        <f t="shared" si="4"/>
        <v>185</v>
      </c>
    </row>
    <row r="20" spans="2:7" ht="15.75" thickBot="1" x14ac:dyDescent="0.3">
      <c r="B20" s="85" t="s">
        <v>280</v>
      </c>
      <c r="C20" s="86" t="s">
        <v>284</v>
      </c>
      <c r="D20" s="87">
        <f>2.56*2+6.46+53.6+47.72</f>
        <v>112.9</v>
      </c>
      <c r="E20" s="32" t="s">
        <v>278</v>
      </c>
      <c r="F20" s="31">
        <f>D20*1.2</f>
        <v>135.47999999999999</v>
      </c>
      <c r="G20" s="70">
        <f t="shared" si="4"/>
        <v>136</v>
      </c>
    </row>
    <row r="21" spans="2:7" x14ac:dyDescent="0.25">
      <c r="B21" s="44" t="s">
        <v>267</v>
      </c>
      <c r="C21" s="80"/>
      <c r="D21" s="88">
        <f>SUM(D11:D14)</f>
        <v>236.29999999999998</v>
      </c>
      <c r="E21" s="71"/>
      <c r="F21" s="71">
        <f>SUM(F11:F14)</f>
        <v>283.56</v>
      </c>
      <c r="G21" s="71">
        <f>SUM(G11:G14)</f>
        <v>285</v>
      </c>
    </row>
  </sheetData>
  <mergeCells count="1">
    <mergeCell ref="B9:G9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6DE4-B0DE-4AA8-981B-876F2130B140}">
  <dimension ref="A1"/>
  <sheetViews>
    <sheetView view="pageBreakPreview" topLeftCell="A13" zoomScale="60" zoomScaleNormal="100" workbookViewId="0">
      <selection activeCell="D17" sqref="D17"/>
    </sheetView>
  </sheetViews>
  <sheetFormatPr defaultRowHeight="15" x14ac:dyDescent="0.25"/>
  <sheetData/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3</vt:i4>
      </vt:variant>
    </vt:vector>
  </HeadingPairs>
  <TitlesOfParts>
    <vt:vector size="12" baseType="lpstr">
      <vt:lpstr>Overall</vt:lpstr>
      <vt:lpstr>Floor 0 Measurements</vt:lpstr>
      <vt:lpstr>Floor 1 Measurements</vt:lpstr>
      <vt:lpstr>Images Floor 0</vt:lpstr>
      <vt:lpstr>Images Floor 1</vt:lpstr>
      <vt:lpstr>Cable Dimensioning Floor 0</vt:lpstr>
      <vt:lpstr>Cable Dimensioning Floor 1</vt:lpstr>
      <vt:lpstr>Fiber Dimensioning</vt:lpstr>
      <vt:lpstr>Rules</vt:lpstr>
      <vt:lpstr>'Cable Dimensioning Floor 0'!Área_de_Impressão</vt:lpstr>
      <vt:lpstr>'Cable Dimensioning Floor 1'!Área_de_Impressão</vt:lpstr>
      <vt:lpstr>'Fiber Dimensioning'!Área_de_Impressão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Afonso Pimentel (1151399)</cp:lastModifiedBy>
  <cp:lastPrinted>2022-03-19T01:46:18Z</cp:lastPrinted>
  <dcterms:created xsi:type="dcterms:W3CDTF">2022-03-10T14:21:50Z</dcterms:created>
  <dcterms:modified xsi:type="dcterms:W3CDTF">2022-03-20T19:35:23Z</dcterms:modified>
</cp:coreProperties>
</file>