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P\RCOMP\rcomp-21-22-na-g2\doc\sprint1\1181350\Attachments\"/>
    </mc:Choice>
  </mc:AlternateContent>
  <xr:revisionPtr revIDLastSave="0" documentId="13_ncr:1_{89F5EE1C-5A9E-4948-BC17-819C62C62542}" xr6:coauthVersionLast="45" xr6:coauthVersionMax="45" xr10:uidLastSave="{00000000-0000-0000-0000-000000000000}"/>
  <bookViews>
    <workbookView xWindow="-28920" yWindow="-120" windowWidth="29040" windowHeight="15840" activeTab="1" xr2:uid="{56CCEA9F-D370-4503-AFC9-E32E892DE912}"/>
  </bookViews>
  <sheets>
    <sheet name="Floor_0" sheetId="1" r:id="rId1"/>
    <sheet name="Floor_1" sheetId="2" r:id="rId2"/>
  </sheets>
  <definedNames>
    <definedName name="DadosExternos_1" localSheetId="0" hidden="1">Floor_0!#REF!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4" i="2" l="1"/>
  <c r="Q56" i="2"/>
  <c r="Q62" i="2"/>
  <c r="Q61" i="2"/>
  <c r="Q60" i="2"/>
  <c r="Q59" i="2"/>
  <c r="Q58" i="2"/>
  <c r="Q57" i="2"/>
  <c r="P47" i="2"/>
  <c r="N38" i="2"/>
  <c r="O39" i="2" s="1"/>
  <c r="N42" i="2"/>
  <c r="O43" i="2"/>
  <c r="W42" i="2"/>
  <c r="W43" i="2" s="1"/>
  <c r="P42" i="2"/>
  <c r="N33" i="2"/>
  <c r="P33" i="2"/>
  <c r="W28" i="2"/>
  <c r="W38" i="2"/>
  <c r="W39" i="2" s="1"/>
  <c r="W33" i="2"/>
  <c r="W34" i="2" s="1"/>
  <c r="W27" i="2"/>
  <c r="O28" i="2"/>
  <c r="N27" i="2"/>
  <c r="P27" i="2" s="1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P18" i="2"/>
  <c r="P17" i="2"/>
  <c r="P16" i="2"/>
  <c r="P15" i="2"/>
  <c r="P14" i="2"/>
  <c r="P13" i="2"/>
  <c r="P12" i="2"/>
  <c r="P11" i="2"/>
  <c r="P10" i="2"/>
  <c r="P9" i="2"/>
  <c r="P8" i="2"/>
  <c r="P7" i="2"/>
  <c r="Q44" i="1"/>
  <c r="P25" i="1"/>
  <c r="P35" i="1"/>
  <c r="P30" i="1"/>
  <c r="O29" i="1"/>
  <c r="Q29" i="1" s="1"/>
  <c r="O34" i="1"/>
  <c r="X34" i="1"/>
  <c r="X35" i="1" s="1"/>
  <c r="Q34" i="1"/>
  <c r="X29" i="1"/>
  <c r="X24" i="1"/>
  <c r="X23" i="1"/>
  <c r="X30" i="1"/>
  <c r="O34" i="2" l="1"/>
  <c r="P38" i="2"/>
  <c r="X25" i="1"/>
  <c r="Q24" i="1"/>
  <c r="Q23" i="1"/>
  <c r="O23" i="1"/>
  <c r="W19" i="1"/>
  <c r="U19" i="1"/>
  <c r="V19" i="1" s="1"/>
  <c r="T19" i="1"/>
  <c r="S19" i="1"/>
  <c r="R19" i="1"/>
  <c r="Q19" i="1"/>
  <c r="P19" i="1"/>
  <c r="O19" i="1"/>
  <c r="Q12" i="1"/>
  <c r="B69" i="2" l="1"/>
  <c r="H69" i="2"/>
  <c r="B65" i="1"/>
  <c r="H65" i="1"/>
  <c r="C42" i="2"/>
  <c r="C41" i="2"/>
  <c r="C68" i="2" l="1"/>
  <c r="C67" i="2"/>
  <c r="C66" i="2"/>
  <c r="C65" i="2"/>
  <c r="B66" i="2"/>
  <c r="B67" i="2"/>
  <c r="B68" i="2"/>
  <c r="H66" i="2"/>
  <c r="H68" i="2"/>
  <c r="C64" i="2"/>
  <c r="C63" i="2"/>
  <c r="C62" i="2"/>
  <c r="C61" i="2"/>
  <c r="C60" i="2"/>
  <c r="C59" i="2"/>
  <c r="C58" i="2"/>
  <c r="C57" i="2"/>
  <c r="C56" i="2"/>
  <c r="C55" i="2"/>
  <c r="C54" i="2"/>
  <c r="C53" i="2"/>
  <c r="B54" i="2"/>
  <c r="B55" i="2"/>
  <c r="B56" i="2"/>
  <c r="B57" i="2"/>
  <c r="B58" i="2"/>
  <c r="B59" i="2"/>
  <c r="B60" i="2"/>
  <c r="B61" i="2"/>
  <c r="B62" i="2"/>
  <c r="B63" i="2"/>
  <c r="B64" i="2"/>
  <c r="B65" i="2"/>
  <c r="B53" i="2"/>
  <c r="C52" i="2"/>
  <c r="C51" i="2"/>
  <c r="C50" i="2"/>
  <c r="C49" i="2"/>
  <c r="C48" i="2"/>
  <c r="B52" i="2"/>
  <c r="B51" i="2"/>
  <c r="B50" i="2"/>
  <c r="B49" i="2"/>
  <c r="B48" i="2"/>
  <c r="C47" i="2"/>
  <c r="C46" i="2"/>
  <c r="C45" i="2"/>
  <c r="C44" i="2"/>
  <c r="C43" i="2"/>
  <c r="B44" i="2"/>
  <c r="B45" i="2"/>
  <c r="B46" i="2"/>
  <c r="B47" i="2"/>
  <c r="B43" i="2"/>
  <c r="C40" i="2"/>
  <c r="C39" i="2"/>
  <c r="B42" i="2"/>
  <c r="B41" i="2"/>
  <c r="B40" i="2"/>
  <c r="B39" i="2"/>
  <c r="C38" i="2"/>
  <c r="C37" i="2"/>
  <c r="C36" i="2"/>
  <c r="B38" i="2"/>
  <c r="B37" i="2"/>
  <c r="B36" i="2"/>
  <c r="C35" i="2"/>
  <c r="C34" i="2"/>
  <c r="C33" i="2"/>
  <c r="C32" i="2"/>
  <c r="C31" i="2"/>
  <c r="B35" i="2"/>
  <c r="B34" i="2"/>
  <c r="B33" i="2"/>
  <c r="C30" i="2"/>
  <c r="C29" i="2"/>
  <c r="B32" i="2"/>
  <c r="B31" i="2"/>
  <c r="B30" i="2"/>
  <c r="B29" i="2"/>
  <c r="C28" i="2"/>
  <c r="C27" i="2"/>
  <c r="C26" i="2"/>
  <c r="C25" i="2"/>
  <c r="B26" i="2"/>
  <c r="B27" i="2"/>
  <c r="B28" i="2"/>
  <c r="B25" i="2"/>
  <c r="C22" i="2"/>
  <c r="H23" i="2"/>
  <c r="H24" i="2"/>
  <c r="H25" i="2"/>
  <c r="H26" i="2"/>
  <c r="H27" i="2"/>
  <c r="H28" i="2"/>
  <c r="K28" i="2" s="1"/>
  <c r="H29" i="2"/>
  <c r="H30" i="2"/>
  <c r="H31" i="2"/>
  <c r="H32" i="2"/>
  <c r="H33" i="2"/>
  <c r="H34" i="2"/>
  <c r="H35" i="2"/>
  <c r="H36" i="2"/>
  <c r="H37" i="2"/>
  <c r="H38" i="2"/>
  <c r="H39" i="2"/>
  <c r="H40" i="2"/>
  <c r="K40" i="2" s="1"/>
  <c r="H41" i="2"/>
  <c r="H42" i="2"/>
  <c r="H43" i="2"/>
  <c r="H44" i="2"/>
  <c r="H45" i="2"/>
  <c r="H46" i="2"/>
  <c r="H47" i="2"/>
  <c r="H48" i="2"/>
  <c r="H49" i="2"/>
  <c r="H50" i="2"/>
  <c r="H51" i="2"/>
  <c r="H52" i="2"/>
  <c r="K52" i="2" s="1"/>
  <c r="H53" i="2"/>
  <c r="H54" i="2"/>
  <c r="H55" i="2"/>
  <c r="H56" i="2"/>
  <c r="H57" i="2"/>
  <c r="H58" i="2"/>
  <c r="H59" i="2"/>
  <c r="H60" i="2"/>
  <c r="H61" i="2"/>
  <c r="H62" i="2"/>
  <c r="H63" i="2"/>
  <c r="H64" i="2"/>
  <c r="K64" i="2" s="1"/>
  <c r="H65" i="2"/>
  <c r="H67" i="2"/>
  <c r="C24" i="2"/>
  <c r="B24" i="2"/>
  <c r="C23" i="2"/>
  <c r="B23" i="2"/>
  <c r="B22" i="2"/>
  <c r="H22" i="2"/>
  <c r="M6" i="2"/>
  <c r="I25" i="2" s="1"/>
  <c r="J36" i="1"/>
  <c r="J48" i="1"/>
  <c r="I37" i="1"/>
  <c r="I49" i="1"/>
  <c r="I61" i="1"/>
  <c r="E6" i="1"/>
  <c r="M6" i="1"/>
  <c r="J19" i="1" s="1"/>
  <c r="C21" i="1"/>
  <c r="B21" i="1"/>
  <c r="H21" i="1"/>
  <c r="H18" i="1"/>
  <c r="H19" i="1"/>
  <c r="H20" i="1"/>
  <c r="K20" i="1" s="1"/>
  <c r="H22" i="1"/>
  <c r="H23" i="1"/>
  <c r="H24" i="1"/>
  <c r="H25" i="1"/>
  <c r="H26" i="1"/>
  <c r="H27" i="1"/>
  <c r="K27" i="1" s="1"/>
  <c r="H28" i="1"/>
  <c r="H29" i="1"/>
  <c r="H30" i="1"/>
  <c r="H31" i="1"/>
  <c r="H32" i="1"/>
  <c r="H33" i="1"/>
  <c r="K33" i="1" s="1"/>
  <c r="H34" i="1"/>
  <c r="H35" i="1"/>
  <c r="K35" i="1" s="1"/>
  <c r="H36" i="1"/>
  <c r="H37" i="1"/>
  <c r="H38" i="1"/>
  <c r="H39" i="1"/>
  <c r="K39" i="1" s="1"/>
  <c r="H40" i="1"/>
  <c r="H41" i="1"/>
  <c r="H42" i="1"/>
  <c r="H43" i="1"/>
  <c r="H44" i="1"/>
  <c r="H45" i="1"/>
  <c r="K45" i="1" s="1"/>
  <c r="H46" i="1"/>
  <c r="H47" i="1"/>
  <c r="K47" i="1" s="1"/>
  <c r="H48" i="1"/>
  <c r="K48" i="1" s="1"/>
  <c r="H49" i="1"/>
  <c r="H50" i="1"/>
  <c r="H51" i="1"/>
  <c r="K51" i="1" s="1"/>
  <c r="H52" i="1"/>
  <c r="H53" i="1"/>
  <c r="H54" i="1"/>
  <c r="H55" i="1"/>
  <c r="K55" i="1" s="1"/>
  <c r="H56" i="1"/>
  <c r="H57" i="1"/>
  <c r="K57" i="1" s="1"/>
  <c r="H58" i="1"/>
  <c r="H59" i="1"/>
  <c r="K59" i="1" s="1"/>
  <c r="H60" i="1"/>
  <c r="K60" i="1" s="1"/>
  <c r="H61" i="1"/>
  <c r="H62" i="1"/>
  <c r="H63" i="1"/>
  <c r="K63" i="1" s="1"/>
  <c r="H64" i="1"/>
  <c r="C64" i="1"/>
  <c r="C63" i="1"/>
  <c r="C62" i="1"/>
  <c r="C61" i="1"/>
  <c r="C60" i="1"/>
  <c r="B62" i="1"/>
  <c r="B63" i="1"/>
  <c r="B64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B50" i="1"/>
  <c r="B51" i="1"/>
  <c r="B52" i="1"/>
  <c r="B53" i="1"/>
  <c r="B54" i="1"/>
  <c r="B55" i="1"/>
  <c r="B56" i="1"/>
  <c r="B57" i="1"/>
  <c r="B58" i="1"/>
  <c r="B59" i="1"/>
  <c r="B60" i="1"/>
  <c r="B61" i="1"/>
  <c r="B47" i="1"/>
  <c r="B48" i="1"/>
  <c r="B49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C28" i="1"/>
  <c r="C27" i="1"/>
  <c r="C26" i="1"/>
  <c r="C25" i="1"/>
  <c r="C24" i="1"/>
  <c r="B28" i="1"/>
  <c r="B27" i="1"/>
  <c r="B26" i="1"/>
  <c r="B25" i="1"/>
  <c r="B24" i="1"/>
  <c r="B23" i="1"/>
  <c r="C23" i="1"/>
  <c r="C22" i="1"/>
  <c r="B22" i="1"/>
  <c r="C20" i="1"/>
  <c r="C19" i="1"/>
  <c r="B20" i="1"/>
  <c r="B19" i="1"/>
  <c r="C18" i="1"/>
  <c r="I25" i="1" l="1"/>
  <c r="J60" i="1"/>
  <c r="K22" i="2"/>
  <c r="E11" i="2"/>
  <c r="K34" i="2"/>
  <c r="K56" i="2"/>
  <c r="K61" i="2"/>
  <c r="J28" i="2"/>
  <c r="I69" i="2"/>
  <c r="J69" i="2"/>
  <c r="K69" i="2"/>
  <c r="K49" i="2"/>
  <c r="I22" i="2"/>
  <c r="K60" i="2"/>
  <c r="I28" i="2"/>
  <c r="J37" i="2"/>
  <c r="K55" i="2"/>
  <c r="K43" i="2"/>
  <c r="K29" i="2"/>
  <c r="F10" i="2"/>
  <c r="K63" i="2"/>
  <c r="K51" i="2"/>
  <c r="K39" i="2"/>
  <c r="K27" i="2"/>
  <c r="F5" i="2"/>
  <c r="K62" i="2"/>
  <c r="K50" i="2"/>
  <c r="K38" i="2"/>
  <c r="I36" i="2"/>
  <c r="K58" i="2"/>
  <c r="I26" i="2"/>
  <c r="K42" i="2"/>
  <c r="J22" i="2"/>
  <c r="K25" i="2"/>
  <c r="I24" i="2"/>
  <c r="K33" i="2"/>
  <c r="K47" i="2"/>
  <c r="K24" i="2"/>
  <c r="J49" i="2"/>
  <c r="K48" i="2"/>
  <c r="E15" i="2"/>
  <c r="K46" i="2"/>
  <c r="J45" i="2"/>
  <c r="E14" i="2"/>
  <c r="E13" i="2"/>
  <c r="I62" i="2"/>
  <c r="J44" i="2"/>
  <c r="E12" i="2"/>
  <c r="I58" i="2"/>
  <c r="J38" i="2"/>
  <c r="I51" i="2"/>
  <c r="F14" i="2"/>
  <c r="K67" i="2"/>
  <c r="K54" i="2"/>
  <c r="I50" i="2"/>
  <c r="J24" i="2"/>
  <c r="F13" i="2"/>
  <c r="K30" i="2"/>
  <c r="I48" i="2"/>
  <c r="K59" i="2"/>
  <c r="K36" i="1"/>
  <c r="K24" i="1"/>
  <c r="E9" i="1"/>
  <c r="I64" i="1"/>
  <c r="I52" i="1"/>
  <c r="I40" i="1"/>
  <c r="I28" i="1"/>
  <c r="J63" i="1"/>
  <c r="J51" i="1"/>
  <c r="J39" i="1"/>
  <c r="J27" i="1"/>
  <c r="K23" i="1"/>
  <c r="E8" i="1"/>
  <c r="I63" i="1"/>
  <c r="I51" i="1"/>
  <c r="I39" i="1"/>
  <c r="I27" i="1"/>
  <c r="J62" i="1"/>
  <c r="J50" i="1"/>
  <c r="J38" i="1"/>
  <c r="J26" i="1"/>
  <c r="K58" i="1"/>
  <c r="K46" i="1"/>
  <c r="K34" i="1"/>
  <c r="K22" i="1"/>
  <c r="E7" i="1"/>
  <c r="I62" i="1"/>
  <c r="I50" i="1"/>
  <c r="I38" i="1"/>
  <c r="I26" i="1"/>
  <c r="J61" i="1"/>
  <c r="J49" i="1"/>
  <c r="J37" i="1"/>
  <c r="J25" i="1"/>
  <c r="J24" i="1"/>
  <c r="K56" i="1"/>
  <c r="K44" i="1"/>
  <c r="K32" i="1"/>
  <c r="K19" i="1"/>
  <c r="E5" i="1"/>
  <c r="I60" i="1"/>
  <c r="I48" i="1"/>
  <c r="I36" i="1"/>
  <c r="I24" i="1"/>
  <c r="J59" i="1"/>
  <c r="J47" i="1"/>
  <c r="J35" i="1"/>
  <c r="J23" i="1"/>
  <c r="K43" i="1"/>
  <c r="K31" i="1"/>
  <c r="F11" i="1"/>
  <c r="I59" i="1"/>
  <c r="I47" i="1"/>
  <c r="I35" i="1"/>
  <c r="I23" i="1"/>
  <c r="J58" i="1"/>
  <c r="J46" i="1"/>
  <c r="J34" i="1"/>
  <c r="J22" i="1"/>
  <c r="K54" i="1"/>
  <c r="K42" i="1"/>
  <c r="K30" i="1"/>
  <c r="K21" i="1"/>
  <c r="F10" i="1"/>
  <c r="H10" i="1" s="1"/>
  <c r="Q10" i="1" s="1"/>
  <c r="I58" i="1"/>
  <c r="I46" i="1"/>
  <c r="I34" i="1"/>
  <c r="I22" i="1"/>
  <c r="J57" i="1"/>
  <c r="J45" i="1"/>
  <c r="J33" i="1"/>
  <c r="J21" i="1"/>
  <c r="K53" i="1"/>
  <c r="K41" i="1"/>
  <c r="K29" i="1"/>
  <c r="F9" i="1"/>
  <c r="I57" i="1"/>
  <c r="I45" i="1"/>
  <c r="I33" i="1"/>
  <c r="I21" i="1"/>
  <c r="J56" i="1"/>
  <c r="J44" i="1"/>
  <c r="J32" i="1"/>
  <c r="J20" i="1"/>
  <c r="K64" i="1"/>
  <c r="K52" i="1"/>
  <c r="K40" i="1"/>
  <c r="K28" i="1"/>
  <c r="F8" i="1"/>
  <c r="I56" i="1"/>
  <c r="I44" i="1"/>
  <c r="I32" i="1"/>
  <c r="I20" i="1"/>
  <c r="J55" i="1"/>
  <c r="J43" i="1"/>
  <c r="J31" i="1"/>
  <c r="J65" i="1"/>
  <c r="K65" i="1"/>
  <c r="I65" i="1"/>
  <c r="K18" i="1"/>
  <c r="F7" i="1"/>
  <c r="I55" i="1"/>
  <c r="I43" i="1"/>
  <c r="I31" i="1"/>
  <c r="I19" i="1"/>
  <c r="J54" i="1"/>
  <c r="J42" i="1"/>
  <c r="J30" i="1"/>
  <c r="J18" i="1"/>
  <c r="K62" i="1"/>
  <c r="K50" i="1"/>
  <c r="K38" i="1"/>
  <c r="K26" i="1"/>
  <c r="E11" i="1"/>
  <c r="F6" i="1"/>
  <c r="I54" i="1"/>
  <c r="I42" i="1"/>
  <c r="I30" i="1"/>
  <c r="I18" i="1"/>
  <c r="J53" i="1"/>
  <c r="J41" i="1"/>
  <c r="J29" i="1"/>
  <c r="K61" i="1"/>
  <c r="K49" i="1"/>
  <c r="K37" i="1"/>
  <c r="K25" i="1"/>
  <c r="E10" i="1"/>
  <c r="F5" i="1"/>
  <c r="I53" i="1"/>
  <c r="I41" i="1"/>
  <c r="I29" i="1"/>
  <c r="J64" i="1"/>
  <c r="J52" i="1"/>
  <c r="J40" i="1"/>
  <c r="J28" i="1"/>
  <c r="K26" i="2"/>
  <c r="E9" i="2"/>
  <c r="J35" i="2"/>
  <c r="F17" i="2"/>
  <c r="I39" i="2"/>
  <c r="J58" i="2"/>
  <c r="J34" i="2"/>
  <c r="I47" i="2"/>
  <c r="J57" i="2"/>
  <c r="J27" i="2"/>
  <c r="K44" i="2"/>
  <c r="K37" i="2"/>
  <c r="J61" i="2"/>
  <c r="I46" i="2"/>
  <c r="J60" i="2"/>
  <c r="F16" i="2"/>
  <c r="F15" i="2"/>
  <c r="I63" i="2"/>
  <c r="I37" i="2"/>
  <c r="J56" i="2"/>
  <c r="J26" i="2"/>
  <c r="I60" i="2"/>
  <c r="J48" i="2"/>
  <c r="J23" i="2"/>
  <c r="K36" i="2"/>
  <c r="K66" i="2"/>
  <c r="E16" i="2"/>
  <c r="F12" i="2"/>
  <c r="K65" i="2"/>
  <c r="K53" i="2"/>
  <c r="K41" i="2"/>
  <c r="K31" i="2"/>
  <c r="I59" i="2"/>
  <c r="I29" i="2"/>
  <c r="J46" i="2"/>
  <c r="J66" i="2"/>
  <c r="I66" i="2"/>
  <c r="I61" i="2"/>
  <c r="I49" i="2"/>
  <c r="I38" i="2"/>
  <c r="I27" i="2"/>
  <c r="J59" i="2"/>
  <c r="J47" i="2"/>
  <c r="J36" i="2"/>
  <c r="J25" i="2"/>
  <c r="K57" i="2"/>
  <c r="K45" i="2"/>
  <c r="K35" i="2"/>
  <c r="K23" i="2"/>
  <c r="K32" i="2"/>
  <c r="E10" i="2"/>
  <c r="F11" i="2"/>
  <c r="I57" i="2"/>
  <c r="I45" i="2"/>
  <c r="I35" i="2"/>
  <c r="I23" i="2"/>
  <c r="J55" i="2"/>
  <c r="J43" i="2"/>
  <c r="J33" i="2"/>
  <c r="K68" i="2"/>
  <c r="I56" i="2"/>
  <c r="I44" i="2"/>
  <c r="I34" i="2"/>
  <c r="J67" i="2"/>
  <c r="J54" i="2"/>
  <c r="J42" i="2"/>
  <c r="J32" i="2"/>
  <c r="J68" i="2"/>
  <c r="E8" i="2"/>
  <c r="F9" i="2"/>
  <c r="I55" i="2"/>
  <c r="I43" i="2"/>
  <c r="I33" i="2"/>
  <c r="J65" i="2"/>
  <c r="J53" i="2"/>
  <c r="J41" i="2"/>
  <c r="J31" i="2"/>
  <c r="I68" i="2"/>
  <c r="E7" i="2"/>
  <c r="F8" i="2"/>
  <c r="I67" i="2"/>
  <c r="I54" i="2"/>
  <c r="I42" i="2"/>
  <c r="I32" i="2"/>
  <c r="J64" i="2"/>
  <c r="J52" i="2"/>
  <c r="J40" i="2"/>
  <c r="J30" i="2"/>
  <c r="E6" i="2"/>
  <c r="F7" i="2"/>
  <c r="I65" i="2"/>
  <c r="I53" i="2"/>
  <c r="I41" i="2"/>
  <c r="I31" i="2"/>
  <c r="J63" i="2"/>
  <c r="J51" i="2"/>
  <c r="J39" i="2"/>
  <c r="J29" i="2"/>
  <c r="E17" i="2"/>
  <c r="E5" i="2"/>
  <c r="F6" i="2"/>
  <c r="I64" i="2"/>
  <c r="I52" i="2"/>
  <c r="I40" i="2"/>
  <c r="I30" i="2"/>
  <c r="J62" i="2"/>
  <c r="J50" i="2"/>
  <c r="H11" i="1" l="1"/>
  <c r="H5" i="1"/>
  <c r="H5" i="2"/>
  <c r="H17" i="2"/>
  <c r="I17" i="2" s="1"/>
  <c r="H8" i="2"/>
  <c r="I8" i="2" s="1"/>
  <c r="H7" i="2"/>
  <c r="I7" i="2" s="1"/>
  <c r="H13" i="2"/>
  <c r="I13" i="2" s="1"/>
  <c r="H6" i="2"/>
  <c r="H11" i="2"/>
  <c r="I11" i="2" s="1"/>
  <c r="H14" i="2"/>
  <c r="I14" i="2" s="1"/>
  <c r="H10" i="2"/>
  <c r="I10" i="2" s="1"/>
  <c r="H16" i="2"/>
  <c r="I16" i="2" s="1"/>
  <c r="H12" i="2"/>
  <c r="I12" i="2" s="1"/>
  <c r="H9" i="2"/>
  <c r="I9" i="2" s="1"/>
  <c r="H15" i="2"/>
  <c r="I15" i="2" s="1"/>
  <c r="H6" i="1"/>
  <c r="H9" i="1"/>
  <c r="Q9" i="1" s="1"/>
  <c r="H8" i="1"/>
  <c r="Q8" i="1" s="1"/>
  <c r="H7" i="1"/>
  <c r="Q7" i="1" s="1"/>
  <c r="K9" i="2" l="1"/>
  <c r="I10" i="1"/>
  <c r="I7" i="1" l="1"/>
  <c r="I8" i="1"/>
  <c r="I11" i="1"/>
  <c r="I9" i="1"/>
  <c r="K9" i="1" l="1"/>
  <c r="AB2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E6E3A9-C770-4203-8C06-D35ECE7D8977}" keepAlive="1" name="Consulta - Tabela2" description="Ligação à consulta 'Tabela2' no livro." type="5" refreshedVersion="6" background="1" saveData="1">
    <dbPr connection="Provider=Microsoft.Mashup.OleDb.1;Data Source=$Workbook$;Location=Tabela2;Extended Properties=&quot;&quot;" command="SELECT * FROM [Tabela2]"/>
  </connection>
</connections>
</file>

<file path=xl/sharedStrings.xml><?xml version="1.0" encoding="utf-8"?>
<sst xmlns="http://schemas.openxmlformats.org/spreadsheetml/2006/main" count="206" uniqueCount="73">
  <si>
    <t>Room Name</t>
  </si>
  <si>
    <t>Length(cm)</t>
  </si>
  <si>
    <t>Width(cm)</t>
  </si>
  <si>
    <t>Length(m)</t>
  </si>
  <si>
    <t>Width(m)</t>
  </si>
  <si>
    <t>Height(m)</t>
  </si>
  <si>
    <t>Area(m²)</t>
  </si>
  <si>
    <t>2.0.2</t>
  </si>
  <si>
    <t>2.0.5</t>
  </si>
  <si>
    <t>2.0.6</t>
  </si>
  <si>
    <t>Escala</t>
  </si>
  <si>
    <t>=</t>
  </si>
  <si>
    <t>(m)</t>
  </si>
  <si>
    <t>(cm)</t>
  </si>
  <si>
    <t>Nº Outlets</t>
  </si>
  <si>
    <t>2.1.2</t>
  </si>
  <si>
    <t>2.1.3</t>
  </si>
  <si>
    <t>2.1.5</t>
  </si>
  <si>
    <t>2.1.6</t>
  </si>
  <si>
    <t>2.1.7</t>
  </si>
  <si>
    <t>2.1.9</t>
  </si>
  <si>
    <t>2.1.10</t>
  </si>
  <si>
    <t>2.1.12</t>
  </si>
  <si>
    <t>Floor 1 Measurements</t>
  </si>
  <si>
    <t>Floor 0 Measurements</t>
  </si>
  <si>
    <t>Building</t>
  </si>
  <si>
    <t>Total Outlets</t>
  </si>
  <si>
    <t>Source</t>
  </si>
  <si>
    <t>Cable Length</t>
  </si>
  <si>
    <t>Destination</t>
  </si>
  <si>
    <t>Total (m)</t>
  </si>
  <si>
    <t>Room (m)</t>
  </si>
  <si>
    <t>Outlet (m)</t>
  </si>
  <si>
    <t>Outlet (cm)</t>
  </si>
  <si>
    <t>Total (cm)</t>
  </si>
  <si>
    <t>Height Multiplier</t>
  </si>
  <si>
    <t>2.1.1 (HC)</t>
  </si>
  <si>
    <t>2.0.1 (HC-IC)</t>
  </si>
  <si>
    <t>2.0.3 (CP)</t>
  </si>
  <si>
    <t>Room Common Point (cm)</t>
  </si>
  <si>
    <t>2.1.4 (CP)</t>
  </si>
  <si>
    <t>Cable Multiplier</t>
  </si>
  <si>
    <t>2.0.4 (CP)</t>
  </si>
  <si>
    <t>0</t>
  </si>
  <si>
    <t>2.1.8 (CP)</t>
  </si>
  <si>
    <t>2.1.11 (CP)</t>
  </si>
  <si>
    <t>0.6 Heigth = 1m</t>
  </si>
  <si>
    <t>MC</t>
  </si>
  <si>
    <t>Wireless</t>
  </si>
  <si>
    <t>Total</t>
  </si>
  <si>
    <t>CP|HC</t>
  </si>
  <si>
    <t>Total + Excess</t>
  </si>
  <si>
    <t>IC - HC connectors needed</t>
  </si>
  <si>
    <t>+50%</t>
  </si>
  <si>
    <t>Racks Needed</t>
  </si>
  <si>
    <t xml:space="preserve">24 Patch Panel </t>
  </si>
  <si>
    <t>48 Patch Panel</t>
  </si>
  <si>
    <t xml:space="preserve">12 Patch Panel </t>
  </si>
  <si>
    <t>Racks</t>
  </si>
  <si>
    <t>Room 2.0.3 (CP)</t>
  </si>
  <si>
    <t>Room 2.0.4 (CP)</t>
  </si>
  <si>
    <t>Patch Cords</t>
  </si>
  <si>
    <t xml:space="preserve">Patch Cords </t>
  </si>
  <si>
    <t>12U Rack</t>
  </si>
  <si>
    <t xml:space="preserve">HC </t>
  </si>
  <si>
    <t>HC</t>
  </si>
  <si>
    <t>Room 2.1.4 (CP)</t>
  </si>
  <si>
    <t>Room 2.1.8 (CP)</t>
  </si>
  <si>
    <t>Room 2.1.11 (CP)</t>
  </si>
  <si>
    <t>6U Rack</t>
  </si>
  <si>
    <t>Fiber Cable</t>
  </si>
  <si>
    <t>CAT 7 Cable</t>
  </si>
  <si>
    <t>Outlets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</si>
</sst>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0.39997558519241921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/>
      </top>
      <bottom style="thin">
        <color theme="4"/>
      </bottom>
      <diagonal/>
    </border>
    <border>
      <left/>
      <right style="thin">
        <color theme="4" tint="-0.249977111117893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0" xfId="0" applyFont="1"/>
    <xf numFmtId="0" fontId="3" fillId="2" borderId="3" xfId="0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56">
    <dxf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numFmt numFmtId="0" formatCode="General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border outline="0">
        <top style="thin">
          <color theme="4" tint="-0.249977111117893"/>
        </top>
      </border>
    </dxf>
    <dxf>
      <border outline="0">
        <bottom style="thin">
          <color theme="4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border outline="0">
        <top style="thin">
          <color theme="4" tint="-0.249977111117893"/>
        </top>
      </border>
    </dxf>
    <dxf>
      <border outline="0">
        <bottom style="thin">
          <color theme="4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388254-0BC2-4569-8757-42E12E4AAE5A}" name="Tabela2" displayName="Tabela2" ref="B4:I11" headerRowDxfId="55" dataDxfId="54" tableBorderDxfId="53">
  <autoFilter ref="B4:I11" xr:uid="{6749FD19-231A-4779-85AA-5BB51655A97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05C60B4-9BD4-4749-842B-C1EF8C03AEDF}" name="Room Name" totalsRowLabel="Total" dataDxfId="52" totalsRowDxfId="0"/>
    <tableColumn id="2" xr3:uid="{F79C1BA8-66C5-4DD4-B0B8-5DB622502967}" name="Length(cm)" dataDxfId="51" totalsRowDxfId="1"/>
    <tableColumn id="3" xr3:uid="{57DB6FE5-121E-4E3C-BF6A-730090E561AA}" name="Width(cm)" dataDxfId="50" totalsRowDxfId="2"/>
    <tableColumn id="4" xr3:uid="{9D97DA34-751E-4188-8C77-211003BC6CA2}" name="Length(m)" dataDxfId="49" totalsRowDxfId="3">
      <calculatedColumnFormula>ROUNDUP((Tabela2[[#This Row],[Length(cm)]]) / $M$6,1)</calculatedColumnFormula>
    </tableColumn>
    <tableColumn id="5" xr3:uid="{B8FC12A4-E353-4040-A6DD-AAA2AF912C64}" name="Width(m)" dataDxfId="48" totalsRowDxfId="4">
      <calculatedColumnFormula>ROUNDUP((Tabela2[[#This Row],[Width(cm)]]) / $M$6,1)</calculatedColumnFormula>
    </tableColumn>
    <tableColumn id="6" xr3:uid="{B1DB32FE-4D3B-4A70-81C8-2200D6E56F2A}" name="Height(m)" dataDxfId="47" totalsRowDxfId="5"/>
    <tableColumn id="7" xr3:uid="{E8DFA43A-6BE5-49B8-BA0F-A7B8BE97E798}" name="Area(m²)" dataDxfId="46" totalsRowDxfId="6">
      <calculatedColumnFormula>ROUNDUP(Tabela2[[#This Row],[Length(m)]]*Tabela2[[#This Row],[Width(m)]],1)</calculatedColumnFormula>
    </tableColumn>
    <tableColumn id="8" xr3:uid="{D16DD540-E71D-4370-86A2-CD15B7D2ED74}" name="Nº Outlets" totalsRowFunction="count" dataDxfId="45" totalsRowDxfId="7">
      <calculatedColumnFormula>ROUNDUP( Tabela2[[#This Row],[Area(m²)]]/10*2,0)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6C7639-784E-40F1-A1A1-578FF8352163}" name="Tabela35" displayName="Tabela35" ref="B17:K65" totalsRowShown="0" headerRowDxfId="44" headerRowBorderDxfId="43" tableBorderDxfId="42">
  <autoFilter ref="B17:K65" xr:uid="{E5604802-A243-4131-B423-3664607160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830B1E3-A681-47D2-8374-EB209347C8E0}" name="Source" dataDxfId="41"/>
    <tableColumn id="2" xr3:uid="{4E2165BA-2804-46B1-B053-0421FE34C588}" name="Destination" dataDxfId="40"/>
    <tableColumn id="9" xr3:uid="{950993C7-58A9-4F42-B5F5-F5CB89F8E2CE}" name="Height Multiplier" dataDxfId="39"/>
    <tableColumn id="7" xr3:uid="{8230D8F5-DB5F-4C60-B82B-973C092792F9}" name="Room Common Point (cm)" dataDxfId="38"/>
    <tableColumn id="8" xr3:uid="{92CECB70-B4C2-46E0-AEA6-4718F99D2E22}" name="Outlet (cm)" dataDxfId="37"/>
    <tableColumn id="11" xr3:uid="{55347CF2-879C-4F66-BD31-B88EE86A3C1F}" name="Cable Multiplier" dataDxfId="36"/>
    <tableColumn id="6" xr3:uid="{0B6C5635-C67A-4C36-A3E0-D0338704D80A}" name="Total (cm)" dataDxfId="35">
      <calculatedColumnFormula>Tabela35[[#This Row],[Room Common Point (cm)]]+Tabela35[[#This Row],[Outlet (cm)]]</calculatedColumnFormula>
    </tableColumn>
    <tableColumn id="3" xr3:uid="{3BED75B7-7CBA-4563-B008-18509C6A09E1}" name="Room (m)" dataDxfId="34">
      <calculatedColumnFormula>ROUNDUP(Tabela35[[#This Row],[Room Common Point (cm)]]/$M$6,1)</calculatedColumnFormula>
    </tableColumn>
    <tableColumn id="4" xr3:uid="{A918B693-ED37-4722-842D-A3F6F23F42D0}" name="Outlet (m)" dataDxfId="33">
      <calculatedColumnFormula>ROUNDUP(Tabela35[[#This Row],[Outlet (cm)]]/$M$6,1)</calculatedColumnFormula>
    </tableColumn>
    <tableColumn id="5" xr3:uid="{7360B2C8-641D-4444-9524-758AC34CF394}" name="Total (m)" dataDxfId="32">
      <calculatedColumnFormula>ROUNDUP(((Tabela35[[#This Row],[Total (cm)]]/$M$6) + ($G$5*Tabela35[[#This Row],[Height Multiplier]])) *Tabela35[[#This Row],[Cable Multiplier]],1)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301AA-FDCA-44F7-8D94-C1C77C2CE66C}" name="Tabela22" displayName="Tabela22" ref="B4:I17" totalsRowShown="0" headerRowDxfId="31" dataDxfId="30" tableBorderDxfId="29">
  <autoFilter ref="B4:I17" xr:uid="{6A4A49E7-0834-4930-AF23-354114E86C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DA21DF6-04CF-4139-B623-CE20DC30C8E7}" name="Room Name" dataDxfId="28"/>
    <tableColumn id="2" xr3:uid="{11E60619-1C18-4D79-BD12-F5B09B6E3518}" name="Length(cm)" dataDxfId="27"/>
    <tableColumn id="3" xr3:uid="{C237A627-8B0A-4DDE-BD4D-584F4EE1C98F}" name="Width(cm)" dataDxfId="26"/>
    <tableColumn id="4" xr3:uid="{B04E7B4D-CE4F-4D54-BD40-F6EE680E65D0}" name="Length(m)" dataDxfId="25">
      <calculatedColumnFormula>ROUNDUP((Tabela22[[#This Row],[Length(cm)]])/$M$6,1)</calculatedColumnFormula>
    </tableColumn>
    <tableColumn id="5" xr3:uid="{D25DBD77-6100-4065-8C09-B28CAA7E9B74}" name="Width(m)" dataDxfId="24">
      <calculatedColumnFormula>ROUNDUP((Tabela22[[#This Row],[Width(cm)]])/$M$6,1)</calculatedColumnFormula>
    </tableColumn>
    <tableColumn id="6" xr3:uid="{B3018879-23C1-4987-BD9E-069A8692A400}" name="Height(m)" dataDxfId="23"/>
    <tableColumn id="7" xr3:uid="{7677F25C-4283-4029-B492-775ABB9C197D}" name="Area(m²)" dataDxfId="22">
      <calculatedColumnFormula>ROUNDUP(Tabela22[[#This Row],[Length(m)]]*Tabela22[[#This Row],[Width(m)]],1)</calculatedColumnFormula>
    </tableColumn>
    <tableColumn id="8" xr3:uid="{1E65DB13-12F0-4333-92A0-425E557D5580}" name="Nº Outlets" dataDxfId="21">
      <calculatedColumnFormula>ROUNDUP( Tabela22[[#This Row],[Area(m²)]]/10*2,0)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A5F1DA-A899-4546-9FCE-60C0C9561C90}" name="Tabela359" displayName="Tabela359" ref="B21:K69" totalsRowShown="0" headerRowDxfId="20" headerRowBorderDxfId="19" tableBorderDxfId="18">
  <autoFilter ref="B21:K69" xr:uid="{E1380B29-734A-49C8-B933-406E875848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FBDC354-B671-438E-99A9-0A06083F6850}" name="Source" dataDxfId="17">
      <calculatedColumnFormula>$B$6</calculatedColumnFormula>
    </tableColumn>
    <tableColumn id="2" xr3:uid="{2049A48C-610D-48AE-9311-7DFCB55AD671}" name="Destination" dataDxfId="16">
      <calculatedColumnFormula>$B$16</calculatedColumnFormula>
    </tableColumn>
    <tableColumn id="9" xr3:uid="{7E8EF37F-1218-449C-A33B-3EB41900AA6A}" name="Height Multiplier" dataDxfId="15"/>
    <tableColumn id="7" xr3:uid="{F0494286-3B28-4A8E-82D8-0BF5A626FAC5}" name="Room Common Point (cm)" dataDxfId="14"/>
    <tableColumn id="8" xr3:uid="{AFD7159E-E5E5-4E7B-982F-2B6F1ADC0FAF}" name="Outlet (cm)" dataDxfId="13"/>
    <tableColumn id="11" xr3:uid="{9C820D33-A629-4ED3-BC0C-AF0F8A640136}" name="Cable Multiplier" dataDxfId="12"/>
    <tableColumn id="6" xr3:uid="{14BD0414-4F8A-4A00-B352-CDD08E287317}" name="Total (cm)" dataDxfId="11">
      <calculatedColumnFormula>Tabela359[[#This Row],[Room Common Point (cm)]]+Tabela359[[#This Row],[Outlet (cm)]]</calculatedColumnFormula>
    </tableColumn>
    <tableColumn id="3" xr3:uid="{B922CA18-790B-4199-9B82-924D946E940E}" name="Room (m)" dataDxfId="10">
      <calculatedColumnFormula>ROUNDUP(Tabela359[[#This Row],[Room Common Point (cm)]]/$M$6,1)</calculatedColumnFormula>
    </tableColumn>
    <tableColumn id="4" xr3:uid="{54CAEAEE-B292-459C-8E75-E64C5F5A612D}" name="Outlet (m)" dataDxfId="9">
      <calculatedColumnFormula>ROUNDUP(Tabela359[[#This Row],[Outlet (cm)]]/$M$6,1)</calculatedColumnFormula>
    </tableColumn>
    <tableColumn id="5" xr3:uid="{04CC6404-7FDB-461A-8421-D3BAA8375C85}" name="Total (m)" dataDxfId="8">
      <calculatedColumnFormula>ROUNDUP(((Tabela359[[#This Row],[Total (cm)]]/$M$6) + ($G$5*Tabela359[[#This Row],[Height Multiplier]])) *Tabela359[[#This Row],[Cable Multiplier]],1)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5245-A4A8-4869-9B58-32F11F67080D}">
  <dimension ref="A1:Y65"/>
  <sheetViews>
    <sheetView topLeftCell="B16" workbookViewId="0">
      <selection activeCell="O41" sqref="O41:P41"/>
    </sheetView>
  </sheetViews>
  <sheetFormatPr defaultRowHeight="15" x14ac:dyDescent="0.25"/>
  <cols>
    <col min="1" max="1" width="3.42578125" customWidth="1"/>
    <col min="2" max="2" width="13.140625" customWidth="1"/>
    <col min="3" max="3" width="12.5703125" customWidth="1"/>
    <col min="4" max="4" width="12.28515625" customWidth="1"/>
    <col min="5" max="5" width="11.7109375" customWidth="1"/>
    <col min="6" max="6" width="12.140625" customWidth="1"/>
    <col min="7" max="7" width="11.140625" customWidth="1"/>
    <col min="8" max="9" width="10.42578125" bestFit="1" customWidth="1"/>
    <col min="15" max="15" width="14.140625" bestFit="1" customWidth="1"/>
    <col min="16" max="16" width="15.85546875" bestFit="1" customWidth="1"/>
    <col min="17" max="17" width="10.42578125" bestFit="1" customWidth="1"/>
    <col min="23" max="23" width="13.140625" bestFit="1" customWidth="1"/>
  </cols>
  <sheetData>
    <row r="1" spans="1:22" ht="31.5" customHeight="1" x14ac:dyDescent="0.25">
      <c r="A1" s="30" t="s">
        <v>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2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4" spans="1:22" x14ac:dyDescent="0.25">
      <c r="B4" s="1" t="s">
        <v>0</v>
      </c>
      <c r="C4" s="2" t="s">
        <v>1</v>
      </c>
      <c r="D4" s="2" t="s">
        <v>2</v>
      </c>
      <c r="E4" s="2" t="s">
        <v>3</v>
      </c>
      <c r="F4" s="3" t="s">
        <v>4</v>
      </c>
      <c r="G4" s="3" t="s">
        <v>5</v>
      </c>
      <c r="H4" s="1" t="s">
        <v>6</v>
      </c>
      <c r="I4" s="15" t="s">
        <v>14</v>
      </c>
      <c r="K4" s="11" t="s">
        <v>12</v>
      </c>
      <c r="L4" s="12" t="s">
        <v>10</v>
      </c>
      <c r="M4" s="13" t="s">
        <v>13</v>
      </c>
    </row>
    <row r="5" spans="1:22" x14ac:dyDescent="0.25">
      <c r="B5" s="19" t="s">
        <v>25</v>
      </c>
      <c r="C5" s="25">
        <v>15.6</v>
      </c>
      <c r="D5" s="25">
        <v>15.7</v>
      </c>
      <c r="E5" s="25">
        <f>ROUNDUP((Tabela2[[#This Row],[Length(cm)]]) / $M$6,1)</f>
        <v>19.5</v>
      </c>
      <c r="F5" s="25">
        <f>ROUNDUP((Tabela2[[#This Row],[Width(cm)]]) / $M$6,1)</f>
        <v>19.700000000000003</v>
      </c>
      <c r="G5" s="26">
        <v>4</v>
      </c>
      <c r="H5" s="25">
        <f>ROUNDUP(Tabela2[[#This Row],[Length(m)]]*Tabela2[[#This Row],[Width(m)]],1)</f>
        <v>384.20000000000005</v>
      </c>
      <c r="I5" s="26" t="s">
        <v>43</v>
      </c>
      <c r="K5" s="8">
        <v>5</v>
      </c>
      <c r="L5" s="9" t="s">
        <v>11</v>
      </c>
      <c r="M5" s="10">
        <v>4</v>
      </c>
    </row>
    <row r="6" spans="1:22" x14ac:dyDescent="0.25">
      <c r="B6" s="4" t="s">
        <v>37</v>
      </c>
      <c r="C6" s="25">
        <v>2.8</v>
      </c>
      <c r="D6" s="25">
        <v>2.5</v>
      </c>
      <c r="E6" s="25">
        <f>ROUNDUP((Tabela2[[#This Row],[Length(cm)]]) / $M$6,1)</f>
        <v>3.5</v>
      </c>
      <c r="F6" s="25">
        <f>ROUNDUP((Tabela2[[#This Row],[Width(cm)]]) / $M$6,1)</f>
        <v>3.2</v>
      </c>
      <c r="G6" s="26">
        <v>4</v>
      </c>
      <c r="H6" s="25">
        <f>ROUNDUP(Tabela2[[#This Row],[Length(m)]]*Tabela2[[#This Row],[Width(m)]],1)</f>
        <v>11.2</v>
      </c>
      <c r="I6" s="26">
        <v>0</v>
      </c>
      <c r="K6" s="5">
        <v>1</v>
      </c>
      <c r="L6" s="6" t="s">
        <v>11</v>
      </c>
      <c r="M6" s="7">
        <f>M5/K5</f>
        <v>0.8</v>
      </c>
      <c r="P6" s="39" t="s">
        <v>0</v>
      </c>
      <c r="Q6" s="42" t="s">
        <v>14</v>
      </c>
      <c r="V6" s="42" t="s">
        <v>58</v>
      </c>
    </row>
    <row r="7" spans="1:22" ht="15" customHeight="1" x14ac:dyDescent="0.25">
      <c r="B7" s="4" t="s">
        <v>7</v>
      </c>
      <c r="C7" s="25">
        <v>4.2</v>
      </c>
      <c r="D7" s="25">
        <v>4.7</v>
      </c>
      <c r="E7" s="25">
        <f>ROUNDUP((Tabela2[[#This Row],[Length(cm)]]) / $M$6,1)</f>
        <v>5.3</v>
      </c>
      <c r="F7" s="25">
        <f>ROUNDUP((Tabela2[[#This Row],[Width(cm)]]) / $M$6,1)</f>
        <v>5.8999999999999995</v>
      </c>
      <c r="G7" s="26">
        <v>4</v>
      </c>
      <c r="H7" s="25">
        <f>ROUNDUP(Tabela2[[#This Row],[Length(m)]]*Tabela2[[#This Row],[Width(m)]],1)</f>
        <v>31.3</v>
      </c>
      <c r="I7" s="26">
        <f>ROUNDUP( Tabela2[[#This Row],[Area(m²)]]/10*2,0)</f>
        <v>7</v>
      </c>
      <c r="P7" s="41" t="s">
        <v>7</v>
      </c>
      <c r="Q7" s="43">
        <f>ROUNDUP( Tabela2[[#This Row],[Area(m²)]]/10*2,0)</f>
        <v>7</v>
      </c>
      <c r="T7" s="55" t="s">
        <v>57</v>
      </c>
      <c r="U7" s="56"/>
      <c r="V7" s="43">
        <v>1</v>
      </c>
    </row>
    <row r="8" spans="1:22" ht="15" customHeight="1" x14ac:dyDescent="0.25">
      <c r="B8" s="4" t="s">
        <v>38</v>
      </c>
      <c r="C8" s="25">
        <v>6.9</v>
      </c>
      <c r="D8" s="25">
        <v>8.1</v>
      </c>
      <c r="E8" s="25">
        <f>ROUNDUP((Tabela2[[#This Row],[Length(cm)]]) / $M$6,1)</f>
        <v>8.6999999999999993</v>
      </c>
      <c r="F8" s="25">
        <f>ROUNDUP((Tabela2[[#This Row],[Width(cm)]]) / $M$6,1)</f>
        <v>10.199999999999999</v>
      </c>
      <c r="G8" s="26">
        <v>4</v>
      </c>
      <c r="H8" s="25">
        <f>ROUNDUP(Tabela2[[#This Row],[Length(m)]]*Tabela2[[#This Row],[Width(m)]],1)</f>
        <v>88.8</v>
      </c>
      <c r="I8" s="26">
        <f>ROUNDUP( Tabela2[[#This Row],[Area(m²)]]/10*2,0)</f>
        <v>18</v>
      </c>
      <c r="K8" s="31" t="s">
        <v>26</v>
      </c>
      <c r="L8" s="31"/>
      <c r="P8" s="40" t="s">
        <v>38</v>
      </c>
      <c r="Q8" s="44">
        <f>ROUNDUP( Tabela2[[#This Row],[Area(m²)]]/10*2,0)</f>
        <v>18</v>
      </c>
      <c r="T8" s="53" t="s">
        <v>55</v>
      </c>
      <c r="U8" s="54"/>
      <c r="V8" s="44">
        <v>1</v>
      </c>
    </row>
    <row r="9" spans="1:22" ht="15" customHeight="1" x14ac:dyDescent="0.25">
      <c r="B9" s="4" t="s">
        <v>42</v>
      </c>
      <c r="C9" s="25">
        <v>2.7</v>
      </c>
      <c r="D9" s="25">
        <v>6.9</v>
      </c>
      <c r="E9" s="25">
        <f>ROUNDUP((Tabela2[[#This Row],[Length(cm)]]) / $M$6,1)</f>
        <v>3.4</v>
      </c>
      <c r="F9" s="25">
        <f>ROUNDUP((Tabela2[[#This Row],[Width(cm)]]) / $M$6,1)</f>
        <v>8.6999999999999993</v>
      </c>
      <c r="G9" s="26">
        <v>4</v>
      </c>
      <c r="H9" s="25">
        <f>ROUNDUP(Tabela2[[#This Row],[Length(m)]]*Tabela2[[#This Row],[Width(m)]],1)</f>
        <v>29.6</v>
      </c>
      <c r="I9" s="26">
        <f>ROUNDUP( Tabela2[[#This Row],[Area(m²)]]/10*2,0)</f>
        <v>6</v>
      </c>
      <c r="K9" s="32">
        <f>SUM(Tabela2[Nº Outlets])</f>
        <v>43</v>
      </c>
      <c r="L9" s="33"/>
      <c r="P9" s="41" t="s">
        <v>42</v>
      </c>
      <c r="Q9" s="43">
        <f>ROUNDUP( Tabela2[[#This Row],[Area(m²)]]/10*2,0)</f>
        <v>6</v>
      </c>
      <c r="T9" s="55" t="s">
        <v>56</v>
      </c>
      <c r="U9" s="56"/>
      <c r="V9" s="43">
        <v>2</v>
      </c>
    </row>
    <row r="10" spans="1:22" x14ac:dyDescent="0.25">
      <c r="B10" s="4" t="s">
        <v>8</v>
      </c>
      <c r="C10" s="25">
        <v>2.7</v>
      </c>
      <c r="D10" s="25">
        <v>6.9</v>
      </c>
      <c r="E10" s="25">
        <f>ROUNDUP((Tabela2[[#This Row],[Length(cm)]]) / $M$6,1)</f>
        <v>3.4</v>
      </c>
      <c r="F10" s="25">
        <f>ROUNDUP((Tabela2[[#This Row],[Width(cm)]]) / $M$6,1)</f>
        <v>8.6999999999999993</v>
      </c>
      <c r="G10" s="26">
        <v>4</v>
      </c>
      <c r="H10" s="25">
        <f>ROUNDUP(Tabela2[[#This Row],[Length(m)]]*Tabela2[[#This Row],[Width(m)]],1)</f>
        <v>29.6</v>
      </c>
      <c r="I10" s="26">
        <f>ROUNDUP( Tabela2[[#This Row],[Area(m²)]]/10*2,0)</f>
        <v>6</v>
      </c>
      <c r="P10" s="40" t="s">
        <v>8</v>
      </c>
      <c r="Q10" s="44">
        <f>ROUNDUP( Tabela2[[#This Row],[Area(m²)]]/10*2,0)</f>
        <v>6</v>
      </c>
    </row>
    <row r="11" spans="1:22" x14ac:dyDescent="0.25">
      <c r="B11" s="4" t="s">
        <v>9</v>
      </c>
      <c r="C11" s="25">
        <v>2.7</v>
      </c>
      <c r="D11" s="25">
        <v>6.9</v>
      </c>
      <c r="E11" s="25">
        <f>ROUNDUP((Tabela2[[#This Row],[Length(cm)]]) / $M$6,1)</f>
        <v>3.4</v>
      </c>
      <c r="F11" s="25">
        <f>ROUNDUP((Tabela2[[#This Row],[Width(cm)]]) / $M$6,1)</f>
        <v>8.6999999999999993</v>
      </c>
      <c r="G11" s="26">
        <v>4</v>
      </c>
      <c r="H11" s="25">
        <f>ROUNDUP(Tabela2[[#This Row],[Length(m)]]*Tabela2[[#This Row],[Width(m)]],1)</f>
        <v>29.6</v>
      </c>
      <c r="I11" s="26">
        <f>ROUNDUP( Tabela2[[#This Row],[Area(m²)]]/10*2,0)</f>
        <v>6</v>
      </c>
      <c r="P11" s="41" t="s">
        <v>9</v>
      </c>
      <c r="Q11" s="43">
        <v>6</v>
      </c>
    </row>
    <row r="12" spans="1:22" x14ac:dyDescent="0.25">
      <c r="P12" s="42" t="s">
        <v>49</v>
      </c>
      <c r="Q12" s="44">
        <f>SUM(Q7:Q11)</f>
        <v>43</v>
      </c>
    </row>
    <row r="16" spans="1:22" x14ac:dyDescent="0.25">
      <c r="E16" s="34" t="s">
        <v>28</v>
      </c>
      <c r="F16" s="35"/>
      <c r="G16" s="35"/>
      <c r="H16" s="35"/>
      <c r="I16" s="35"/>
      <c r="J16" s="35"/>
      <c r="K16" s="36"/>
    </row>
    <row r="17" spans="2:25" ht="45" x14ac:dyDescent="0.25">
      <c r="B17" s="22" t="s">
        <v>27</v>
      </c>
      <c r="C17" s="23" t="s">
        <v>29</v>
      </c>
      <c r="D17" s="23" t="s">
        <v>35</v>
      </c>
      <c r="E17" s="23" t="s">
        <v>39</v>
      </c>
      <c r="F17" s="23" t="s">
        <v>33</v>
      </c>
      <c r="G17" s="23" t="s">
        <v>41</v>
      </c>
      <c r="H17" s="23" t="s">
        <v>34</v>
      </c>
      <c r="I17" s="23" t="s">
        <v>31</v>
      </c>
      <c r="J17" s="23" t="s">
        <v>32</v>
      </c>
      <c r="K17" s="24" t="s">
        <v>30</v>
      </c>
    </row>
    <row r="18" spans="2:25" x14ac:dyDescent="0.25">
      <c r="B18" s="21" t="s">
        <v>47</v>
      </c>
      <c r="C18" s="4" t="str">
        <f>B6</f>
        <v>2.0.1 (HC-IC)</v>
      </c>
      <c r="D18" s="4">
        <v>1</v>
      </c>
      <c r="E18" s="4">
        <v>0</v>
      </c>
      <c r="F18" s="4">
        <v>0.5</v>
      </c>
      <c r="G18" s="4">
        <v>2</v>
      </c>
      <c r="H18" s="4">
        <f>Tabela35[[#This Row],[Room Common Point (cm)]]+Tabela35[[#This Row],[Outlet (cm)]]</f>
        <v>0.5</v>
      </c>
      <c r="I18" s="4">
        <f>ROUNDUP(Tabela35[[#This Row],[Room Common Point (cm)]]/$M$6,1)</f>
        <v>0</v>
      </c>
      <c r="J18" s="20">
        <f>ROUNDUP(Tabela35[[#This Row],[Outlet (cm)]]/$M$6,1)</f>
        <v>0.7</v>
      </c>
      <c r="K18" s="4">
        <f>ROUNDUP(((Tabela35[[#This Row],[Total (cm)]]/$M$6) + ($G$5*Tabela35[[#This Row],[Height Multiplier]])) *Tabela35[[#This Row],[Cable Multiplier]],1)</f>
        <v>9.2999999999999989</v>
      </c>
      <c r="O18" s="28" t="s">
        <v>7</v>
      </c>
      <c r="P18" s="28" t="s">
        <v>38</v>
      </c>
      <c r="Q18" s="28" t="s">
        <v>42</v>
      </c>
      <c r="R18" s="28" t="s">
        <v>8</v>
      </c>
      <c r="S18" s="28" t="s">
        <v>9</v>
      </c>
      <c r="T18" s="28" t="s">
        <v>50</v>
      </c>
      <c r="U18" s="28" t="s">
        <v>48</v>
      </c>
      <c r="V18" s="28" t="s">
        <v>49</v>
      </c>
      <c r="W18" s="28" t="s">
        <v>51</v>
      </c>
    </row>
    <row r="19" spans="2:25" x14ac:dyDescent="0.25">
      <c r="B19" s="21" t="str">
        <f>B6</f>
        <v>2.0.1 (HC-IC)</v>
      </c>
      <c r="C19" s="4" t="str">
        <f>B8</f>
        <v>2.0.3 (CP)</v>
      </c>
      <c r="D19" s="4">
        <v>2</v>
      </c>
      <c r="E19" s="4">
        <v>0</v>
      </c>
      <c r="F19" s="4">
        <v>7.8</v>
      </c>
      <c r="G19" s="4">
        <v>3</v>
      </c>
      <c r="H19" s="4">
        <f>Tabela35[[#This Row],[Room Common Point (cm)]]+Tabela35[[#This Row],[Outlet (cm)]]</f>
        <v>7.8</v>
      </c>
      <c r="I19" s="4">
        <f>ROUNDUP(Tabela35[[#This Row],[Room Common Point (cm)]]/$M$6,1)</f>
        <v>0</v>
      </c>
      <c r="J19" s="20">
        <f>ROUNDUP(Tabela35[[#This Row],[Outlet (cm)]]/$M$6,1)</f>
        <v>9.7999999999999989</v>
      </c>
      <c r="K19" s="4">
        <f>ROUNDUP(((Tabela35[[#This Row],[Total (cm)]]/$M$6) + ($G$5*Tabela35[[#This Row],[Height Multiplier]])) *Tabela35[[#This Row],[Cable Multiplier]],1)</f>
        <v>53.300000000000004</v>
      </c>
      <c r="O19" s="45">
        <f>SUM(K22:K28)</f>
        <v>50.1</v>
      </c>
      <c r="P19" s="45">
        <f>SUM(K29:K46)</f>
        <v>180.4</v>
      </c>
      <c r="Q19" s="45">
        <f>SUM(K47:K52)</f>
        <v>42.400000000000006</v>
      </c>
      <c r="R19" s="45">
        <f>SUM(K53:K58)</f>
        <v>78.400000000000006</v>
      </c>
      <c r="S19" s="45">
        <f>SUM(K59:K64)</f>
        <v>100.4</v>
      </c>
      <c r="T19" s="45">
        <f>SUM(K19:K21)</f>
        <v>178.3</v>
      </c>
      <c r="U19" s="45">
        <f>SUM(K65)</f>
        <v>12.299999999999999</v>
      </c>
      <c r="V19" s="45">
        <f>SUM(O19:U19)</f>
        <v>642.29999999999995</v>
      </c>
      <c r="W19" s="45">
        <f>ROUNDUP(V19+(V19*0.2),0)</f>
        <v>771</v>
      </c>
    </row>
    <row r="20" spans="2:25" x14ac:dyDescent="0.25">
      <c r="B20" s="21" t="str">
        <f>B6</f>
        <v>2.0.1 (HC-IC)</v>
      </c>
      <c r="C20" s="4" t="str">
        <f>B9</f>
        <v>2.0.4 (CP)</v>
      </c>
      <c r="D20" s="4">
        <v>2</v>
      </c>
      <c r="E20" s="4">
        <v>0</v>
      </c>
      <c r="F20" s="4">
        <v>22.2</v>
      </c>
      <c r="G20" s="4">
        <v>3</v>
      </c>
      <c r="H20" s="4">
        <f>Tabela35[[#This Row],[Room Common Point (cm)]]+Tabela35[[#This Row],[Outlet (cm)]]</f>
        <v>22.2</v>
      </c>
      <c r="I20" s="4">
        <f>ROUNDUP(Tabela35[[#This Row],[Room Common Point (cm)]]/$M$6,1)</f>
        <v>0</v>
      </c>
      <c r="J20" s="20">
        <f>ROUNDUP(Tabela35[[#This Row],[Outlet (cm)]]/$M$6,1)</f>
        <v>27.8</v>
      </c>
      <c r="K20" s="4">
        <f>ROUNDUP(((Tabela35[[#This Row],[Total (cm)]]/$M$6) + ($G$5*Tabela35[[#This Row],[Height Multiplier]])) *Tabela35[[#This Row],[Cable Multiplier]],1)</f>
        <v>107.3</v>
      </c>
    </row>
    <row r="21" spans="2:25" x14ac:dyDescent="0.25">
      <c r="B21" s="21" t="str">
        <f>B6</f>
        <v>2.0.1 (HC-IC)</v>
      </c>
      <c r="C21" s="4" t="str">
        <f>Floor_1!B6</f>
        <v>2.1.1 (HC)</v>
      </c>
      <c r="D21" s="4">
        <v>1</v>
      </c>
      <c r="E21" s="4">
        <v>0</v>
      </c>
      <c r="F21" s="4">
        <v>1.5</v>
      </c>
      <c r="G21" s="4">
        <v>3</v>
      </c>
      <c r="H21" s="20">
        <f>Tabela35[[#This Row],[Room Common Point (cm)]]+Tabela35[[#This Row],[Outlet (cm)]]</f>
        <v>1.5</v>
      </c>
      <c r="I21" s="4">
        <f>ROUNDUP(Tabela35[[#This Row],[Room Common Point (cm)]]/$M$6,1)</f>
        <v>0</v>
      </c>
      <c r="J21" s="20">
        <f>ROUNDUP(Tabela35[[#This Row],[Outlet (cm)]]/$M$6,1)</f>
        <v>1.9000000000000001</v>
      </c>
      <c r="K21" s="20">
        <f>ROUNDUP(((Tabela35[[#This Row],[Total (cm)]]/$M$6) + ($G$5*Tabela35[[#This Row],[Height Multiplier]])) *Tabela35[[#This Row],[Cable Multiplier]],1)</f>
        <v>17.700000000000003</v>
      </c>
    </row>
    <row r="22" spans="2:25" x14ac:dyDescent="0.25">
      <c r="B22" s="4" t="str">
        <f>B8</f>
        <v>2.0.3 (CP)</v>
      </c>
      <c r="C22" s="4" t="str">
        <f>_xlfn.CONCAT($B$7," - ", 1)</f>
        <v>2.0.2 - 1</v>
      </c>
      <c r="D22" s="4">
        <v>0.25</v>
      </c>
      <c r="E22" s="4">
        <v>5</v>
      </c>
      <c r="F22" s="4">
        <v>0.4</v>
      </c>
      <c r="G22" s="4">
        <v>1</v>
      </c>
      <c r="H22" s="4">
        <f>Tabela35[[#This Row],[Room Common Point (cm)]]+Tabela35[[#This Row],[Outlet (cm)]]</f>
        <v>5.4</v>
      </c>
      <c r="I22" s="4">
        <f>ROUNDUP(Tabela35[[#This Row],[Room Common Point (cm)]]/$M$6,1)</f>
        <v>6.3</v>
      </c>
      <c r="J22" s="20">
        <f>ROUNDUP(Tabela35[[#This Row],[Outlet (cm)]]/$M$6,1)</f>
        <v>0.5</v>
      </c>
      <c r="K22" s="4">
        <f>ROUNDUP(((Tabela35[[#This Row],[Total (cm)]]/$M$6) + ($G$5*Tabela35[[#This Row],[Height Multiplier]])) *Tabela35[[#This Row],[Cable Multiplier]],1)</f>
        <v>7.8</v>
      </c>
      <c r="O22" s="46" t="s">
        <v>52</v>
      </c>
      <c r="P22" s="47"/>
      <c r="Q22" s="52" t="s">
        <v>53</v>
      </c>
      <c r="R22" s="58" t="s">
        <v>57</v>
      </c>
      <c r="S22" s="59"/>
      <c r="T22" s="58" t="s">
        <v>55</v>
      </c>
      <c r="U22" s="59"/>
      <c r="V22" s="58" t="s">
        <v>56</v>
      </c>
      <c r="W22" s="59"/>
      <c r="X22" s="57" t="s">
        <v>54</v>
      </c>
      <c r="Y22" s="57"/>
    </row>
    <row r="23" spans="2:25" x14ac:dyDescent="0.25">
      <c r="B23" s="21" t="str">
        <f>B8</f>
        <v>2.0.3 (CP)</v>
      </c>
      <c r="C23" s="4" t="str">
        <f>_xlfn.CONCAT($B$7," - ", 2)</f>
        <v>2.0.2 - 2</v>
      </c>
      <c r="D23" s="4">
        <v>0.25</v>
      </c>
      <c r="E23" s="4">
        <v>5</v>
      </c>
      <c r="F23" s="4">
        <v>1.5</v>
      </c>
      <c r="G23" s="4">
        <v>1</v>
      </c>
      <c r="H23" s="4">
        <f>Tabela35[[#This Row],[Room Common Point (cm)]]+Tabela35[[#This Row],[Outlet (cm)]]</f>
        <v>6.5</v>
      </c>
      <c r="I23" s="4">
        <f>ROUNDUP(Tabela35[[#This Row],[Room Common Point (cm)]]/$M$6,1)</f>
        <v>6.3</v>
      </c>
      <c r="J23" s="20">
        <f>ROUNDUP(Tabela35[[#This Row],[Outlet (cm)]]/$M$6,1)</f>
        <v>1.9000000000000001</v>
      </c>
      <c r="K23" s="4">
        <f>ROUNDUP(((Tabela35[[#This Row],[Total (cm)]]/$M$6) + ($G$5*Tabela35[[#This Row],[Height Multiplier]])) *Tabela35[[#This Row],[Cable Multiplier]],1)</f>
        <v>9.1999999999999993</v>
      </c>
      <c r="O23" s="49">
        <f>SUM(G19:G21)</f>
        <v>9</v>
      </c>
      <c r="P23" s="50"/>
      <c r="Q23" s="51">
        <f>ROUNDUP(O23+(O23*0.2),0)</f>
        <v>11</v>
      </c>
      <c r="R23" s="49">
        <v>0</v>
      </c>
      <c r="S23" s="50"/>
      <c r="T23" s="49">
        <v>1</v>
      </c>
      <c r="U23" s="50"/>
      <c r="V23" s="49">
        <v>0</v>
      </c>
      <c r="W23" s="50"/>
      <c r="X23" s="48">
        <f>R23*$V$7+T23*$V$8+V23*$V$9</f>
        <v>1</v>
      </c>
      <c r="Y23" s="48"/>
    </row>
    <row r="24" spans="2:25" x14ac:dyDescent="0.25">
      <c r="B24" s="21" t="str">
        <f>B8</f>
        <v>2.0.3 (CP)</v>
      </c>
      <c r="C24" s="4" t="str">
        <f>_xlfn.CONCAT($B$7," - ", 3)</f>
        <v>2.0.2 - 3</v>
      </c>
      <c r="D24" s="4">
        <v>0.25</v>
      </c>
      <c r="E24" s="4">
        <v>5</v>
      </c>
      <c r="F24" s="4">
        <v>2.6</v>
      </c>
      <c r="G24" s="4">
        <v>1</v>
      </c>
      <c r="H24" s="4">
        <f>Tabela35[[#This Row],[Room Common Point (cm)]]+Tabela35[[#This Row],[Outlet (cm)]]</f>
        <v>7.6</v>
      </c>
      <c r="I24" s="4">
        <f>ROUNDUP(Tabela35[[#This Row],[Room Common Point (cm)]]/$M$6,1)</f>
        <v>6.3</v>
      </c>
      <c r="J24" s="20">
        <f>ROUNDUP(Tabela35[[#This Row],[Outlet (cm)]]/$M$6,1)</f>
        <v>3.3000000000000003</v>
      </c>
      <c r="K24" s="4">
        <f>ROUNDUP(((Tabela35[[#This Row],[Total (cm)]]/$M$6) + ($G$5*Tabela35[[#This Row],[Height Multiplier]])) *Tabela35[[#This Row],[Cable Multiplier]],1)</f>
        <v>10.5</v>
      </c>
      <c r="O24" s="62">
        <v>2</v>
      </c>
      <c r="P24" s="63"/>
      <c r="Q24" s="43">
        <f>ROUNDUP(O24+(O24*0.2),0)</f>
        <v>3</v>
      </c>
      <c r="R24" s="62">
        <v>1</v>
      </c>
      <c r="S24" s="63"/>
      <c r="T24" s="62">
        <v>0</v>
      </c>
      <c r="U24" s="63"/>
      <c r="V24" s="62">
        <v>0</v>
      </c>
      <c r="W24" s="63"/>
      <c r="X24" s="62">
        <f>R24*$V$7+T24*$V$8+V24*$V$9</f>
        <v>1</v>
      </c>
      <c r="Y24" s="63"/>
    </row>
    <row r="25" spans="2:25" x14ac:dyDescent="0.25">
      <c r="B25" s="21" t="str">
        <f>B8</f>
        <v>2.0.3 (CP)</v>
      </c>
      <c r="C25" s="4" t="str">
        <f>_xlfn.CONCAT($B$7," - ",4)</f>
        <v>2.0.2 - 4</v>
      </c>
      <c r="D25" s="4">
        <v>0.25</v>
      </c>
      <c r="E25" s="4">
        <v>5</v>
      </c>
      <c r="F25" s="4">
        <v>3.8</v>
      </c>
      <c r="G25" s="4">
        <v>1</v>
      </c>
      <c r="H25" s="20">
        <f>Tabela35[[#This Row],[Room Common Point (cm)]]+Tabela35[[#This Row],[Outlet (cm)]]</f>
        <v>8.8000000000000007</v>
      </c>
      <c r="I25" s="4">
        <f>ROUNDUP(Tabela35[[#This Row],[Room Common Point (cm)]]/$M$6,1)</f>
        <v>6.3</v>
      </c>
      <c r="J25" s="20">
        <f>ROUNDUP(Tabela35[[#This Row],[Outlet (cm)]]/$M$6,1)</f>
        <v>4.8</v>
      </c>
      <c r="K25" s="20">
        <f>ROUNDUP(((Tabela35[[#This Row],[Total (cm)]]/$M$6) + ($G$5*Tabela35[[#This Row],[Height Multiplier]])) *Tabela35[[#This Row],[Cable Multiplier]],1)</f>
        <v>12</v>
      </c>
      <c r="O25" s="42" t="s">
        <v>61</v>
      </c>
      <c r="P25" s="42">
        <f>SUM(O23:P24)</f>
        <v>11</v>
      </c>
      <c r="Q25" s="60"/>
      <c r="R25" s="64"/>
      <c r="S25" s="64"/>
      <c r="T25" s="64"/>
      <c r="U25" s="64"/>
      <c r="V25" s="61"/>
      <c r="W25" s="42" t="s">
        <v>49</v>
      </c>
      <c r="X25" s="48">
        <f>SUM(X23:Y24)*2*2</f>
        <v>8</v>
      </c>
      <c r="Y25" s="48"/>
    </row>
    <row r="26" spans="2:25" x14ac:dyDescent="0.25">
      <c r="B26" s="21" t="str">
        <f>B8</f>
        <v>2.0.3 (CP)</v>
      </c>
      <c r="C26" s="4" t="str">
        <f>_xlfn.CONCAT($B$7," - ", 5)</f>
        <v>2.0.2 - 5</v>
      </c>
      <c r="D26" s="4">
        <v>0.25</v>
      </c>
      <c r="E26" s="4">
        <v>0.5</v>
      </c>
      <c r="F26" s="4">
        <v>0.4</v>
      </c>
      <c r="G26" s="4">
        <v>1</v>
      </c>
      <c r="H26" s="20">
        <f>Tabela35[[#This Row],[Room Common Point (cm)]]+Tabela35[[#This Row],[Outlet (cm)]]</f>
        <v>0.9</v>
      </c>
      <c r="I26" s="4">
        <f>ROUNDUP(Tabela35[[#This Row],[Room Common Point (cm)]]/$M$6,1)</f>
        <v>0.7</v>
      </c>
      <c r="J26" s="20">
        <f>ROUNDUP(Tabela35[[#This Row],[Outlet (cm)]]/$M$6,1)</f>
        <v>0.5</v>
      </c>
      <c r="K26" s="20">
        <f>ROUNDUP(((Tabela35[[#This Row],[Total (cm)]]/$M$6) + ($G$5*Tabela35[[#This Row],[Height Multiplier]])) *Tabela35[[#This Row],[Cable Multiplier]],1)</f>
        <v>2.2000000000000002</v>
      </c>
    </row>
    <row r="27" spans="2:25" x14ac:dyDescent="0.25">
      <c r="B27" s="21" t="str">
        <f>B8</f>
        <v>2.0.3 (CP)</v>
      </c>
      <c r="C27" s="4" t="str">
        <f>_xlfn.CONCAT($B$7," - ", 6)</f>
        <v>2.0.2 - 6</v>
      </c>
      <c r="D27" s="4">
        <v>0.25</v>
      </c>
      <c r="E27" s="4">
        <v>0.5</v>
      </c>
      <c r="F27" s="4">
        <v>1.5</v>
      </c>
      <c r="G27" s="4">
        <v>1</v>
      </c>
      <c r="H27" s="20">
        <f>Tabela35[[#This Row],[Room Common Point (cm)]]+Tabela35[[#This Row],[Outlet (cm)]]</f>
        <v>2</v>
      </c>
      <c r="I27" s="4">
        <f>ROUNDUP(Tabela35[[#This Row],[Room Common Point (cm)]]/$M$6,1)</f>
        <v>0.7</v>
      </c>
      <c r="J27" s="20">
        <f>ROUNDUP(Tabela35[[#This Row],[Outlet (cm)]]/$M$6,1)</f>
        <v>1.9000000000000001</v>
      </c>
      <c r="K27" s="20">
        <f>ROUNDUP(((Tabela35[[#This Row],[Total (cm)]]/$M$6) + ($G$5*Tabela35[[#This Row],[Height Multiplier]])) *Tabela35[[#This Row],[Cable Multiplier]],1)</f>
        <v>3.5</v>
      </c>
    </row>
    <row r="28" spans="2:25" x14ac:dyDescent="0.25">
      <c r="B28" s="21" t="str">
        <f>B8</f>
        <v>2.0.3 (CP)</v>
      </c>
      <c r="C28" s="4" t="str">
        <f>_xlfn.CONCAT($B$7," - ", 7)</f>
        <v>2.0.2 - 7</v>
      </c>
      <c r="D28" s="4">
        <v>0.25</v>
      </c>
      <c r="E28" s="4">
        <v>0.5</v>
      </c>
      <c r="F28" s="4">
        <v>2.6</v>
      </c>
      <c r="G28" s="4">
        <v>1</v>
      </c>
      <c r="H28" s="20">
        <f>Tabela35[[#This Row],[Room Common Point (cm)]]+Tabela35[[#This Row],[Outlet (cm)]]</f>
        <v>3.1</v>
      </c>
      <c r="I28" s="4">
        <f>ROUNDUP(Tabela35[[#This Row],[Room Common Point (cm)]]/$M$6,1)</f>
        <v>0.7</v>
      </c>
      <c r="J28" s="20">
        <f>ROUNDUP(Tabela35[[#This Row],[Outlet (cm)]]/$M$6,1)</f>
        <v>3.3000000000000003</v>
      </c>
      <c r="K28" s="20">
        <f>ROUNDUP(((Tabela35[[#This Row],[Total (cm)]]/$M$6) + ($G$5*Tabela35[[#This Row],[Height Multiplier]])) *Tabela35[[#This Row],[Cable Multiplier]],1)</f>
        <v>4.8999999999999995</v>
      </c>
      <c r="O28" s="46" t="s">
        <v>59</v>
      </c>
      <c r="P28" s="47"/>
      <c r="Q28" s="52" t="s">
        <v>53</v>
      </c>
      <c r="R28" s="58" t="s">
        <v>57</v>
      </c>
      <c r="S28" s="59"/>
      <c r="T28" s="58" t="s">
        <v>55</v>
      </c>
      <c r="U28" s="59"/>
      <c r="V28" s="58" t="s">
        <v>56</v>
      </c>
      <c r="W28" s="59"/>
      <c r="X28" s="57" t="s">
        <v>54</v>
      </c>
      <c r="Y28" s="57"/>
    </row>
    <row r="29" spans="2:25" x14ac:dyDescent="0.25">
      <c r="B29" s="21" t="str">
        <f>B8</f>
        <v>2.0.3 (CP)</v>
      </c>
      <c r="C29" s="4" t="str">
        <f>_xlfn.CONCAT($B$8," - ", 1)</f>
        <v>2.0.3 (CP) - 1</v>
      </c>
      <c r="D29" s="4">
        <v>0.25</v>
      </c>
      <c r="E29" s="4">
        <v>2.2999999999999998</v>
      </c>
      <c r="F29" s="4">
        <v>5.2</v>
      </c>
      <c r="G29" s="4">
        <v>1</v>
      </c>
      <c r="H29" s="20">
        <f>Tabela35[[#This Row],[Room Common Point (cm)]]+Tabela35[[#This Row],[Outlet (cm)]]</f>
        <v>7.5</v>
      </c>
      <c r="I29" s="4">
        <f>ROUNDUP(Tabela35[[#This Row],[Room Common Point (cm)]]/$M$6,1)</f>
        <v>2.9</v>
      </c>
      <c r="J29" s="20">
        <f>ROUNDUP(Tabela35[[#This Row],[Outlet (cm)]]/$M$6,1)</f>
        <v>6.5</v>
      </c>
      <c r="K29" s="20">
        <f>ROUNDUP(((Tabela35[[#This Row],[Total (cm)]]/$M$6) + ($G$5*Tabela35[[#This Row],[Height Multiplier]])) *Tabela35[[#This Row],[Cable Multiplier]],1)</f>
        <v>10.4</v>
      </c>
      <c r="O29" s="49">
        <f>SUM(G22:G46)+G19</f>
        <v>28</v>
      </c>
      <c r="P29" s="50"/>
      <c r="Q29" s="51">
        <f>ROUNDUP(O29+(O29*0.2),0)</f>
        <v>34</v>
      </c>
      <c r="R29" s="49">
        <v>0</v>
      </c>
      <c r="S29" s="50"/>
      <c r="T29" s="49">
        <v>0</v>
      </c>
      <c r="U29" s="50"/>
      <c r="V29" s="49">
        <v>1</v>
      </c>
      <c r="W29" s="50"/>
      <c r="X29" s="48">
        <f>R29*$V$7+T29*$V$8+V29*$V$9</f>
        <v>2</v>
      </c>
      <c r="Y29" s="48"/>
    </row>
    <row r="30" spans="2:25" x14ac:dyDescent="0.25">
      <c r="B30" s="21" t="str">
        <f>B8</f>
        <v>2.0.3 (CP)</v>
      </c>
      <c r="C30" s="4" t="str">
        <f>_xlfn.CONCAT($B$8," - ", 2)</f>
        <v>2.0.3 (CP) - 2</v>
      </c>
      <c r="D30" s="4">
        <v>0.25</v>
      </c>
      <c r="E30" s="4">
        <v>2.2999999999999998</v>
      </c>
      <c r="F30" s="4">
        <v>4.3</v>
      </c>
      <c r="G30" s="4">
        <v>1</v>
      </c>
      <c r="H30" s="20">
        <f>Tabela35[[#This Row],[Room Common Point (cm)]]+Tabela35[[#This Row],[Outlet (cm)]]</f>
        <v>6.6</v>
      </c>
      <c r="I30" s="4">
        <f>ROUNDUP(Tabela35[[#This Row],[Room Common Point (cm)]]/$M$6,1)</f>
        <v>2.9</v>
      </c>
      <c r="J30" s="20">
        <f>ROUNDUP(Tabela35[[#This Row],[Outlet (cm)]]/$M$6,1)</f>
        <v>5.3999999999999995</v>
      </c>
      <c r="K30" s="20">
        <f>ROUNDUP(((Tabela35[[#This Row],[Total (cm)]]/$M$6) + ($G$5*Tabela35[[#This Row],[Height Multiplier]])) *Tabela35[[#This Row],[Cable Multiplier]],1)</f>
        <v>9.2999999999999989</v>
      </c>
      <c r="O30" s="42" t="s">
        <v>61</v>
      </c>
      <c r="P30" s="42">
        <f>O29</f>
        <v>28</v>
      </c>
      <c r="Q30" s="60"/>
      <c r="R30" s="64"/>
      <c r="S30" s="64"/>
      <c r="T30" s="64"/>
      <c r="U30" s="64"/>
      <c r="V30" s="61"/>
      <c r="W30" s="42" t="s">
        <v>49</v>
      </c>
      <c r="X30" s="48">
        <f>SUM(X28:Y29)*2*2</f>
        <v>8</v>
      </c>
      <c r="Y30" s="48"/>
    </row>
    <row r="31" spans="2:25" x14ac:dyDescent="0.25">
      <c r="B31" s="21" t="str">
        <f>B8</f>
        <v>2.0.3 (CP)</v>
      </c>
      <c r="C31" s="4" t="str">
        <f>_xlfn.CONCAT($B$8," - ", 3)</f>
        <v>2.0.3 (CP) - 3</v>
      </c>
      <c r="D31" s="4">
        <v>0.25</v>
      </c>
      <c r="E31" s="4">
        <v>2.2999999999999998</v>
      </c>
      <c r="F31" s="4">
        <v>3.3</v>
      </c>
      <c r="G31" s="4">
        <v>1</v>
      </c>
      <c r="H31" s="20">
        <f>Tabela35[[#This Row],[Room Common Point (cm)]]+Tabela35[[#This Row],[Outlet (cm)]]</f>
        <v>5.6</v>
      </c>
      <c r="I31" s="4">
        <f>ROUNDUP(Tabela35[[#This Row],[Room Common Point (cm)]]/$M$6,1)</f>
        <v>2.9</v>
      </c>
      <c r="J31" s="20">
        <f>ROUNDUP(Tabela35[[#This Row],[Outlet (cm)]]/$M$6,1)</f>
        <v>4.1999999999999993</v>
      </c>
      <c r="K31" s="20">
        <f>ROUNDUP(((Tabela35[[#This Row],[Total (cm)]]/$M$6) + ($G$5*Tabela35[[#This Row],[Height Multiplier]])) *Tabela35[[#This Row],[Cable Multiplier]],1)</f>
        <v>8</v>
      </c>
    </row>
    <row r="32" spans="2:25" x14ac:dyDescent="0.25">
      <c r="B32" s="21" t="str">
        <f>B8</f>
        <v>2.0.3 (CP)</v>
      </c>
      <c r="C32" s="4" t="str">
        <f>_xlfn.CONCAT($B$8," - ", 4)</f>
        <v>2.0.3 (CP) - 4</v>
      </c>
      <c r="D32" s="4">
        <v>0.25</v>
      </c>
      <c r="E32" s="4">
        <v>2.2999999999999998</v>
      </c>
      <c r="F32" s="4">
        <v>2.4</v>
      </c>
      <c r="G32" s="4">
        <v>1</v>
      </c>
      <c r="H32" s="20">
        <f>Tabela35[[#This Row],[Room Common Point (cm)]]+Tabela35[[#This Row],[Outlet (cm)]]</f>
        <v>4.6999999999999993</v>
      </c>
      <c r="I32" s="4">
        <f>ROUNDUP(Tabela35[[#This Row],[Room Common Point (cm)]]/$M$6,1)</f>
        <v>2.9</v>
      </c>
      <c r="J32" s="20">
        <f>ROUNDUP(Tabela35[[#This Row],[Outlet (cm)]]/$M$6,1)</f>
        <v>3</v>
      </c>
      <c r="K32" s="20">
        <f>ROUNDUP(((Tabela35[[#This Row],[Total (cm)]]/$M$6) + ($G$5*Tabela35[[#This Row],[Height Multiplier]])) *Tabela35[[#This Row],[Cable Multiplier]],1)</f>
        <v>6.8999999999999995</v>
      </c>
    </row>
    <row r="33" spans="2:25" x14ac:dyDescent="0.25">
      <c r="B33" s="21" t="str">
        <f>B8</f>
        <v>2.0.3 (CP)</v>
      </c>
      <c r="C33" s="4" t="str">
        <f>_xlfn.CONCAT($B$8," - ",5)</f>
        <v>2.0.3 (CP) - 5</v>
      </c>
      <c r="D33" s="4">
        <v>0.25</v>
      </c>
      <c r="E33" s="4">
        <v>2.2999999999999998</v>
      </c>
      <c r="F33" s="4">
        <v>1.3</v>
      </c>
      <c r="G33" s="4">
        <v>1</v>
      </c>
      <c r="H33" s="20">
        <f>Tabela35[[#This Row],[Room Common Point (cm)]]+Tabela35[[#This Row],[Outlet (cm)]]</f>
        <v>3.5999999999999996</v>
      </c>
      <c r="I33" s="4">
        <f>ROUNDUP(Tabela35[[#This Row],[Room Common Point (cm)]]/$M$6,1)</f>
        <v>2.9</v>
      </c>
      <c r="J33" s="20">
        <f>ROUNDUP(Tabela35[[#This Row],[Outlet (cm)]]/$M$6,1)</f>
        <v>1.7000000000000002</v>
      </c>
      <c r="K33" s="20">
        <f>ROUNDUP(((Tabela35[[#This Row],[Total (cm)]]/$M$6) + ($G$5*Tabela35[[#This Row],[Height Multiplier]])) *Tabela35[[#This Row],[Cable Multiplier]],1)</f>
        <v>5.5</v>
      </c>
      <c r="O33" s="46" t="s">
        <v>60</v>
      </c>
      <c r="P33" s="47"/>
      <c r="Q33" s="52" t="s">
        <v>53</v>
      </c>
      <c r="R33" s="58" t="s">
        <v>57</v>
      </c>
      <c r="S33" s="59"/>
      <c r="T33" s="58" t="s">
        <v>55</v>
      </c>
      <c r="U33" s="59"/>
      <c r="V33" s="58" t="s">
        <v>56</v>
      </c>
      <c r="W33" s="59"/>
      <c r="X33" s="57" t="s">
        <v>54</v>
      </c>
      <c r="Y33" s="57"/>
    </row>
    <row r="34" spans="2:25" x14ac:dyDescent="0.25">
      <c r="B34" s="21" t="str">
        <f>B8</f>
        <v>2.0.3 (CP)</v>
      </c>
      <c r="C34" s="4" t="str">
        <f>_xlfn.CONCAT($B$8," - ", 6)</f>
        <v>2.0.3 (CP) - 6</v>
      </c>
      <c r="D34" s="4">
        <v>0.25</v>
      </c>
      <c r="E34" s="4">
        <v>2.2999999999999998</v>
      </c>
      <c r="F34" s="4">
        <v>0.3</v>
      </c>
      <c r="G34" s="4">
        <v>1</v>
      </c>
      <c r="H34" s="20">
        <f>Tabela35[[#This Row],[Room Common Point (cm)]]+Tabela35[[#This Row],[Outlet (cm)]]</f>
        <v>2.5999999999999996</v>
      </c>
      <c r="I34" s="4">
        <f>ROUNDUP(Tabela35[[#This Row],[Room Common Point (cm)]]/$M$6,1)</f>
        <v>2.9</v>
      </c>
      <c r="J34" s="20">
        <f>ROUNDUP(Tabela35[[#This Row],[Outlet (cm)]]/$M$6,1)</f>
        <v>0.4</v>
      </c>
      <c r="K34" s="20">
        <f>ROUNDUP(((Tabela35[[#This Row],[Total (cm)]]/$M$6) + ($G$5*Tabela35[[#This Row],[Height Multiplier]])) *Tabela35[[#This Row],[Cable Multiplier]],1)</f>
        <v>4.3</v>
      </c>
      <c r="O34" s="49">
        <f>SUM(G47:G65)+G20</f>
        <v>22</v>
      </c>
      <c r="P34" s="50"/>
      <c r="Q34" s="51">
        <f>ROUNDUP(O34+(O34*0.2),0)</f>
        <v>27</v>
      </c>
      <c r="R34" s="49">
        <v>0</v>
      </c>
      <c r="S34" s="50"/>
      <c r="T34" s="49">
        <v>0</v>
      </c>
      <c r="U34" s="50"/>
      <c r="V34" s="49">
        <v>1</v>
      </c>
      <c r="W34" s="50"/>
      <c r="X34" s="48">
        <f>R34*$V$7+T34*$V$8+V34*$V$9</f>
        <v>2</v>
      </c>
      <c r="Y34" s="48"/>
    </row>
    <row r="35" spans="2:25" x14ac:dyDescent="0.25">
      <c r="B35" s="21" t="str">
        <f>B8</f>
        <v>2.0.3 (CP)</v>
      </c>
      <c r="C35" s="4" t="str">
        <f>_xlfn.CONCAT($B$8," - ", 7)</f>
        <v>2.0.3 (CP) - 7</v>
      </c>
      <c r="D35" s="4">
        <v>0.25</v>
      </c>
      <c r="E35" s="4">
        <v>4.3499999999999996</v>
      </c>
      <c r="F35" s="4">
        <v>5.2</v>
      </c>
      <c r="G35" s="4">
        <v>1</v>
      </c>
      <c r="H35" s="20">
        <f>Tabela35[[#This Row],[Room Common Point (cm)]]+Tabela35[[#This Row],[Outlet (cm)]]</f>
        <v>9.5500000000000007</v>
      </c>
      <c r="I35" s="4">
        <f>ROUNDUP(Tabela35[[#This Row],[Room Common Point (cm)]]/$M$6,1)</f>
        <v>5.5</v>
      </c>
      <c r="J35" s="20">
        <f>ROUNDUP(Tabela35[[#This Row],[Outlet (cm)]]/$M$6,1)</f>
        <v>6.5</v>
      </c>
      <c r="K35" s="20">
        <f>ROUNDUP(((Tabela35[[#This Row],[Total (cm)]]/$M$6) + ($G$5*Tabela35[[#This Row],[Height Multiplier]])) *Tabela35[[#This Row],[Cable Multiplier]],1)</f>
        <v>13</v>
      </c>
      <c r="O35" s="42" t="s">
        <v>61</v>
      </c>
      <c r="P35" s="42">
        <f>O34</f>
        <v>22</v>
      </c>
      <c r="Q35" s="60"/>
      <c r="R35" s="64"/>
      <c r="S35" s="64"/>
      <c r="T35" s="64"/>
      <c r="U35" s="64"/>
      <c r="V35" s="61"/>
      <c r="W35" s="42" t="s">
        <v>49</v>
      </c>
      <c r="X35" s="48">
        <f>SUM(X33:Y34)*2*2</f>
        <v>8</v>
      </c>
      <c r="Y35" s="48"/>
    </row>
    <row r="36" spans="2:25" x14ac:dyDescent="0.25">
      <c r="B36" s="21" t="str">
        <f>B8</f>
        <v>2.0.3 (CP)</v>
      </c>
      <c r="C36" s="4" t="str">
        <f>_xlfn.CONCAT($B$8," - ", 8)</f>
        <v>2.0.3 (CP) - 8</v>
      </c>
      <c r="D36" s="4">
        <v>0.25</v>
      </c>
      <c r="E36" s="4">
        <v>4.3499999999999996</v>
      </c>
      <c r="F36" s="4">
        <v>4.3</v>
      </c>
      <c r="G36" s="4">
        <v>1</v>
      </c>
      <c r="H36" s="20">
        <f>Tabela35[[#This Row],[Room Common Point (cm)]]+Tabela35[[#This Row],[Outlet (cm)]]</f>
        <v>8.6499999999999986</v>
      </c>
      <c r="I36" s="4">
        <f>ROUNDUP(Tabela35[[#This Row],[Room Common Point (cm)]]/$M$6,1)</f>
        <v>5.5</v>
      </c>
      <c r="J36" s="20">
        <f>ROUNDUP(Tabela35[[#This Row],[Outlet (cm)]]/$M$6,1)</f>
        <v>5.3999999999999995</v>
      </c>
      <c r="K36" s="20">
        <f>ROUNDUP(((Tabela35[[#This Row],[Total (cm)]]/$M$6) + ($G$5*Tabela35[[#This Row],[Height Multiplier]])) *Tabela35[[#This Row],[Cable Multiplier]],1)</f>
        <v>11.9</v>
      </c>
    </row>
    <row r="37" spans="2:25" x14ac:dyDescent="0.25">
      <c r="B37" s="21" t="str">
        <f>B8</f>
        <v>2.0.3 (CP)</v>
      </c>
      <c r="C37" s="4" t="str">
        <f>_xlfn.CONCAT($B$8," - ", 9)</f>
        <v>2.0.3 (CP) - 9</v>
      </c>
      <c r="D37" s="4">
        <v>0.25</v>
      </c>
      <c r="E37" s="4">
        <v>4.3499999999999996</v>
      </c>
      <c r="F37" s="4">
        <v>3.3</v>
      </c>
      <c r="G37" s="4">
        <v>1</v>
      </c>
      <c r="H37" s="20">
        <f>Tabela35[[#This Row],[Room Common Point (cm)]]+Tabela35[[#This Row],[Outlet (cm)]]</f>
        <v>7.6499999999999995</v>
      </c>
      <c r="I37" s="4">
        <f>ROUNDUP(Tabela35[[#This Row],[Room Common Point (cm)]]/$M$6,1)</f>
        <v>5.5</v>
      </c>
      <c r="J37" s="20">
        <f>ROUNDUP(Tabela35[[#This Row],[Outlet (cm)]]/$M$6,1)</f>
        <v>4.1999999999999993</v>
      </c>
      <c r="K37" s="20">
        <f>ROUNDUP(((Tabela35[[#This Row],[Total (cm)]]/$M$6) + ($G$5*Tabela35[[#This Row],[Height Multiplier]])) *Tabela35[[#This Row],[Cable Multiplier]],1)</f>
        <v>10.6</v>
      </c>
    </row>
    <row r="38" spans="2:25" x14ac:dyDescent="0.25">
      <c r="B38" s="21" t="str">
        <f>B8</f>
        <v>2.0.3 (CP)</v>
      </c>
      <c r="C38" s="4" t="str">
        <f>_xlfn.CONCAT($B$8," - ", 10)</f>
        <v>2.0.3 (CP) - 10</v>
      </c>
      <c r="D38" s="4">
        <v>0.25</v>
      </c>
      <c r="E38" s="4">
        <v>4.3499999999999996</v>
      </c>
      <c r="F38" s="4">
        <v>2.4</v>
      </c>
      <c r="G38" s="4">
        <v>1</v>
      </c>
      <c r="H38" s="20">
        <f>Tabela35[[#This Row],[Room Common Point (cm)]]+Tabela35[[#This Row],[Outlet (cm)]]</f>
        <v>6.75</v>
      </c>
      <c r="I38" s="4">
        <f>ROUNDUP(Tabela35[[#This Row],[Room Common Point (cm)]]/$M$6,1)</f>
        <v>5.5</v>
      </c>
      <c r="J38" s="20">
        <f>ROUNDUP(Tabela35[[#This Row],[Outlet (cm)]]/$M$6,1)</f>
        <v>3</v>
      </c>
      <c r="K38" s="20">
        <f>ROUNDUP(((Tabela35[[#This Row],[Total (cm)]]/$M$6) + ($G$5*Tabela35[[#This Row],[Height Multiplier]])) *Tabela35[[#This Row],[Cable Multiplier]],1)</f>
        <v>9.5</v>
      </c>
    </row>
    <row r="39" spans="2:25" x14ac:dyDescent="0.25">
      <c r="B39" s="21" t="str">
        <f>B8</f>
        <v>2.0.3 (CP)</v>
      </c>
      <c r="C39" s="4" t="str">
        <f>_xlfn.CONCAT($B$8," - ", 11)</f>
        <v>2.0.3 (CP) - 11</v>
      </c>
      <c r="D39" s="4">
        <v>0.25</v>
      </c>
      <c r="E39" s="4">
        <v>4.3499999999999996</v>
      </c>
      <c r="F39" s="4">
        <v>1.3</v>
      </c>
      <c r="G39" s="4">
        <v>1</v>
      </c>
      <c r="H39" s="20">
        <f>Tabela35[[#This Row],[Room Common Point (cm)]]+Tabela35[[#This Row],[Outlet (cm)]]</f>
        <v>5.6499999999999995</v>
      </c>
      <c r="I39" s="4">
        <f>ROUNDUP(Tabela35[[#This Row],[Room Common Point (cm)]]/$M$6,1)</f>
        <v>5.5</v>
      </c>
      <c r="J39" s="20">
        <f>ROUNDUP(Tabela35[[#This Row],[Outlet (cm)]]/$M$6,1)</f>
        <v>1.7000000000000002</v>
      </c>
      <c r="K39" s="20">
        <f>ROUNDUP(((Tabela35[[#This Row],[Total (cm)]]/$M$6) + ($G$5*Tabela35[[#This Row],[Height Multiplier]])) *Tabela35[[#This Row],[Cable Multiplier]],1)</f>
        <v>8.1</v>
      </c>
    </row>
    <row r="40" spans="2:25" x14ac:dyDescent="0.25">
      <c r="B40" s="21" t="str">
        <f>B8</f>
        <v>2.0.3 (CP)</v>
      </c>
      <c r="C40" s="4" t="str">
        <f>_xlfn.CONCAT($B$8," - ", 12)</f>
        <v>2.0.3 (CP) - 12</v>
      </c>
      <c r="D40" s="4">
        <v>0.25</v>
      </c>
      <c r="E40" s="4">
        <v>4.3499999999999996</v>
      </c>
      <c r="F40" s="4">
        <v>0.3</v>
      </c>
      <c r="G40" s="4">
        <v>1</v>
      </c>
      <c r="H40" s="20">
        <f>Tabela35[[#This Row],[Room Common Point (cm)]]+Tabela35[[#This Row],[Outlet (cm)]]</f>
        <v>4.6499999999999995</v>
      </c>
      <c r="I40" s="4">
        <f>ROUNDUP(Tabela35[[#This Row],[Room Common Point (cm)]]/$M$6,1)</f>
        <v>5.5</v>
      </c>
      <c r="J40" s="20">
        <f>ROUNDUP(Tabela35[[#This Row],[Outlet (cm)]]/$M$6,1)</f>
        <v>0.4</v>
      </c>
      <c r="K40" s="20">
        <f>ROUNDUP(((Tabela35[[#This Row],[Total (cm)]]/$M$6) + ($G$5*Tabela35[[#This Row],[Height Multiplier]])) *Tabela35[[#This Row],[Cable Multiplier]],1)</f>
        <v>6.8999999999999995</v>
      </c>
    </row>
    <row r="41" spans="2:25" x14ac:dyDescent="0.25">
      <c r="B41" s="21" t="str">
        <f>B8</f>
        <v>2.0.3 (CP)</v>
      </c>
      <c r="C41" s="4" t="str">
        <f>_xlfn.CONCAT($B$8," - ", 13)</f>
        <v>2.0.3 (CP) - 13</v>
      </c>
      <c r="D41" s="4">
        <v>0.25</v>
      </c>
      <c r="E41" s="4">
        <v>6.5</v>
      </c>
      <c r="F41" s="4">
        <v>5.2</v>
      </c>
      <c r="G41" s="4">
        <v>1</v>
      </c>
      <c r="H41" s="20">
        <f>Tabela35[[#This Row],[Room Common Point (cm)]]+Tabela35[[#This Row],[Outlet (cm)]]</f>
        <v>11.7</v>
      </c>
      <c r="I41" s="4">
        <f>ROUNDUP(Tabela35[[#This Row],[Room Common Point (cm)]]/$M$6,1)</f>
        <v>8.1999999999999993</v>
      </c>
      <c r="J41" s="20">
        <f>ROUNDUP(Tabela35[[#This Row],[Outlet (cm)]]/$M$6,1)</f>
        <v>6.5</v>
      </c>
      <c r="K41" s="20">
        <f>ROUNDUP(((Tabela35[[#This Row],[Total (cm)]]/$M$6) + ($G$5*Tabela35[[#This Row],[Height Multiplier]])) *Tabela35[[#This Row],[Cable Multiplier]],1)</f>
        <v>15.7</v>
      </c>
      <c r="O41" s="65" t="s">
        <v>57</v>
      </c>
      <c r="P41" s="65"/>
      <c r="Q41" s="45">
        <v>1</v>
      </c>
    </row>
    <row r="42" spans="2:25" x14ac:dyDescent="0.25">
      <c r="B42" s="21" t="str">
        <f>B8</f>
        <v>2.0.3 (CP)</v>
      </c>
      <c r="C42" s="4" t="str">
        <f>_xlfn.CONCAT($B$8," - ", 14)</f>
        <v>2.0.3 (CP) - 14</v>
      </c>
      <c r="D42" s="4">
        <v>0.25</v>
      </c>
      <c r="E42" s="4">
        <v>6.5</v>
      </c>
      <c r="F42" s="4">
        <v>4.3</v>
      </c>
      <c r="G42" s="4">
        <v>1</v>
      </c>
      <c r="H42" s="20">
        <f>Tabela35[[#This Row],[Room Common Point (cm)]]+Tabela35[[#This Row],[Outlet (cm)]]</f>
        <v>10.8</v>
      </c>
      <c r="I42" s="4">
        <f>ROUNDUP(Tabela35[[#This Row],[Room Common Point (cm)]]/$M$6,1)</f>
        <v>8.1999999999999993</v>
      </c>
      <c r="J42" s="20">
        <f>ROUNDUP(Tabela35[[#This Row],[Outlet (cm)]]/$M$6,1)</f>
        <v>5.3999999999999995</v>
      </c>
      <c r="K42" s="20">
        <f>ROUNDUP(((Tabela35[[#This Row],[Total (cm)]]/$M$6) + ($G$5*Tabela35[[#This Row],[Height Multiplier]])) *Tabela35[[#This Row],[Cable Multiplier]],1)</f>
        <v>14.5</v>
      </c>
      <c r="O42" s="66" t="s">
        <v>55</v>
      </c>
      <c r="P42" s="66"/>
      <c r="Q42" s="45">
        <v>0</v>
      </c>
    </row>
    <row r="43" spans="2:25" x14ac:dyDescent="0.25">
      <c r="B43" s="21" t="str">
        <f>B8</f>
        <v>2.0.3 (CP)</v>
      </c>
      <c r="C43" s="4" t="str">
        <f>_xlfn.CONCAT($B$8," - ", 15)</f>
        <v>2.0.3 (CP) - 15</v>
      </c>
      <c r="D43" s="4">
        <v>0.25</v>
      </c>
      <c r="E43" s="4">
        <v>6.5</v>
      </c>
      <c r="F43" s="4">
        <v>3.3</v>
      </c>
      <c r="G43" s="4">
        <v>1</v>
      </c>
      <c r="H43" s="20">
        <f>Tabela35[[#This Row],[Room Common Point (cm)]]+Tabela35[[#This Row],[Outlet (cm)]]</f>
        <v>9.8000000000000007</v>
      </c>
      <c r="I43" s="4">
        <f>ROUNDUP(Tabela35[[#This Row],[Room Common Point (cm)]]/$M$6,1)</f>
        <v>8.1999999999999993</v>
      </c>
      <c r="J43" s="20">
        <f>ROUNDUP(Tabela35[[#This Row],[Outlet (cm)]]/$M$6,1)</f>
        <v>4.1999999999999993</v>
      </c>
      <c r="K43" s="20">
        <f>ROUNDUP(((Tabela35[[#This Row],[Total (cm)]]/$M$6) + ($G$5*Tabela35[[#This Row],[Height Multiplier]])) *Tabela35[[#This Row],[Cable Multiplier]],1)</f>
        <v>13.299999999999999</v>
      </c>
      <c r="O43" s="65" t="s">
        <v>56</v>
      </c>
      <c r="P43" s="65"/>
      <c r="Q43" s="45">
        <v>2</v>
      </c>
    </row>
    <row r="44" spans="2:25" x14ac:dyDescent="0.25">
      <c r="B44" s="21" t="str">
        <f>B8</f>
        <v>2.0.3 (CP)</v>
      </c>
      <c r="C44" s="4" t="str">
        <f>_xlfn.CONCAT($B$8," - ", 16)</f>
        <v>2.0.3 (CP) - 16</v>
      </c>
      <c r="D44" s="4">
        <v>0.25</v>
      </c>
      <c r="E44" s="4">
        <v>6.5</v>
      </c>
      <c r="F44" s="4">
        <v>2.4</v>
      </c>
      <c r="G44" s="4">
        <v>1</v>
      </c>
      <c r="H44" s="20">
        <f>Tabela35[[#This Row],[Room Common Point (cm)]]+Tabela35[[#This Row],[Outlet (cm)]]</f>
        <v>8.9</v>
      </c>
      <c r="I44" s="4">
        <f>ROUNDUP(Tabela35[[#This Row],[Room Common Point (cm)]]/$M$6,1)</f>
        <v>8.1999999999999993</v>
      </c>
      <c r="J44" s="20">
        <f>ROUNDUP(Tabela35[[#This Row],[Outlet (cm)]]/$M$6,1)</f>
        <v>3</v>
      </c>
      <c r="K44" s="20">
        <f>ROUNDUP(((Tabela35[[#This Row],[Total (cm)]]/$M$6) + ($G$5*Tabela35[[#This Row],[Height Multiplier]])) *Tabela35[[#This Row],[Cable Multiplier]],1)</f>
        <v>12.2</v>
      </c>
      <c r="O44" s="66" t="s">
        <v>62</v>
      </c>
      <c r="P44" s="66"/>
      <c r="Q44" s="45">
        <f>P35+P30+P25</f>
        <v>61</v>
      </c>
    </row>
    <row r="45" spans="2:25" x14ac:dyDescent="0.25">
      <c r="B45" s="21" t="str">
        <f>B8</f>
        <v>2.0.3 (CP)</v>
      </c>
      <c r="C45" s="4" t="str">
        <f>_xlfn.CONCAT($B$8," - ", 17)</f>
        <v>2.0.3 (CP) - 17</v>
      </c>
      <c r="D45" s="4">
        <v>0.25</v>
      </c>
      <c r="E45" s="4">
        <v>6.5</v>
      </c>
      <c r="F45" s="4">
        <v>1.3</v>
      </c>
      <c r="G45" s="4">
        <v>1</v>
      </c>
      <c r="H45" s="20">
        <f>Tabela35[[#This Row],[Room Common Point (cm)]]+Tabela35[[#This Row],[Outlet (cm)]]</f>
        <v>7.8</v>
      </c>
      <c r="I45" s="4">
        <f>ROUNDUP(Tabela35[[#This Row],[Room Common Point (cm)]]/$M$6,1)</f>
        <v>8.1999999999999993</v>
      </c>
      <c r="J45" s="20">
        <f>ROUNDUP(Tabela35[[#This Row],[Outlet (cm)]]/$M$6,1)</f>
        <v>1.7000000000000002</v>
      </c>
      <c r="K45" s="20">
        <f>ROUNDUP(((Tabela35[[#This Row],[Total (cm)]]/$M$6) + ($G$5*Tabela35[[#This Row],[Height Multiplier]])) *Tabela35[[#This Row],[Cable Multiplier]],1)</f>
        <v>10.799999999999999</v>
      </c>
      <c r="O45" s="65" t="s">
        <v>63</v>
      </c>
      <c r="P45" s="65"/>
      <c r="Q45" s="45">
        <v>3</v>
      </c>
    </row>
    <row r="46" spans="2:25" x14ac:dyDescent="0.25">
      <c r="B46" s="21" t="str">
        <f>B8</f>
        <v>2.0.3 (CP)</v>
      </c>
      <c r="C46" s="4" t="str">
        <f>_xlfn.CONCAT($B$8," - ", 18)</f>
        <v>2.0.3 (CP) - 18</v>
      </c>
      <c r="D46" s="4">
        <v>0.25</v>
      </c>
      <c r="E46" s="4">
        <v>6.5</v>
      </c>
      <c r="F46" s="4">
        <v>0.3</v>
      </c>
      <c r="G46" s="4">
        <v>1</v>
      </c>
      <c r="H46" s="20">
        <f>Tabela35[[#This Row],[Room Common Point (cm)]]+Tabela35[[#This Row],[Outlet (cm)]]</f>
        <v>6.8</v>
      </c>
      <c r="I46" s="4">
        <f>ROUNDUP(Tabela35[[#This Row],[Room Common Point (cm)]]/$M$6,1)</f>
        <v>8.1999999999999993</v>
      </c>
      <c r="J46" s="20">
        <f>ROUNDUP(Tabela35[[#This Row],[Outlet (cm)]]/$M$6,1)</f>
        <v>0.4</v>
      </c>
      <c r="K46" s="20">
        <f>ROUNDUP(((Tabela35[[#This Row],[Total (cm)]]/$M$6) + ($G$5*Tabela35[[#This Row],[Height Multiplier]])) *Tabela35[[#This Row],[Cable Multiplier]],1)</f>
        <v>9.5</v>
      </c>
    </row>
    <row r="47" spans="2:25" x14ac:dyDescent="0.25">
      <c r="B47" s="21" t="str">
        <f>$B$9</f>
        <v>2.0.4 (CP)</v>
      </c>
      <c r="C47" s="4" t="str">
        <f>_xlfn.CONCAT($B$9," - ", 1)</f>
        <v>2.0.4 (CP) - 1</v>
      </c>
      <c r="D47" s="4">
        <v>0.25</v>
      </c>
      <c r="E47" s="4">
        <v>1.8</v>
      </c>
      <c r="F47" s="4">
        <v>1.1000000000000001</v>
      </c>
      <c r="G47" s="4">
        <v>1</v>
      </c>
      <c r="H47" s="20">
        <f>Tabela35[[#This Row],[Room Common Point (cm)]]+Tabela35[[#This Row],[Outlet (cm)]]</f>
        <v>2.9000000000000004</v>
      </c>
      <c r="I47" s="4">
        <f>ROUNDUP(Tabela35[[#This Row],[Room Common Point (cm)]]/$M$6,1)</f>
        <v>2.3000000000000003</v>
      </c>
      <c r="J47" s="20">
        <f>ROUNDUP(Tabela35[[#This Row],[Outlet (cm)]]/$M$6,1)</f>
        <v>1.4000000000000001</v>
      </c>
      <c r="K47" s="20">
        <f>ROUNDUP(((Tabela35[[#This Row],[Total (cm)]]/$M$6) + ($G$5*Tabela35[[#This Row],[Height Multiplier]])) *Tabela35[[#This Row],[Cable Multiplier]],1)</f>
        <v>4.6999999999999993</v>
      </c>
    </row>
    <row r="48" spans="2:25" x14ac:dyDescent="0.25">
      <c r="B48" s="21" t="str">
        <f>$B$9</f>
        <v>2.0.4 (CP)</v>
      </c>
      <c r="C48" s="4" t="str">
        <f>_xlfn.CONCAT($B$9," - ", 2)</f>
        <v>2.0.4 (CP) - 2</v>
      </c>
      <c r="D48" s="4">
        <v>0.25</v>
      </c>
      <c r="E48" s="4">
        <v>1.8</v>
      </c>
      <c r="F48" s="4">
        <v>1.8</v>
      </c>
      <c r="G48" s="4">
        <v>1</v>
      </c>
      <c r="H48" s="20">
        <f>Tabela35[[#This Row],[Room Common Point (cm)]]+Tabela35[[#This Row],[Outlet (cm)]]</f>
        <v>3.6</v>
      </c>
      <c r="I48" s="4">
        <f>ROUNDUP(Tabela35[[#This Row],[Room Common Point (cm)]]/$M$6,1)</f>
        <v>2.3000000000000003</v>
      </c>
      <c r="J48" s="20">
        <f>ROUNDUP(Tabela35[[#This Row],[Outlet (cm)]]/$M$6,1)</f>
        <v>2.3000000000000003</v>
      </c>
      <c r="K48" s="20">
        <f>ROUNDUP(((Tabela35[[#This Row],[Total (cm)]]/$M$6) + ($G$5*Tabela35[[#This Row],[Height Multiplier]])) *Tabela35[[#This Row],[Cable Multiplier]],1)</f>
        <v>5.5</v>
      </c>
    </row>
    <row r="49" spans="2:11" x14ac:dyDescent="0.25">
      <c r="B49" s="21" t="str">
        <f>$B$9</f>
        <v>2.0.4 (CP)</v>
      </c>
      <c r="C49" s="4" t="str">
        <f>_xlfn.CONCAT($B$9," - ", 3)</f>
        <v>2.0.4 (CP) - 3</v>
      </c>
      <c r="D49" s="4">
        <v>0.25</v>
      </c>
      <c r="E49" s="4">
        <v>1.8</v>
      </c>
      <c r="F49" s="4">
        <v>2.6</v>
      </c>
      <c r="G49" s="4">
        <v>1</v>
      </c>
      <c r="H49" s="20">
        <f>Tabela35[[#This Row],[Room Common Point (cm)]]+Tabela35[[#This Row],[Outlet (cm)]]</f>
        <v>4.4000000000000004</v>
      </c>
      <c r="I49" s="4">
        <f>ROUNDUP(Tabela35[[#This Row],[Room Common Point (cm)]]/$M$6,1)</f>
        <v>2.3000000000000003</v>
      </c>
      <c r="J49" s="20">
        <f>ROUNDUP(Tabela35[[#This Row],[Outlet (cm)]]/$M$6,1)</f>
        <v>3.3000000000000003</v>
      </c>
      <c r="K49" s="20">
        <f>ROUNDUP(((Tabela35[[#This Row],[Total (cm)]]/$M$6) + ($G$5*Tabela35[[#This Row],[Height Multiplier]])) *Tabela35[[#This Row],[Cable Multiplier]],1)</f>
        <v>6.5</v>
      </c>
    </row>
    <row r="50" spans="2:11" x14ac:dyDescent="0.25">
      <c r="B50" s="21" t="str">
        <f t="shared" ref="B50:B64" si="0">$B$9</f>
        <v>2.0.4 (CP)</v>
      </c>
      <c r="C50" s="4" t="str">
        <f>_xlfn.CONCAT($B$9," - ", 4)</f>
        <v>2.0.4 (CP) - 4</v>
      </c>
      <c r="D50" s="4">
        <v>0.25</v>
      </c>
      <c r="E50" s="4">
        <v>1.8</v>
      </c>
      <c r="F50" s="4">
        <v>3.4</v>
      </c>
      <c r="G50" s="4">
        <v>1</v>
      </c>
      <c r="H50" s="20">
        <f>Tabela35[[#This Row],[Room Common Point (cm)]]+Tabela35[[#This Row],[Outlet (cm)]]</f>
        <v>5.2</v>
      </c>
      <c r="I50" s="4">
        <f>ROUNDUP(Tabela35[[#This Row],[Room Common Point (cm)]]/$M$6,1)</f>
        <v>2.3000000000000003</v>
      </c>
      <c r="J50" s="20">
        <f>ROUNDUP(Tabela35[[#This Row],[Outlet (cm)]]/$M$6,1)</f>
        <v>4.3</v>
      </c>
      <c r="K50" s="20">
        <f>ROUNDUP(((Tabela35[[#This Row],[Total (cm)]]/$M$6) + ($G$5*Tabela35[[#This Row],[Height Multiplier]])) *Tabela35[[#This Row],[Cable Multiplier]],1)</f>
        <v>7.5</v>
      </c>
    </row>
    <row r="51" spans="2:11" x14ac:dyDescent="0.25">
      <c r="B51" s="21" t="str">
        <f t="shared" si="0"/>
        <v>2.0.4 (CP)</v>
      </c>
      <c r="C51" s="4" t="str">
        <f>_xlfn.CONCAT($B$9," - ", 5)</f>
        <v>2.0.4 (CP) - 5</v>
      </c>
      <c r="D51" s="4">
        <v>0.25</v>
      </c>
      <c r="E51" s="4">
        <v>1.8</v>
      </c>
      <c r="F51" s="4">
        <v>4.2</v>
      </c>
      <c r="G51" s="4">
        <v>1</v>
      </c>
      <c r="H51" s="20">
        <f>Tabela35[[#This Row],[Room Common Point (cm)]]+Tabela35[[#This Row],[Outlet (cm)]]</f>
        <v>6</v>
      </c>
      <c r="I51" s="4">
        <f>ROUNDUP(Tabela35[[#This Row],[Room Common Point (cm)]]/$M$6,1)</f>
        <v>2.3000000000000003</v>
      </c>
      <c r="J51" s="20">
        <f>ROUNDUP(Tabela35[[#This Row],[Outlet (cm)]]/$M$6,1)</f>
        <v>5.3</v>
      </c>
      <c r="K51" s="20">
        <f>ROUNDUP(((Tabela35[[#This Row],[Total (cm)]]/$M$6) + ($G$5*Tabela35[[#This Row],[Height Multiplier]])) *Tabela35[[#This Row],[Cable Multiplier]],1)</f>
        <v>8.5</v>
      </c>
    </row>
    <row r="52" spans="2:11" x14ac:dyDescent="0.25">
      <c r="B52" s="21" t="str">
        <f t="shared" si="0"/>
        <v>2.0.4 (CP)</v>
      </c>
      <c r="C52" s="4" t="str">
        <f>_xlfn.CONCAT($B$9," - ", 6)</f>
        <v>2.0.4 (CP) - 6</v>
      </c>
      <c r="D52" s="4">
        <v>0.25</v>
      </c>
      <c r="E52" s="4">
        <v>1.8</v>
      </c>
      <c r="F52" s="4">
        <v>5.0999999999999996</v>
      </c>
      <c r="G52" s="4">
        <v>1</v>
      </c>
      <c r="H52" s="20">
        <f>Tabela35[[#This Row],[Room Common Point (cm)]]+Tabela35[[#This Row],[Outlet (cm)]]</f>
        <v>6.8999999999999995</v>
      </c>
      <c r="I52" s="4">
        <f>ROUNDUP(Tabela35[[#This Row],[Room Common Point (cm)]]/$M$6,1)</f>
        <v>2.3000000000000003</v>
      </c>
      <c r="J52" s="20">
        <f>ROUNDUP(Tabela35[[#This Row],[Outlet (cm)]]/$M$6,1)</f>
        <v>6.3999999999999995</v>
      </c>
      <c r="K52" s="20">
        <f>ROUNDUP(((Tabela35[[#This Row],[Total (cm)]]/$M$6) + ($G$5*Tabela35[[#This Row],[Height Multiplier]])) *Tabela35[[#This Row],[Cable Multiplier]],1)</f>
        <v>9.6999999999999993</v>
      </c>
    </row>
    <row r="53" spans="2:11" x14ac:dyDescent="0.25">
      <c r="B53" s="21" t="str">
        <f t="shared" si="0"/>
        <v>2.0.4 (CP)</v>
      </c>
      <c r="C53" s="4" t="str">
        <f>_xlfn.CONCAT($B$10," - ", 1)</f>
        <v>2.0.5 - 1</v>
      </c>
      <c r="D53" s="4">
        <v>0.25</v>
      </c>
      <c r="E53" s="4">
        <v>6.6</v>
      </c>
      <c r="F53" s="4">
        <v>1.1000000000000001</v>
      </c>
      <c r="G53" s="4">
        <v>1</v>
      </c>
      <c r="H53" s="20">
        <f>Tabela35[[#This Row],[Room Common Point (cm)]]+Tabela35[[#This Row],[Outlet (cm)]]</f>
        <v>7.6999999999999993</v>
      </c>
      <c r="I53" s="4">
        <f>ROUNDUP(Tabela35[[#This Row],[Room Common Point (cm)]]/$M$6,1)</f>
        <v>8.2999999999999989</v>
      </c>
      <c r="J53" s="20">
        <f>ROUNDUP(Tabela35[[#This Row],[Outlet (cm)]]/$M$6,1)</f>
        <v>1.4000000000000001</v>
      </c>
      <c r="K53" s="20">
        <f>ROUNDUP(((Tabela35[[#This Row],[Total (cm)]]/$M$6) + ($G$5*Tabela35[[#This Row],[Height Multiplier]])) *Tabela35[[#This Row],[Cable Multiplier]],1)</f>
        <v>10.7</v>
      </c>
    </row>
    <row r="54" spans="2:11" x14ac:dyDescent="0.25">
      <c r="B54" s="21" t="str">
        <f t="shared" si="0"/>
        <v>2.0.4 (CP)</v>
      </c>
      <c r="C54" s="4" t="str">
        <f>_xlfn.CONCAT($B$10," - ", 2)</f>
        <v>2.0.5 - 2</v>
      </c>
      <c r="D54" s="4">
        <v>0.25</v>
      </c>
      <c r="E54" s="4">
        <v>6.6</v>
      </c>
      <c r="F54" s="4">
        <v>1.8</v>
      </c>
      <c r="G54" s="4">
        <v>1</v>
      </c>
      <c r="H54" s="20">
        <f>Tabela35[[#This Row],[Room Common Point (cm)]]+Tabela35[[#This Row],[Outlet (cm)]]</f>
        <v>8.4</v>
      </c>
      <c r="I54" s="4">
        <f>ROUNDUP(Tabela35[[#This Row],[Room Common Point (cm)]]/$M$6,1)</f>
        <v>8.2999999999999989</v>
      </c>
      <c r="J54" s="20">
        <f>ROUNDUP(Tabela35[[#This Row],[Outlet (cm)]]/$M$6,1)</f>
        <v>2.3000000000000003</v>
      </c>
      <c r="K54" s="20">
        <f>ROUNDUP(((Tabela35[[#This Row],[Total (cm)]]/$M$6) + ($G$5*Tabela35[[#This Row],[Height Multiplier]])) *Tabela35[[#This Row],[Cable Multiplier]],1)</f>
        <v>11.5</v>
      </c>
    </row>
    <row r="55" spans="2:11" x14ac:dyDescent="0.25">
      <c r="B55" s="21" t="str">
        <f t="shared" si="0"/>
        <v>2.0.4 (CP)</v>
      </c>
      <c r="C55" s="4" t="str">
        <f>_xlfn.CONCAT($B$10," - ", 3)</f>
        <v>2.0.5 - 3</v>
      </c>
      <c r="D55" s="4">
        <v>0.25</v>
      </c>
      <c r="E55" s="4">
        <v>6.6</v>
      </c>
      <c r="F55" s="4">
        <v>2.6</v>
      </c>
      <c r="G55" s="4">
        <v>1</v>
      </c>
      <c r="H55" s="20">
        <f>Tabela35[[#This Row],[Room Common Point (cm)]]+Tabela35[[#This Row],[Outlet (cm)]]</f>
        <v>9.1999999999999993</v>
      </c>
      <c r="I55" s="4">
        <f>ROUNDUP(Tabela35[[#This Row],[Room Common Point (cm)]]/$M$6,1)</f>
        <v>8.2999999999999989</v>
      </c>
      <c r="J55" s="20">
        <f>ROUNDUP(Tabela35[[#This Row],[Outlet (cm)]]/$M$6,1)</f>
        <v>3.3000000000000003</v>
      </c>
      <c r="K55" s="20">
        <f>ROUNDUP(((Tabela35[[#This Row],[Total (cm)]]/$M$6) + ($G$5*Tabela35[[#This Row],[Height Multiplier]])) *Tabela35[[#This Row],[Cable Multiplier]],1)</f>
        <v>12.5</v>
      </c>
    </row>
    <row r="56" spans="2:11" x14ac:dyDescent="0.25">
      <c r="B56" s="21" t="str">
        <f t="shared" si="0"/>
        <v>2.0.4 (CP)</v>
      </c>
      <c r="C56" s="4" t="str">
        <f>_xlfn.CONCAT($B$10," - ",4)</f>
        <v>2.0.5 - 4</v>
      </c>
      <c r="D56" s="4">
        <v>0.25</v>
      </c>
      <c r="E56" s="4">
        <v>6.6</v>
      </c>
      <c r="F56" s="4">
        <v>3.4</v>
      </c>
      <c r="G56" s="4">
        <v>1</v>
      </c>
      <c r="H56" s="20">
        <f>Tabela35[[#This Row],[Room Common Point (cm)]]+Tabela35[[#This Row],[Outlet (cm)]]</f>
        <v>10</v>
      </c>
      <c r="I56" s="4">
        <f>ROUNDUP(Tabela35[[#This Row],[Room Common Point (cm)]]/$M$6,1)</f>
        <v>8.2999999999999989</v>
      </c>
      <c r="J56" s="20">
        <f>ROUNDUP(Tabela35[[#This Row],[Outlet (cm)]]/$M$6,1)</f>
        <v>4.3</v>
      </c>
      <c r="K56" s="20">
        <f>ROUNDUP(((Tabela35[[#This Row],[Total (cm)]]/$M$6) + ($G$5*Tabela35[[#This Row],[Height Multiplier]])) *Tabela35[[#This Row],[Cable Multiplier]],1)</f>
        <v>13.5</v>
      </c>
    </row>
    <row r="57" spans="2:11" x14ac:dyDescent="0.25">
      <c r="B57" s="21" t="str">
        <f t="shared" si="0"/>
        <v>2.0.4 (CP)</v>
      </c>
      <c r="C57" s="4" t="str">
        <f>_xlfn.CONCAT($B$10," - ", 5)</f>
        <v>2.0.5 - 5</v>
      </c>
      <c r="D57" s="4">
        <v>0.25</v>
      </c>
      <c r="E57" s="4">
        <v>6.6</v>
      </c>
      <c r="F57" s="4">
        <v>4.2</v>
      </c>
      <c r="G57" s="4">
        <v>1</v>
      </c>
      <c r="H57" s="20">
        <f>Tabela35[[#This Row],[Room Common Point (cm)]]+Tabela35[[#This Row],[Outlet (cm)]]</f>
        <v>10.8</v>
      </c>
      <c r="I57" s="4">
        <f>ROUNDUP(Tabela35[[#This Row],[Room Common Point (cm)]]/$M$6,1)</f>
        <v>8.2999999999999989</v>
      </c>
      <c r="J57" s="20">
        <f>ROUNDUP(Tabela35[[#This Row],[Outlet (cm)]]/$M$6,1)</f>
        <v>5.3</v>
      </c>
      <c r="K57" s="20">
        <f>ROUNDUP(((Tabela35[[#This Row],[Total (cm)]]/$M$6) + ($G$5*Tabela35[[#This Row],[Height Multiplier]])) *Tabela35[[#This Row],[Cable Multiplier]],1)</f>
        <v>14.5</v>
      </c>
    </row>
    <row r="58" spans="2:11" x14ac:dyDescent="0.25">
      <c r="B58" s="21" t="str">
        <f t="shared" si="0"/>
        <v>2.0.4 (CP)</v>
      </c>
      <c r="C58" s="4" t="str">
        <f>_xlfn.CONCAT($B$10," - ",6)</f>
        <v>2.0.5 - 6</v>
      </c>
      <c r="D58" s="4">
        <v>0.25</v>
      </c>
      <c r="E58" s="4">
        <v>6.6</v>
      </c>
      <c r="F58" s="4">
        <v>5.0999999999999996</v>
      </c>
      <c r="G58" s="4">
        <v>1</v>
      </c>
      <c r="H58" s="20">
        <f>Tabela35[[#This Row],[Room Common Point (cm)]]+Tabela35[[#This Row],[Outlet (cm)]]</f>
        <v>11.7</v>
      </c>
      <c r="I58" s="4">
        <f>ROUNDUP(Tabela35[[#This Row],[Room Common Point (cm)]]/$M$6,1)</f>
        <v>8.2999999999999989</v>
      </c>
      <c r="J58" s="20">
        <f>ROUNDUP(Tabela35[[#This Row],[Outlet (cm)]]/$M$6,1)</f>
        <v>6.3999999999999995</v>
      </c>
      <c r="K58" s="20">
        <f>ROUNDUP(((Tabela35[[#This Row],[Total (cm)]]/$M$6) + ($G$5*Tabela35[[#This Row],[Height Multiplier]])) *Tabela35[[#This Row],[Cable Multiplier]],1)</f>
        <v>15.7</v>
      </c>
    </row>
    <row r="59" spans="2:11" x14ac:dyDescent="0.25">
      <c r="B59" s="21" t="str">
        <f t="shared" si="0"/>
        <v>2.0.4 (CP)</v>
      </c>
      <c r="C59" s="4" t="str">
        <f>_xlfn.CONCAT($B$11," - ", 1)</f>
        <v>2.0.6 - 1</v>
      </c>
      <c r="D59" s="4">
        <v>0.25</v>
      </c>
      <c r="E59" s="4">
        <v>9.5</v>
      </c>
      <c r="F59" s="4">
        <v>1.1000000000000001</v>
      </c>
      <c r="G59" s="4">
        <v>1</v>
      </c>
      <c r="H59" s="20">
        <f>Tabela35[[#This Row],[Room Common Point (cm)]]+Tabela35[[#This Row],[Outlet (cm)]]</f>
        <v>10.6</v>
      </c>
      <c r="I59" s="4">
        <f>ROUNDUP(Tabela35[[#This Row],[Room Common Point (cm)]]/$M$6,1)</f>
        <v>11.9</v>
      </c>
      <c r="J59" s="20">
        <f>ROUNDUP(Tabela35[[#This Row],[Outlet (cm)]]/$M$6,1)</f>
        <v>1.4000000000000001</v>
      </c>
      <c r="K59" s="20">
        <f>ROUNDUP(((Tabela35[[#This Row],[Total (cm)]]/$M$6) + ($G$5*Tabela35[[#This Row],[Height Multiplier]])) *Tabela35[[#This Row],[Cable Multiplier]],1)</f>
        <v>14.299999999999999</v>
      </c>
    </row>
    <row r="60" spans="2:11" x14ac:dyDescent="0.25">
      <c r="B60" s="21" t="str">
        <f t="shared" si="0"/>
        <v>2.0.4 (CP)</v>
      </c>
      <c r="C60" s="4" t="str">
        <f>_xlfn.CONCAT($B$11," - ", 2)</f>
        <v>2.0.6 - 2</v>
      </c>
      <c r="D60" s="4">
        <v>0.25</v>
      </c>
      <c r="E60" s="4">
        <v>9.5</v>
      </c>
      <c r="F60" s="4">
        <v>1.8</v>
      </c>
      <c r="G60" s="4">
        <v>1</v>
      </c>
      <c r="H60" s="20">
        <f>Tabela35[[#This Row],[Room Common Point (cm)]]+Tabela35[[#This Row],[Outlet (cm)]]</f>
        <v>11.3</v>
      </c>
      <c r="I60" s="4">
        <f>ROUNDUP(Tabela35[[#This Row],[Room Common Point (cm)]]/$M$6,1)</f>
        <v>11.9</v>
      </c>
      <c r="J60" s="20">
        <f>ROUNDUP(Tabela35[[#This Row],[Outlet (cm)]]/$M$6,1)</f>
        <v>2.3000000000000003</v>
      </c>
      <c r="K60" s="20">
        <f>ROUNDUP(((Tabela35[[#This Row],[Total (cm)]]/$M$6) + ($G$5*Tabela35[[#This Row],[Height Multiplier]])) *Tabela35[[#This Row],[Cable Multiplier]],1)</f>
        <v>15.2</v>
      </c>
    </row>
    <row r="61" spans="2:11" x14ac:dyDescent="0.25">
      <c r="B61" s="21" t="str">
        <f t="shared" si="0"/>
        <v>2.0.4 (CP)</v>
      </c>
      <c r="C61" s="4" t="str">
        <f>_xlfn.CONCAT($B$11," - ", 3)</f>
        <v>2.0.6 - 3</v>
      </c>
      <c r="D61" s="4">
        <v>0.25</v>
      </c>
      <c r="E61" s="4">
        <v>9.5</v>
      </c>
      <c r="F61" s="4">
        <v>2.6</v>
      </c>
      <c r="G61" s="4">
        <v>1</v>
      </c>
      <c r="H61" s="20">
        <f>Tabela35[[#This Row],[Room Common Point (cm)]]+Tabela35[[#This Row],[Outlet (cm)]]</f>
        <v>12.1</v>
      </c>
      <c r="I61" s="4">
        <f>ROUNDUP(Tabela35[[#This Row],[Room Common Point (cm)]]/$M$6,1)</f>
        <v>11.9</v>
      </c>
      <c r="J61" s="20">
        <f>ROUNDUP(Tabela35[[#This Row],[Outlet (cm)]]/$M$6,1)</f>
        <v>3.3000000000000003</v>
      </c>
      <c r="K61" s="20">
        <f>ROUNDUP(((Tabela35[[#This Row],[Total (cm)]]/$M$6) + ($G$5*Tabela35[[#This Row],[Height Multiplier]])) *Tabela35[[#This Row],[Cable Multiplier]],1)</f>
        <v>16.200000000000003</v>
      </c>
    </row>
    <row r="62" spans="2:11" x14ac:dyDescent="0.25">
      <c r="B62" s="21" t="str">
        <f t="shared" si="0"/>
        <v>2.0.4 (CP)</v>
      </c>
      <c r="C62" s="4" t="str">
        <f>_xlfn.CONCAT($B$11," - ", 4)</f>
        <v>2.0.6 - 4</v>
      </c>
      <c r="D62" s="4">
        <v>0.25</v>
      </c>
      <c r="E62" s="4">
        <v>9.5</v>
      </c>
      <c r="F62" s="4">
        <v>3.4</v>
      </c>
      <c r="G62" s="4">
        <v>1</v>
      </c>
      <c r="H62" s="20">
        <f>Tabela35[[#This Row],[Room Common Point (cm)]]+Tabela35[[#This Row],[Outlet (cm)]]</f>
        <v>12.9</v>
      </c>
      <c r="I62" s="4">
        <f>ROUNDUP(Tabela35[[#This Row],[Room Common Point (cm)]]/$M$6,1)</f>
        <v>11.9</v>
      </c>
      <c r="J62" s="20">
        <f>ROUNDUP(Tabela35[[#This Row],[Outlet (cm)]]/$M$6,1)</f>
        <v>4.3</v>
      </c>
      <c r="K62" s="20">
        <f>ROUNDUP(((Tabela35[[#This Row],[Total (cm)]]/$M$6) + ($G$5*Tabela35[[#This Row],[Height Multiplier]])) *Tabela35[[#This Row],[Cable Multiplier]],1)</f>
        <v>17.200000000000003</v>
      </c>
    </row>
    <row r="63" spans="2:11" x14ac:dyDescent="0.25">
      <c r="B63" s="21" t="str">
        <f t="shared" si="0"/>
        <v>2.0.4 (CP)</v>
      </c>
      <c r="C63" s="4" t="str">
        <f>_xlfn.CONCAT($B$11," - ", 5)</f>
        <v>2.0.6 - 5</v>
      </c>
      <c r="D63" s="4">
        <v>0.25</v>
      </c>
      <c r="E63" s="4">
        <v>9.5</v>
      </c>
      <c r="F63" s="4">
        <v>4.2</v>
      </c>
      <c r="G63" s="4">
        <v>1</v>
      </c>
      <c r="H63" s="20">
        <f>Tabela35[[#This Row],[Room Common Point (cm)]]+Tabela35[[#This Row],[Outlet (cm)]]</f>
        <v>13.7</v>
      </c>
      <c r="I63" s="4">
        <f>ROUNDUP(Tabela35[[#This Row],[Room Common Point (cm)]]/$M$6,1)</f>
        <v>11.9</v>
      </c>
      <c r="J63" s="20">
        <f>ROUNDUP(Tabela35[[#This Row],[Outlet (cm)]]/$M$6,1)</f>
        <v>5.3</v>
      </c>
      <c r="K63" s="20">
        <f>ROUNDUP(((Tabela35[[#This Row],[Total (cm)]]/$M$6) + ($G$5*Tabela35[[#This Row],[Height Multiplier]])) *Tabela35[[#This Row],[Cable Multiplier]],1)</f>
        <v>18.200000000000003</v>
      </c>
    </row>
    <row r="64" spans="2:11" x14ac:dyDescent="0.25">
      <c r="B64" s="21" t="str">
        <f t="shared" si="0"/>
        <v>2.0.4 (CP)</v>
      </c>
      <c r="C64" s="4" t="str">
        <f>_xlfn.CONCAT($B$11," - ", 6)</f>
        <v>2.0.6 - 6</v>
      </c>
      <c r="D64" s="4">
        <v>0.25</v>
      </c>
      <c r="E64" s="4">
        <v>9.5</v>
      </c>
      <c r="F64" s="4">
        <v>5.0999999999999996</v>
      </c>
      <c r="G64" s="4">
        <v>1</v>
      </c>
      <c r="H64" s="20">
        <f>Tabela35[[#This Row],[Room Common Point (cm)]]+Tabela35[[#This Row],[Outlet (cm)]]</f>
        <v>14.6</v>
      </c>
      <c r="I64" s="4">
        <f>ROUNDUP(Tabela35[[#This Row],[Room Common Point (cm)]]/$M$6,1)</f>
        <v>11.9</v>
      </c>
      <c r="J64" s="20">
        <f>ROUNDUP(Tabela35[[#This Row],[Outlet (cm)]]/$M$6,1)</f>
        <v>6.3999999999999995</v>
      </c>
      <c r="K64" s="20">
        <f>ROUNDUP(((Tabela35[[#This Row],[Total (cm)]]/$M$6) + ($G$5*Tabela35[[#This Row],[Height Multiplier]])) *Tabela35[[#This Row],[Cable Multiplier]],1)</f>
        <v>19.3</v>
      </c>
    </row>
    <row r="65" spans="2:11" x14ac:dyDescent="0.25">
      <c r="B65" s="21" t="str">
        <f>B8</f>
        <v>2.0.3 (CP)</v>
      </c>
      <c r="C65" s="4" t="s">
        <v>48</v>
      </c>
      <c r="D65" s="4">
        <v>1</v>
      </c>
      <c r="E65" s="4">
        <v>0</v>
      </c>
      <c r="F65" s="4">
        <v>6.6</v>
      </c>
      <c r="G65" s="4">
        <v>1</v>
      </c>
      <c r="H65" s="20">
        <f>Tabela35[[#This Row],[Room Common Point (cm)]]+Tabela35[[#This Row],[Outlet (cm)]]</f>
        <v>6.6</v>
      </c>
      <c r="I65" s="20">
        <f>ROUNDUP(Tabela35[[#This Row],[Room Common Point (cm)]]/$M$6,1)</f>
        <v>0</v>
      </c>
      <c r="J65" s="20">
        <f>ROUNDUP(Tabela35[[#This Row],[Outlet (cm)]]/$M$6,1)</f>
        <v>8.2999999999999989</v>
      </c>
      <c r="K65" s="20">
        <f>ROUNDUP(((Tabela35[[#This Row],[Total (cm)]]/$M$6) + ($G$5*Tabela35[[#This Row],[Height Multiplier]])) *Tabela35[[#This Row],[Cable Multiplier]],1)</f>
        <v>12.299999999999999</v>
      </c>
    </row>
  </sheetData>
  <mergeCells count="53">
    <mergeCell ref="O44:P44"/>
    <mergeCell ref="O45:P45"/>
    <mergeCell ref="O41:P41"/>
    <mergeCell ref="O42:P42"/>
    <mergeCell ref="O43:P43"/>
    <mergeCell ref="X35:Y35"/>
    <mergeCell ref="Q30:V30"/>
    <mergeCell ref="Q25:V25"/>
    <mergeCell ref="Q35:V35"/>
    <mergeCell ref="O34:P34"/>
    <mergeCell ref="R34:S34"/>
    <mergeCell ref="T34:U34"/>
    <mergeCell ref="V34:W34"/>
    <mergeCell ref="X34:Y34"/>
    <mergeCell ref="O33:P33"/>
    <mergeCell ref="R33:S33"/>
    <mergeCell ref="T33:U33"/>
    <mergeCell ref="V33:W33"/>
    <mergeCell ref="X33:Y33"/>
    <mergeCell ref="X30:Y30"/>
    <mergeCell ref="O29:P29"/>
    <mergeCell ref="R29:S29"/>
    <mergeCell ref="T29:U29"/>
    <mergeCell ref="V29:W29"/>
    <mergeCell ref="X29:Y29"/>
    <mergeCell ref="O28:P28"/>
    <mergeCell ref="R28:S28"/>
    <mergeCell ref="T28:U28"/>
    <mergeCell ref="V28:W28"/>
    <mergeCell ref="X28:Y28"/>
    <mergeCell ref="O24:P24"/>
    <mergeCell ref="X24:Y24"/>
    <mergeCell ref="X25:Y25"/>
    <mergeCell ref="R24:S24"/>
    <mergeCell ref="T24:U24"/>
    <mergeCell ref="V24:W24"/>
    <mergeCell ref="O23:P23"/>
    <mergeCell ref="X22:Y22"/>
    <mergeCell ref="X23:Y23"/>
    <mergeCell ref="T8:U8"/>
    <mergeCell ref="T9:U9"/>
    <mergeCell ref="R22:S22"/>
    <mergeCell ref="T22:U22"/>
    <mergeCell ref="V22:W22"/>
    <mergeCell ref="R23:S23"/>
    <mergeCell ref="T23:U23"/>
    <mergeCell ref="V23:W23"/>
    <mergeCell ref="A1:T2"/>
    <mergeCell ref="K8:L8"/>
    <mergeCell ref="K9:L9"/>
    <mergeCell ref="E16:K16"/>
    <mergeCell ref="O22:P22"/>
    <mergeCell ref="T7:U7"/>
  </mergeCells>
  <phoneticPr fontId="2" type="noConversion"/>
  <pageMargins left="0.7" right="0.7" top="0.75" bottom="0.75" header="0.3" footer="0.3"/>
  <pageSetup paperSize="9" orientation="portrait" horizontalDpi="4294967293" verticalDpi="4294967293" r:id="rId1"/>
  <ignoredErrors>
    <ignoredError sqref="I6" calculatedColumn="1"/>
    <ignoredError sqref="B20:E20 B22:C22 G22 G20 T19" formula="1"/>
    <ignoredError sqref="I5" numberStoredAsText="1" calculatedColumn="1"/>
    <ignoredError sqref="O23" formulaRange="1"/>
    <ignoredError sqref="Q22 Q28 Q33" numberStoredAsText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4ACC-52D0-4A69-91C2-82EE1F1649EA}">
  <dimension ref="A1:AB69"/>
  <sheetViews>
    <sheetView tabSelected="1" topLeftCell="E4" workbookViewId="0">
      <selection activeCell="V47" sqref="V47"/>
    </sheetView>
  </sheetViews>
  <sheetFormatPr defaultRowHeight="15" x14ac:dyDescent="0.25"/>
  <cols>
    <col min="1" max="1" width="7.28515625" customWidth="1"/>
    <col min="2" max="2" width="11.85546875" bestFit="1" customWidth="1"/>
    <col min="3" max="3" width="12.85546875" bestFit="1" customWidth="1"/>
    <col min="4" max="4" width="10.5703125" bestFit="1" customWidth="1"/>
    <col min="5" max="5" width="14.7109375" customWidth="1"/>
    <col min="6" max="6" width="9.7109375" bestFit="1" customWidth="1"/>
    <col min="7" max="7" width="10" bestFit="1" customWidth="1"/>
    <col min="8" max="8" width="9" bestFit="1" customWidth="1"/>
    <col min="9" max="9" width="10.42578125" bestFit="1" customWidth="1"/>
    <col min="11" max="11" width="11.85546875" bestFit="1" customWidth="1"/>
    <col min="12" max="12" width="11.28515625" bestFit="1" customWidth="1"/>
    <col min="13" max="13" width="16.42578125" bestFit="1" customWidth="1"/>
    <col min="14" max="14" width="11.28515625" bestFit="1" customWidth="1"/>
    <col min="15" max="15" width="11.140625" bestFit="1" customWidth="1"/>
    <col min="16" max="16" width="11.85546875" bestFit="1" customWidth="1"/>
    <col min="17" max="17" width="9.7109375" bestFit="1" customWidth="1"/>
    <col min="18" max="18" width="10.28515625" bestFit="1" customWidth="1"/>
    <col min="19" max="19" width="9" bestFit="1" customWidth="1"/>
    <col min="20" max="20" width="9.85546875" bestFit="1" customWidth="1"/>
    <col min="21" max="21" width="9.7109375" bestFit="1" customWidth="1"/>
    <col min="22" max="22" width="13.140625" bestFit="1" customWidth="1"/>
    <col min="23" max="23" width="10.28515625" bestFit="1" customWidth="1"/>
    <col min="28" max="28" width="13.140625" bestFit="1" customWidth="1"/>
  </cols>
  <sheetData>
    <row r="1" spans="1:20" x14ac:dyDescent="0.25">
      <c r="A1" s="30" t="s">
        <v>23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4" spans="1:20" x14ac:dyDescent="0.25">
      <c r="A4" s="17"/>
      <c r="B4" s="18" t="s">
        <v>0</v>
      </c>
      <c r="C4" s="1" t="s">
        <v>1</v>
      </c>
      <c r="D4" s="2" t="s">
        <v>2</v>
      </c>
      <c r="E4" s="2" t="s">
        <v>3</v>
      </c>
      <c r="F4" s="3" t="s">
        <v>4</v>
      </c>
      <c r="G4" s="3" t="s">
        <v>5</v>
      </c>
      <c r="H4" s="1" t="s">
        <v>6</v>
      </c>
      <c r="I4" s="4" t="s">
        <v>14</v>
      </c>
      <c r="K4" s="11" t="s">
        <v>12</v>
      </c>
      <c r="L4" s="12" t="s">
        <v>10</v>
      </c>
      <c r="M4" s="13" t="s">
        <v>13</v>
      </c>
    </row>
    <row r="5" spans="1:20" x14ac:dyDescent="0.25">
      <c r="A5" s="14"/>
      <c r="B5" s="19" t="s">
        <v>25</v>
      </c>
      <c r="C5" s="25">
        <v>15.6</v>
      </c>
      <c r="D5" s="25">
        <v>15.7</v>
      </c>
      <c r="E5" s="25">
        <f>ROUNDUP((Tabela22[[#This Row],[Length(cm)]])/$M$6,1)</f>
        <v>19.5</v>
      </c>
      <c r="F5" s="25">
        <f>ROUNDUP((Tabela22[[#This Row],[Width(cm)]])/$M$6,1)</f>
        <v>19.700000000000003</v>
      </c>
      <c r="G5" s="25">
        <v>2.5</v>
      </c>
      <c r="H5" s="25">
        <f>ROUNDUP(Tabela22[[#This Row],[Length(m)]]*Tabela22[[#This Row],[Width(m)]],1)</f>
        <v>384.20000000000005</v>
      </c>
      <c r="I5" s="26">
        <v>0</v>
      </c>
      <c r="K5" s="8">
        <v>5</v>
      </c>
      <c r="L5" s="9" t="s">
        <v>11</v>
      </c>
      <c r="M5" s="10">
        <v>4</v>
      </c>
    </row>
    <row r="6" spans="1:20" x14ac:dyDescent="0.25">
      <c r="B6" s="16" t="s">
        <v>36</v>
      </c>
      <c r="C6" s="25">
        <v>2.9</v>
      </c>
      <c r="D6" s="25">
        <v>2.5</v>
      </c>
      <c r="E6" s="25">
        <f>ROUNDUP((Tabela22[[#This Row],[Length(cm)]])/$M$6,1)</f>
        <v>3.7</v>
      </c>
      <c r="F6" s="25">
        <f>ROUNDUP((Tabela22[[#This Row],[Width(cm)]])/$M$6,1)</f>
        <v>3.2</v>
      </c>
      <c r="G6" s="25">
        <v>2.5</v>
      </c>
      <c r="H6" s="25">
        <f>ROUNDUP(Tabela22[[#This Row],[Length(m)]]*Tabela22[[#This Row],[Width(m)]],1)</f>
        <v>11.9</v>
      </c>
      <c r="I6" s="26">
        <v>0</v>
      </c>
      <c r="K6" s="5">
        <v>1</v>
      </c>
      <c r="L6" s="6" t="s">
        <v>11</v>
      </c>
      <c r="M6" s="7">
        <f>M5/K5</f>
        <v>0.8</v>
      </c>
      <c r="O6" s="39" t="s">
        <v>0</v>
      </c>
      <c r="P6" s="42" t="s">
        <v>14</v>
      </c>
      <c r="T6" s="42" t="s">
        <v>58</v>
      </c>
    </row>
    <row r="7" spans="1:20" x14ac:dyDescent="0.25">
      <c r="B7" s="4" t="s">
        <v>15</v>
      </c>
      <c r="C7" s="25">
        <v>4.2</v>
      </c>
      <c r="D7" s="25">
        <v>2.5</v>
      </c>
      <c r="E7" s="25">
        <f>ROUNDUP((Tabela22[[#This Row],[Length(cm)]])/$M$6,1)</f>
        <v>5.3</v>
      </c>
      <c r="F7" s="25">
        <f>ROUNDUP((Tabela22[[#This Row],[Width(cm)]])/$M$6,1)</f>
        <v>3.2</v>
      </c>
      <c r="G7" s="25">
        <v>2.5</v>
      </c>
      <c r="H7" s="25">
        <f>ROUNDUP(Tabela22[[#This Row],[Length(m)]]*Tabela22[[#This Row],[Width(m)]],1)</f>
        <v>17</v>
      </c>
      <c r="I7" s="26">
        <f>ROUNDUP( Tabela22[[#This Row],[Area(m²)]]/10*2,0)</f>
        <v>4</v>
      </c>
      <c r="O7" s="41" t="s">
        <v>15</v>
      </c>
      <c r="P7" s="43">
        <f>ROUNDUP( Tabela22[[#This Row],[Area(m²)]]/10*2,0)</f>
        <v>4</v>
      </c>
      <c r="R7" s="55" t="s">
        <v>57</v>
      </c>
      <c r="S7" s="56"/>
      <c r="T7" s="43">
        <v>1</v>
      </c>
    </row>
    <row r="8" spans="1:20" x14ac:dyDescent="0.25">
      <c r="B8" s="4" t="s">
        <v>16</v>
      </c>
      <c r="C8" s="25">
        <v>4.2</v>
      </c>
      <c r="D8" s="25">
        <v>2.5</v>
      </c>
      <c r="E8" s="25">
        <f>ROUNDUP((Tabela22[[#This Row],[Length(cm)]])/$M$6,1)</f>
        <v>5.3</v>
      </c>
      <c r="F8" s="25">
        <f>ROUNDUP((Tabela22[[#This Row],[Width(cm)]])/$M$6,1)</f>
        <v>3.2</v>
      </c>
      <c r="G8" s="25">
        <v>2.5</v>
      </c>
      <c r="H8" s="25">
        <f>ROUNDUP(Tabela22[[#This Row],[Length(m)]]*Tabela22[[#This Row],[Width(m)]],1)</f>
        <v>17</v>
      </c>
      <c r="I8" s="26">
        <f>ROUNDUP( Tabela22[[#This Row],[Area(m²)]]/10*2,0)</f>
        <v>4</v>
      </c>
      <c r="K8" s="31" t="s">
        <v>26</v>
      </c>
      <c r="L8" s="31"/>
      <c r="O8" s="40" t="s">
        <v>16</v>
      </c>
      <c r="P8" s="44">
        <f>ROUNDUP( Tabela22[[#This Row],[Area(m²)]]/10*2,0)</f>
        <v>4</v>
      </c>
      <c r="R8" s="53" t="s">
        <v>55</v>
      </c>
      <c r="S8" s="54"/>
      <c r="T8" s="44">
        <v>1</v>
      </c>
    </row>
    <row r="9" spans="1:20" x14ac:dyDescent="0.25">
      <c r="B9" s="4" t="s">
        <v>40</v>
      </c>
      <c r="C9" s="25">
        <v>4.2</v>
      </c>
      <c r="D9" s="25">
        <v>2.2000000000000002</v>
      </c>
      <c r="E9" s="25">
        <f>ROUNDUP((Tabela22[[#This Row],[Length(cm)]])/$M$6,1)</f>
        <v>5.3</v>
      </c>
      <c r="F9" s="25">
        <f>ROUNDUP((Tabela22[[#This Row],[Width(cm)]])/$M$6,1)</f>
        <v>2.8000000000000003</v>
      </c>
      <c r="G9" s="25">
        <v>2.5</v>
      </c>
      <c r="H9" s="25">
        <f>ROUNDUP(Tabela22[[#This Row],[Length(m)]]*Tabela22[[#This Row],[Width(m)]],1)</f>
        <v>14.9</v>
      </c>
      <c r="I9" s="26">
        <f>ROUNDUP( Tabela22[[#This Row],[Area(m²)]]/10*2,0)</f>
        <v>3</v>
      </c>
      <c r="K9" s="37">
        <f>SUM(Tabela22[Nº Outlets])</f>
        <v>44</v>
      </c>
      <c r="L9" s="37"/>
      <c r="O9" s="41" t="s">
        <v>40</v>
      </c>
      <c r="P9" s="43">
        <f>ROUNDUP( Tabela22[[#This Row],[Area(m²)]]/10*2,0)</f>
        <v>3</v>
      </c>
      <c r="R9" s="55" t="s">
        <v>56</v>
      </c>
      <c r="S9" s="56"/>
      <c r="T9" s="43">
        <v>2</v>
      </c>
    </row>
    <row r="10" spans="1:20" x14ac:dyDescent="0.25">
      <c r="B10" s="4" t="s">
        <v>17</v>
      </c>
      <c r="C10" s="25">
        <v>4.2</v>
      </c>
      <c r="D10" s="25">
        <v>2.2000000000000002</v>
      </c>
      <c r="E10" s="25">
        <f>ROUNDUP((Tabela22[[#This Row],[Length(cm)]])/$M$6,1)</f>
        <v>5.3</v>
      </c>
      <c r="F10" s="25">
        <f>ROUNDUP((Tabela22[[#This Row],[Width(cm)]])/$M$6,1)</f>
        <v>2.8000000000000003</v>
      </c>
      <c r="G10" s="25">
        <v>2.5</v>
      </c>
      <c r="H10" s="25">
        <f>ROUNDUP(Tabela22[[#This Row],[Length(m)]]*Tabela22[[#This Row],[Width(m)]],1)</f>
        <v>14.9</v>
      </c>
      <c r="I10" s="26">
        <f>ROUNDUP( Tabela22[[#This Row],[Area(m²)]]/10*2,0)</f>
        <v>3</v>
      </c>
      <c r="O10" s="40" t="s">
        <v>17</v>
      </c>
      <c r="P10" s="44">
        <f>ROUNDUP( Tabela22[[#This Row],[Area(m²)]]/10*2,0)</f>
        <v>3</v>
      </c>
    </row>
    <row r="11" spans="1:20" x14ac:dyDescent="0.25">
      <c r="B11" s="4" t="s">
        <v>18</v>
      </c>
      <c r="C11" s="25">
        <v>4.2</v>
      </c>
      <c r="D11" s="25">
        <v>2.7</v>
      </c>
      <c r="E11" s="25">
        <f>ROUNDUP((Tabela22[[#This Row],[Length(cm)]])/$M$6,1)</f>
        <v>5.3</v>
      </c>
      <c r="F11" s="25">
        <f>ROUNDUP((Tabela22[[#This Row],[Width(cm)]])/$M$6,1)</f>
        <v>3.4</v>
      </c>
      <c r="G11" s="25">
        <v>2.5</v>
      </c>
      <c r="H11" s="25">
        <f>ROUNDUP(Tabela22[[#This Row],[Length(m)]]*Tabela22[[#This Row],[Width(m)]],1)</f>
        <v>18.100000000000001</v>
      </c>
      <c r="I11" s="26">
        <f>ROUNDUP( Tabela22[[#This Row],[Area(m²)]]/10*2,0)</f>
        <v>4</v>
      </c>
      <c r="O11" s="41" t="s">
        <v>18</v>
      </c>
      <c r="P11" s="43">
        <f>ROUNDUP( Tabela22[[#This Row],[Area(m²)]]/10*2,0)</f>
        <v>4</v>
      </c>
    </row>
    <row r="12" spans="1:20" x14ac:dyDescent="0.25">
      <c r="B12" s="4" t="s">
        <v>19</v>
      </c>
      <c r="C12" s="25">
        <v>2.7</v>
      </c>
      <c r="D12" s="25">
        <v>5.0999999999999996</v>
      </c>
      <c r="E12" s="25">
        <f>ROUNDUP((Tabela22[[#This Row],[Length(cm)]])/$M$6,1)</f>
        <v>3.4</v>
      </c>
      <c r="F12" s="25">
        <f>ROUNDUP((Tabela22[[#This Row],[Width(cm)]])/$M$6,1)</f>
        <v>6.3999999999999995</v>
      </c>
      <c r="G12" s="25">
        <v>2.5</v>
      </c>
      <c r="H12" s="25">
        <f>ROUNDUP(Tabela22[[#This Row],[Length(m)]]*Tabela22[[#This Row],[Width(m)]],1)</f>
        <v>21.8</v>
      </c>
      <c r="I12" s="26">
        <f>ROUNDUP( Tabela22[[#This Row],[Area(m²)]]/10*2,0)</f>
        <v>5</v>
      </c>
      <c r="O12" s="40" t="s">
        <v>19</v>
      </c>
      <c r="P12" s="44">
        <f>ROUNDUP( Tabela22[[#This Row],[Area(m²)]]/10*2,0)</f>
        <v>5</v>
      </c>
    </row>
    <row r="13" spans="1:20" x14ac:dyDescent="0.25">
      <c r="B13" s="4" t="s">
        <v>44</v>
      </c>
      <c r="C13" s="25">
        <v>2.7</v>
      </c>
      <c r="D13" s="25">
        <v>5.0999999999999996</v>
      </c>
      <c r="E13" s="25">
        <f>ROUNDUP((Tabela22[[#This Row],[Length(cm)]])/$M$6,1)</f>
        <v>3.4</v>
      </c>
      <c r="F13" s="25">
        <f>ROUNDUP((Tabela22[[#This Row],[Width(cm)]])/$M$6,1)</f>
        <v>6.3999999999999995</v>
      </c>
      <c r="G13" s="25">
        <v>2.5</v>
      </c>
      <c r="H13" s="25">
        <f>ROUNDUP(Tabela22[[#This Row],[Length(m)]]*Tabela22[[#This Row],[Width(m)]],1)</f>
        <v>21.8</v>
      </c>
      <c r="I13" s="26">
        <f>ROUNDUP( Tabela22[[#This Row],[Area(m²)]]/10*2,0)</f>
        <v>5</v>
      </c>
      <c r="O13" s="41" t="s">
        <v>44</v>
      </c>
      <c r="P13" s="43">
        <f>ROUNDUP( Tabela22[[#This Row],[Area(m²)]]/10*2,0)</f>
        <v>5</v>
      </c>
    </row>
    <row r="14" spans="1:20" x14ac:dyDescent="0.25">
      <c r="B14" s="4" t="s">
        <v>20</v>
      </c>
      <c r="C14" s="25">
        <v>4.2</v>
      </c>
      <c r="D14" s="25">
        <v>2.5</v>
      </c>
      <c r="E14" s="25">
        <f>ROUNDUP((Tabela22[[#This Row],[Length(cm)]])/$M$6,1)</f>
        <v>5.3</v>
      </c>
      <c r="F14" s="25">
        <f>ROUNDUP((Tabela22[[#This Row],[Width(cm)]])/$M$6,1)</f>
        <v>3.2</v>
      </c>
      <c r="G14" s="25">
        <v>2.5</v>
      </c>
      <c r="H14" s="25">
        <f>ROUNDUP(Tabela22[[#This Row],[Length(m)]]*Tabela22[[#This Row],[Width(m)]],1)</f>
        <v>17</v>
      </c>
      <c r="I14" s="26">
        <f>ROUNDUP( Tabela22[[#This Row],[Area(m²)]]/10*2,0)</f>
        <v>4</v>
      </c>
      <c r="K14" t="s">
        <v>46</v>
      </c>
      <c r="O14" s="40" t="s">
        <v>20</v>
      </c>
      <c r="P14" s="44">
        <f>ROUNDUP( Tabela22[[#This Row],[Area(m²)]]/10*2,0)</f>
        <v>4</v>
      </c>
    </row>
    <row r="15" spans="1:20" x14ac:dyDescent="0.25">
      <c r="B15" s="4" t="s">
        <v>21</v>
      </c>
      <c r="C15" s="25">
        <v>4.2</v>
      </c>
      <c r="D15" s="25">
        <v>2.5</v>
      </c>
      <c r="E15" s="25">
        <f>ROUNDUP((Tabela22[[#This Row],[Length(cm)]])/$M$6,1)</f>
        <v>5.3</v>
      </c>
      <c r="F15" s="25">
        <f>ROUNDUP((Tabela22[[#This Row],[Width(cm)]])/$M$6,1)</f>
        <v>3.2</v>
      </c>
      <c r="G15" s="25">
        <v>2.5</v>
      </c>
      <c r="H15" s="25">
        <f>ROUNDUP(Tabela22[[#This Row],[Length(m)]]*Tabela22[[#This Row],[Width(m)]],1)</f>
        <v>17</v>
      </c>
      <c r="I15" s="26">
        <f>ROUNDUP( Tabela22[[#This Row],[Area(m²)]]/10*2,0)</f>
        <v>4</v>
      </c>
      <c r="O15" s="41" t="s">
        <v>21</v>
      </c>
      <c r="P15" s="43">
        <f>ROUNDUP( Tabela22[[#This Row],[Area(m²)]]/10*2,0)</f>
        <v>4</v>
      </c>
    </row>
    <row r="16" spans="1:20" x14ac:dyDescent="0.25">
      <c r="B16" s="4" t="s">
        <v>45</v>
      </c>
      <c r="C16" s="25">
        <v>4.2</v>
      </c>
      <c r="D16" s="25">
        <v>2.5</v>
      </c>
      <c r="E16" s="25">
        <f>ROUNDUP((Tabela22[[#This Row],[Length(cm)]])/$M$6,1)</f>
        <v>5.3</v>
      </c>
      <c r="F16" s="25">
        <f>ROUNDUP((Tabela22[[#This Row],[Width(cm)]])/$M$6,1)</f>
        <v>3.2</v>
      </c>
      <c r="G16" s="25">
        <v>2.5</v>
      </c>
      <c r="H16" s="25">
        <f>ROUNDUP(Tabela22[[#This Row],[Length(m)]]*Tabela22[[#This Row],[Width(m)]],1)</f>
        <v>17</v>
      </c>
      <c r="I16" s="26">
        <f>ROUNDUP( Tabela22[[#This Row],[Area(m²)]]/10*2,0)</f>
        <v>4</v>
      </c>
      <c r="O16" s="40" t="s">
        <v>45</v>
      </c>
      <c r="P16" s="44">
        <f>ROUNDUP( Tabela22[[#This Row],[Area(m²)]]/10*2,0)</f>
        <v>4</v>
      </c>
    </row>
    <row r="17" spans="2:28" x14ac:dyDescent="0.25">
      <c r="B17" s="4" t="s">
        <v>22</v>
      </c>
      <c r="C17" s="25">
        <v>4.2</v>
      </c>
      <c r="D17" s="25">
        <v>2.9</v>
      </c>
      <c r="E17" s="25">
        <f>ROUNDUP((Tabela22[[#This Row],[Length(cm)]])/$M$6,1)</f>
        <v>5.3</v>
      </c>
      <c r="F17" s="25">
        <f>ROUNDUP((Tabela22[[#This Row],[Width(cm)]])/$M$6,1)</f>
        <v>3.7</v>
      </c>
      <c r="G17" s="25">
        <v>2.5</v>
      </c>
      <c r="H17" s="25">
        <f>ROUNDUP(Tabela22[[#This Row],[Length(m)]]*Tabela22[[#This Row],[Width(m)]],1)</f>
        <v>19.700000000000003</v>
      </c>
      <c r="I17" s="26">
        <f>ROUNDUP( Tabela22[[#This Row],[Area(m²)]]/10*2,0)</f>
        <v>4</v>
      </c>
      <c r="O17" s="41" t="s">
        <v>22</v>
      </c>
      <c r="P17" s="43">
        <f>ROUNDUP( Tabela22[[#This Row],[Area(m²)]]/10*2,0)</f>
        <v>4</v>
      </c>
    </row>
    <row r="18" spans="2:28" x14ac:dyDescent="0.25">
      <c r="O18" s="42" t="s">
        <v>49</v>
      </c>
      <c r="P18" s="44">
        <f>SUM(P7:P17)</f>
        <v>44</v>
      </c>
    </row>
    <row r="20" spans="2:28" x14ac:dyDescent="0.25">
      <c r="E20" s="38" t="s">
        <v>28</v>
      </c>
      <c r="F20" s="38"/>
      <c r="G20" s="38"/>
      <c r="H20" s="38"/>
      <c r="I20" s="38"/>
      <c r="J20" s="38"/>
      <c r="K20" s="38"/>
    </row>
    <row r="21" spans="2:28" ht="29.25" customHeight="1" x14ac:dyDescent="0.25">
      <c r="B21" s="22" t="s">
        <v>27</v>
      </c>
      <c r="C21" s="23" t="s">
        <v>29</v>
      </c>
      <c r="D21" s="23" t="s">
        <v>35</v>
      </c>
      <c r="E21" s="23" t="s">
        <v>39</v>
      </c>
      <c r="F21" s="23" t="s">
        <v>33</v>
      </c>
      <c r="G21" s="23" t="s">
        <v>41</v>
      </c>
      <c r="H21" s="23" t="s">
        <v>34</v>
      </c>
      <c r="I21" s="23" t="s">
        <v>31</v>
      </c>
      <c r="J21" s="23" t="s">
        <v>32</v>
      </c>
      <c r="K21" s="24" t="s">
        <v>30</v>
      </c>
      <c r="M21" s="27"/>
    </row>
    <row r="22" spans="2:28" x14ac:dyDescent="0.25">
      <c r="B22" s="21" t="str">
        <f t="shared" ref="B22:B24" si="0">$B$6</f>
        <v>2.1.1 (HC)</v>
      </c>
      <c r="C22" s="4" t="str">
        <f>$B$9</f>
        <v>2.1.4 (CP)</v>
      </c>
      <c r="D22" s="4">
        <v>1.6</v>
      </c>
      <c r="E22" s="4">
        <v>0</v>
      </c>
      <c r="F22" s="4">
        <v>9.5</v>
      </c>
      <c r="G22" s="4">
        <v>3</v>
      </c>
      <c r="H22" s="4">
        <f>Tabela359[[#This Row],[Room Common Point (cm)]]+Tabela359[[#This Row],[Outlet (cm)]]</f>
        <v>9.5</v>
      </c>
      <c r="I22" s="4">
        <f>ROUNDUP(Tabela359[[#This Row],[Room Common Point (cm)]]/$M$6,1)</f>
        <v>0</v>
      </c>
      <c r="J22" s="20">
        <f>ROUNDUP(Tabela359[[#This Row],[Outlet (cm)]]/$M$6,1)</f>
        <v>11.9</v>
      </c>
      <c r="K22" s="4">
        <f>ROUNDUP(((Tabela359[[#This Row],[Total (cm)]]/$M$6) + ($G$5*Tabela359[[#This Row],[Height Multiplier]])) *Tabela359[[#This Row],[Cable Multiplier]],1)</f>
        <v>47.7</v>
      </c>
      <c r="N22" s="28" t="s">
        <v>15</v>
      </c>
      <c r="O22" s="28" t="s">
        <v>16</v>
      </c>
      <c r="P22" s="28" t="s">
        <v>40</v>
      </c>
      <c r="Q22" s="28" t="s">
        <v>17</v>
      </c>
      <c r="R22" s="28" t="s">
        <v>18</v>
      </c>
      <c r="S22" s="28" t="s">
        <v>19</v>
      </c>
      <c r="T22" s="28" t="s">
        <v>44</v>
      </c>
      <c r="U22" s="28" t="s">
        <v>20</v>
      </c>
      <c r="V22" s="28" t="s">
        <v>21</v>
      </c>
      <c r="W22" s="28" t="s">
        <v>45</v>
      </c>
      <c r="X22" s="28" t="s">
        <v>22</v>
      </c>
      <c r="Y22" s="28" t="s">
        <v>65</v>
      </c>
      <c r="Z22" s="28" t="s">
        <v>48</v>
      </c>
      <c r="AA22" s="28" t="s">
        <v>49</v>
      </c>
      <c r="AB22" s="28" t="s">
        <v>51</v>
      </c>
    </row>
    <row r="23" spans="2:28" x14ac:dyDescent="0.25">
      <c r="B23" s="21" t="str">
        <f t="shared" si="0"/>
        <v>2.1.1 (HC)</v>
      </c>
      <c r="C23" s="4" t="str">
        <f>$B$13</f>
        <v>2.1.8 (CP)</v>
      </c>
      <c r="D23" s="4">
        <v>1.6</v>
      </c>
      <c r="E23" s="4">
        <v>0</v>
      </c>
      <c r="F23" s="4">
        <v>18.5</v>
      </c>
      <c r="G23" s="4">
        <v>3</v>
      </c>
      <c r="H23" s="4">
        <f>Tabela359[[#This Row],[Room Common Point (cm)]]+Tabela359[[#This Row],[Outlet (cm)]]</f>
        <v>18.5</v>
      </c>
      <c r="I23" s="4">
        <f>ROUNDUP(Tabela359[[#This Row],[Room Common Point (cm)]]/$M$6,1)</f>
        <v>0</v>
      </c>
      <c r="J23" s="20">
        <f>ROUNDUP(Tabela359[[#This Row],[Outlet (cm)]]/$M$6,1)</f>
        <v>23.200000000000003</v>
      </c>
      <c r="K23" s="4">
        <f>ROUNDUP(((Tabela359[[#This Row],[Total (cm)]]/$M$6) + ($G$5*Tabela359[[#This Row],[Height Multiplier]])) *Tabela359[[#This Row],[Cable Multiplier]],1)</f>
        <v>81.399999999999991</v>
      </c>
      <c r="N23" s="45">
        <f>SUM(K25:K28)</f>
        <v>47.099999999999994</v>
      </c>
      <c r="O23" s="45">
        <f>SUM(K29:K32)</f>
        <v>33.9</v>
      </c>
      <c r="P23" s="45">
        <f>SUM(K33:K35)</f>
        <v>12.299999999999999</v>
      </c>
      <c r="Q23" s="45">
        <f>SUM(K36:K38)</f>
        <v>30.3</v>
      </c>
      <c r="R23" s="45">
        <f>SUM(K39:K42)</f>
        <v>55.099999999999994</v>
      </c>
      <c r="S23" s="45">
        <f>SUM(K43:K47)</f>
        <v>40.1</v>
      </c>
      <c r="T23" s="45">
        <f>SUM(K48:K52)</f>
        <v>54.599999999999994</v>
      </c>
      <c r="U23" s="45">
        <f>SUM(K53:K56)</f>
        <v>45.9</v>
      </c>
      <c r="V23" s="45">
        <f>SUM(K57:K60)</f>
        <v>33.4</v>
      </c>
      <c r="W23" s="45">
        <f>SUM(K61:K64)</f>
        <v>17.899999999999999</v>
      </c>
      <c r="X23" s="45">
        <f>SUM(K65:K68)</f>
        <v>44.3</v>
      </c>
      <c r="Y23" s="45">
        <f>SUM(K22:K24)</f>
        <v>244.29999999999998</v>
      </c>
      <c r="Z23" s="45">
        <f>K69</f>
        <v>6.6999999999999993</v>
      </c>
      <c r="AA23" s="45">
        <f>SUM(N23:Y23)</f>
        <v>659.19999999999993</v>
      </c>
      <c r="AB23" s="45">
        <f>ROUNDUP(AA23+(AA23*0.2),0)</f>
        <v>792</v>
      </c>
    </row>
    <row r="24" spans="2:28" x14ac:dyDescent="0.25">
      <c r="B24" s="21" t="str">
        <f t="shared" si="0"/>
        <v>2.1.1 (HC)</v>
      </c>
      <c r="C24" s="4" t="str">
        <f>$B$16</f>
        <v>2.1.11 (CP)</v>
      </c>
      <c r="D24" s="4">
        <v>1.6</v>
      </c>
      <c r="E24" s="4">
        <v>0</v>
      </c>
      <c r="F24" s="4">
        <v>27.5</v>
      </c>
      <c r="G24" s="4">
        <v>3</v>
      </c>
      <c r="H24" s="4">
        <f>Tabela359[[#This Row],[Room Common Point (cm)]]+Tabela359[[#This Row],[Outlet (cm)]]</f>
        <v>27.5</v>
      </c>
      <c r="I24" s="4">
        <f>ROUNDUP(Tabela359[[#This Row],[Room Common Point (cm)]]/$M$6,1)</f>
        <v>0</v>
      </c>
      <c r="J24" s="20">
        <f>ROUNDUP(Tabela359[[#This Row],[Outlet (cm)]]/$M$6,1)</f>
        <v>34.4</v>
      </c>
      <c r="K24" s="4">
        <f>ROUNDUP(((Tabela359[[#This Row],[Total (cm)]]/$M$6) + ($G$5*Tabela359[[#This Row],[Height Multiplier]])) *Tabela359[[#This Row],[Cable Multiplier]],1)</f>
        <v>115.19999999999999</v>
      </c>
    </row>
    <row r="25" spans="2:28" x14ac:dyDescent="0.25">
      <c r="B25" s="21" t="str">
        <f>$B$9</f>
        <v>2.1.4 (CP)</v>
      </c>
      <c r="C25" s="4" t="str">
        <f>_xlfn.CONCAT($B$7," - ", 1)</f>
        <v>2.1.2 - 1</v>
      </c>
      <c r="D25" s="4">
        <v>1.6</v>
      </c>
      <c r="E25" s="4">
        <v>4.4000000000000004</v>
      </c>
      <c r="F25" s="4">
        <v>0.6</v>
      </c>
      <c r="G25" s="4">
        <v>1</v>
      </c>
      <c r="H25" s="4">
        <f>Tabela359[[#This Row],[Room Common Point (cm)]]+Tabela359[[#This Row],[Outlet (cm)]]</f>
        <v>5</v>
      </c>
      <c r="I25" s="4">
        <f>ROUNDUP(Tabela359[[#This Row],[Room Common Point (cm)]]/$M$6,1)</f>
        <v>5.5</v>
      </c>
      <c r="J25" s="20">
        <f>ROUNDUP(Tabela359[[#This Row],[Outlet (cm)]]/$M$6,1)</f>
        <v>0.79999999999999993</v>
      </c>
      <c r="K25" s="4">
        <f>ROUNDUP(((Tabela359[[#This Row],[Total (cm)]]/$M$6) + ($G$5*Tabela359[[#This Row],[Height Multiplier]])) *Tabela359[[#This Row],[Cable Multiplier]],1)</f>
        <v>10.299999999999999</v>
      </c>
    </row>
    <row r="26" spans="2:28" x14ac:dyDescent="0.25">
      <c r="B26" s="21" t="str">
        <f t="shared" ref="B26:B42" si="1">$B$9</f>
        <v>2.1.4 (CP)</v>
      </c>
      <c r="C26" s="4" t="str">
        <f>_xlfn.CONCAT($B$7," - ", 2)</f>
        <v>2.1.2 - 2</v>
      </c>
      <c r="D26" s="4">
        <v>1.6</v>
      </c>
      <c r="E26" s="4">
        <v>4.4000000000000004</v>
      </c>
      <c r="F26" s="4">
        <v>1.3</v>
      </c>
      <c r="G26" s="4">
        <v>1</v>
      </c>
      <c r="H26" s="4">
        <f>Tabela359[[#This Row],[Room Common Point (cm)]]+Tabela359[[#This Row],[Outlet (cm)]]</f>
        <v>5.7</v>
      </c>
      <c r="I26" s="4">
        <f>ROUNDUP(Tabela359[[#This Row],[Room Common Point (cm)]]/$M$6,1)</f>
        <v>5.5</v>
      </c>
      <c r="J26" s="20">
        <f>ROUNDUP(Tabela359[[#This Row],[Outlet (cm)]]/$M$6,1)</f>
        <v>1.7000000000000002</v>
      </c>
      <c r="K26" s="4">
        <f>ROUNDUP(((Tabela359[[#This Row],[Total (cm)]]/$M$6) + ($G$5*Tabela359[[#This Row],[Height Multiplier]])) *Tabela359[[#This Row],[Cable Multiplier]],1)</f>
        <v>11.2</v>
      </c>
      <c r="N26" s="46" t="s">
        <v>64</v>
      </c>
      <c r="O26" s="47"/>
      <c r="P26" s="52" t="s">
        <v>53</v>
      </c>
      <c r="Q26" s="58" t="s">
        <v>57</v>
      </c>
      <c r="R26" s="59"/>
      <c r="S26" s="58" t="s">
        <v>55</v>
      </c>
      <c r="T26" s="59"/>
      <c r="U26" s="58" t="s">
        <v>56</v>
      </c>
      <c r="V26" s="59"/>
      <c r="W26" s="57" t="s">
        <v>54</v>
      </c>
      <c r="X26" s="57"/>
    </row>
    <row r="27" spans="2:28" x14ac:dyDescent="0.25">
      <c r="B27" s="21" t="str">
        <f t="shared" si="1"/>
        <v>2.1.4 (CP)</v>
      </c>
      <c r="C27" s="4" t="str">
        <f>_xlfn.CONCAT($B$7," - ", 3)</f>
        <v>2.1.2 - 3</v>
      </c>
      <c r="D27" s="4">
        <v>1.6</v>
      </c>
      <c r="E27" s="4">
        <v>4.4000000000000004</v>
      </c>
      <c r="F27" s="4">
        <v>2.2000000000000002</v>
      </c>
      <c r="G27" s="4">
        <v>1</v>
      </c>
      <c r="H27" s="4">
        <f>Tabela359[[#This Row],[Room Common Point (cm)]]+Tabela359[[#This Row],[Outlet (cm)]]</f>
        <v>6.6000000000000005</v>
      </c>
      <c r="I27" s="4">
        <f>ROUNDUP(Tabela359[[#This Row],[Room Common Point (cm)]]/$M$6,1)</f>
        <v>5.5</v>
      </c>
      <c r="J27" s="20">
        <f>ROUNDUP(Tabela359[[#This Row],[Outlet (cm)]]/$M$6,1)</f>
        <v>2.8000000000000003</v>
      </c>
      <c r="K27" s="4">
        <f>ROUNDUP(((Tabela359[[#This Row],[Total (cm)]]/$M$6) + ($G$5*Tabela359[[#This Row],[Height Multiplier]])) *Tabela359[[#This Row],[Cable Multiplier]],1)</f>
        <v>12.299999999999999</v>
      </c>
      <c r="N27" s="49">
        <f>SUM(G22:G24)+Floor_0!G21</f>
        <v>12</v>
      </c>
      <c r="O27" s="50"/>
      <c r="P27" s="51">
        <f>ROUNDUP(N27+(N27*0.2),0)</f>
        <v>15</v>
      </c>
      <c r="Q27" s="49">
        <v>0</v>
      </c>
      <c r="R27" s="50"/>
      <c r="S27" s="49">
        <v>1</v>
      </c>
      <c r="T27" s="50"/>
      <c r="U27" s="49">
        <v>0</v>
      </c>
      <c r="V27" s="50"/>
      <c r="W27" s="48">
        <f>Q27*$T$7+S27*$T$8+U27*$T$9</f>
        <v>1</v>
      </c>
      <c r="X27" s="48"/>
    </row>
    <row r="28" spans="2:28" x14ac:dyDescent="0.25">
      <c r="B28" s="21" t="str">
        <f t="shared" si="1"/>
        <v>2.1.4 (CP)</v>
      </c>
      <c r="C28" s="4" t="str">
        <f>_xlfn.CONCAT($B$7," - ", 4)</f>
        <v>2.1.2 - 4</v>
      </c>
      <c r="D28" s="4">
        <v>1.6</v>
      </c>
      <c r="E28" s="4">
        <v>4.4000000000000004</v>
      </c>
      <c r="F28" s="4">
        <v>3</v>
      </c>
      <c r="G28" s="4">
        <v>1</v>
      </c>
      <c r="H28" s="4">
        <f>Tabela359[[#This Row],[Room Common Point (cm)]]+Tabela359[[#This Row],[Outlet (cm)]]</f>
        <v>7.4</v>
      </c>
      <c r="I28" s="4">
        <f>ROUNDUP(Tabela359[[#This Row],[Room Common Point (cm)]]/$M$6,1)</f>
        <v>5.5</v>
      </c>
      <c r="J28" s="20">
        <f>ROUNDUP(Tabela359[[#This Row],[Outlet (cm)]]/$M$6,1)</f>
        <v>3.8000000000000003</v>
      </c>
      <c r="K28" s="4">
        <f>ROUNDUP(((Tabela359[[#This Row],[Total (cm)]]/$M$6) + ($G$5*Tabela359[[#This Row],[Height Multiplier]])) *Tabela359[[#This Row],[Cable Multiplier]],1)</f>
        <v>13.299999999999999</v>
      </c>
      <c r="N28" s="42" t="s">
        <v>61</v>
      </c>
      <c r="O28" s="42">
        <f>N27</f>
        <v>12</v>
      </c>
      <c r="P28" s="60"/>
      <c r="Q28" s="64"/>
      <c r="R28" s="64"/>
      <c r="S28" s="64"/>
      <c r="T28" s="64"/>
      <c r="U28" s="61"/>
      <c r="V28" s="42" t="s">
        <v>49</v>
      </c>
      <c r="W28" s="48">
        <f>SUM(W26:X27)*2*2</f>
        <v>4</v>
      </c>
      <c r="X28" s="48"/>
    </row>
    <row r="29" spans="2:28" x14ac:dyDescent="0.25">
      <c r="B29" s="21" t="str">
        <f>$B$9</f>
        <v>2.1.4 (CP)</v>
      </c>
      <c r="C29" s="4" t="str">
        <f>_xlfn.CONCAT($B$8," - ", 1)</f>
        <v>2.1.3 - 1</v>
      </c>
      <c r="D29" s="4">
        <v>1.6</v>
      </c>
      <c r="E29" s="4">
        <v>1.8</v>
      </c>
      <c r="F29" s="4">
        <v>0.6</v>
      </c>
      <c r="G29" s="4">
        <v>1</v>
      </c>
      <c r="H29" s="4">
        <f>Tabela359[[#This Row],[Room Common Point (cm)]]+Tabela359[[#This Row],[Outlet (cm)]]</f>
        <v>2.4</v>
      </c>
      <c r="I29" s="4">
        <f>ROUNDUP(Tabela359[[#This Row],[Room Common Point (cm)]]/$M$6,1)</f>
        <v>2.3000000000000003</v>
      </c>
      <c r="J29" s="20">
        <f>ROUNDUP(Tabela359[[#This Row],[Outlet (cm)]]/$M$6,1)</f>
        <v>0.79999999999999993</v>
      </c>
      <c r="K29" s="4">
        <f>ROUNDUP(((Tabela359[[#This Row],[Total (cm)]]/$M$6) + ($G$5*Tabela359[[#This Row],[Height Multiplier]])) *Tabela359[[#This Row],[Cable Multiplier]],1)</f>
        <v>7</v>
      </c>
    </row>
    <row r="30" spans="2:28" x14ac:dyDescent="0.25">
      <c r="B30" s="21" t="str">
        <f t="shared" si="1"/>
        <v>2.1.4 (CP)</v>
      </c>
      <c r="C30" s="4" t="str">
        <f>_xlfn.CONCAT($B$8," - ", 2)</f>
        <v>2.1.3 - 2</v>
      </c>
      <c r="D30" s="4">
        <v>1.6</v>
      </c>
      <c r="E30" s="4">
        <v>1.8</v>
      </c>
      <c r="F30" s="4">
        <v>1.3</v>
      </c>
      <c r="G30" s="4">
        <v>1</v>
      </c>
      <c r="H30" s="4">
        <f>Tabela359[[#This Row],[Room Common Point (cm)]]+Tabela359[[#This Row],[Outlet (cm)]]</f>
        <v>3.1</v>
      </c>
      <c r="I30" s="4">
        <f>ROUNDUP(Tabela359[[#This Row],[Room Common Point (cm)]]/$M$6,1)</f>
        <v>2.3000000000000003</v>
      </c>
      <c r="J30" s="20">
        <f>ROUNDUP(Tabela359[[#This Row],[Outlet (cm)]]/$M$6,1)</f>
        <v>1.7000000000000002</v>
      </c>
      <c r="K30" s="4">
        <f>ROUNDUP(((Tabela359[[#This Row],[Total (cm)]]/$M$6) + ($G$5*Tabela359[[#This Row],[Height Multiplier]])) *Tabela359[[#This Row],[Cable Multiplier]],1)</f>
        <v>7.8999999999999995</v>
      </c>
    </row>
    <row r="31" spans="2:28" x14ac:dyDescent="0.25">
      <c r="B31" s="21" t="str">
        <f t="shared" si="1"/>
        <v>2.1.4 (CP)</v>
      </c>
      <c r="C31" s="4" t="str">
        <f>_xlfn.CONCAT($B$8," - ", 3)</f>
        <v>2.1.3 - 3</v>
      </c>
      <c r="D31" s="4">
        <v>1.6</v>
      </c>
      <c r="E31" s="4">
        <v>1.8</v>
      </c>
      <c r="F31" s="4">
        <v>2.2000000000000002</v>
      </c>
      <c r="G31" s="4">
        <v>1</v>
      </c>
      <c r="H31" s="4">
        <f>Tabela359[[#This Row],[Room Common Point (cm)]]+Tabela359[[#This Row],[Outlet (cm)]]</f>
        <v>4</v>
      </c>
      <c r="I31" s="4">
        <f>ROUNDUP(Tabela359[[#This Row],[Room Common Point (cm)]]/$M$6,1)</f>
        <v>2.3000000000000003</v>
      </c>
      <c r="J31" s="20">
        <f>ROUNDUP(Tabela359[[#This Row],[Outlet (cm)]]/$M$6,1)</f>
        <v>2.8000000000000003</v>
      </c>
      <c r="K31" s="4">
        <f>ROUNDUP(((Tabela359[[#This Row],[Total (cm)]]/$M$6) + ($G$5*Tabela359[[#This Row],[Height Multiplier]])) *Tabela359[[#This Row],[Cable Multiplier]],1)</f>
        <v>9</v>
      </c>
    </row>
    <row r="32" spans="2:28" x14ac:dyDescent="0.25">
      <c r="B32" s="21" t="str">
        <f t="shared" si="1"/>
        <v>2.1.4 (CP)</v>
      </c>
      <c r="C32" s="4" t="str">
        <f>_xlfn.CONCAT($B$8," - ", 4)</f>
        <v>2.1.3 - 4</v>
      </c>
      <c r="D32" s="4">
        <v>1.6</v>
      </c>
      <c r="E32" s="4">
        <v>1.8</v>
      </c>
      <c r="F32" s="4">
        <v>3</v>
      </c>
      <c r="G32" s="4">
        <v>1</v>
      </c>
      <c r="H32" s="4">
        <f>Tabela359[[#This Row],[Room Common Point (cm)]]+Tabela359[[#This Row],[Outlet (cm)]]</f>
        <v>4.8</v>
      </c>
      <c r="I32" s="4">
        <f>ROUNDUP(Tabela359[[#This Row],[Room Common Point (cm)]]/$M$6,1)</f>
        <v>2.3000000000000003</v>
      </c>
      <c r="J32" s="20">
        <f>ROUNDUP(Tabela359[[#This Row],[Outlet (cm)]]/$M$6,1)</f>
        <v>3.8000000000000003</v>
      </c>
      <c r="K32" s="4">
        <f>ROUNDUP(((Tabela359[[#This Row],[Total (cm)]]/$M$6) + ($G$5*Tabela359[[#This Row],[Height Multiplier]])) *Tabela359[[#This Row],[Cable Multiplier]],1)</f>
        <v>10</v>
      </c>
      <c r="N32" s="46" t="s">
        <v>66</v>
      </c>
      <c r="O32" s="47"/>
      <c r="P32" s="52" t="s">
        <v>53</v>
      </c>
      <c r="Q32" s="58" t="s">
        <v>57</v>
      </c>
      <c r="R32" s="59"/>
      <c r="S32" s="58" t="s">
        <v>55</v>
      </c>
      <c r="T32" s="59"/>
      <c r="U32" s="58" t="s">
        <v>56</v>
      </c>
      <c r="V32" s="59"/>
      <c r="W32" s="57" t="s">
        <v>54</v>
      </c>
      <c r="X32" s="57"/>
    </row>
    <row r="33" spans="2:24" x14ac:dyDescent="0.25">
      <c r="B33" s="21" t="str">
        <f>$B$9</f>
        <v>2.1.4 (CP)</v>
      </c>
      <c r="C33" s="4" t="str">
        <f>_xlfn.CONCAT($B$9," - ", 1)</f>
        <v>2.1.4 (CP) - 1</v>
      </c>
      <c r="D33" s="4">
        <v>0.4</v>
      </c>
      <c r="E33" s="4">
        <v>0.9</v>
      </c>
      <c r="F33" s="4">
        <v>0.6</v>
      </c>
      <c r="G33" s="4">
        <v>1</v>
      </c>
      <c r="H33" s="4">
        <f>Tabela359[[#This Row],[Room Common Point (cm)]]+Tabela359[[#This Row],[Outlet (cm)]]</f>
        <v>1.5</v>
      </c>
      <c r="I33" s="4">
        <f>ROUNDUP(Tabela359[[#This Row],[Room Common Point (cm)]]/$M$6,1)</f>
        <v>1.2000000000000002</v>
      </c>
      <c r="J33" s="20">
        <f>ROUNDUP(Tabela359[[#This Row],[Outlet (cm)]]/$M$6,1)</f>
        <v>0.79999999999999993</v>
      </c>
      <c r="K33" s="4">
        <f>ROUNDUP(((Tabela359[[#This Row],[Total (cm)]]/$M$6) + ($G$5*Tabela359[[#This Row],[Height Multiplier]])) *Tabela359[[#This Row],[Cable Multiplier]],1)</f>
        <v>2.9</v>
      </c>
      <c r="N33" s="49">
        <f>SUM(G25:G42)+G22</f>
        <v>21</v>
      </c>
      <c r="O33" s="50"/>
      <c r="P33" s="51">
        <f>ROUNDUP(N33+(N33*0.2),0)</f>
        <v>26</v>
      </c>
      <c r="Q33" s="49">
        <v>0</v>
      </c>
      <c r="R33" s="50"/>
      <c r="S33" s="49">
        <v>0</v>
      </c>
      <c r="T33" s="50"/>
      <c r="U33" s="49">
        <v>1</v>
      </c>
      <c r="V33" s="50"/>
      <c r="W33" s="48">
        <f>Q33*$T$7+S33*$T$8+U33*$T$9</f>
        <v>2</v>
      </c>
      <c r="X33" s="48"/>
    </row>
    <row r="34" spans="2:24" x14ac:dyDescent="0.25">
      <c r="B34" s="21" t="str">
        <f t="shared" si="1"/>
        <v>2.1.4 (CP)</v>
      </c>
      <c r="C34" s="4" t="str">
        <f>_xlfn.CONCAT($B$9," - ", 2)</f>
        <v>2.1.4 (CP) - 2</v>
      </c>
      <c r="D34" s="4">
        <v>0.4</v>
      </c>
      <c r="E34" s="4">
        <v>0.9</v>
      </c>
      <c r="F34" s="4">
        <v>1.6</v>
      </c>
      <c r="G34" s="4">
        <v>1</v>
      </c>
      <c r="H34" s="4">
        <f>Tabela359[[#This Row],[Room Common Point (cm)]]+Tabela359[[#This Row],[Outlet (cm)]]</f>
        <v>2.5</v>
      </c>
      <c r="I34" s="4">
        <f>ROUNDUP(Tabela359[[#This Row],[Room Common Point (cm)]]/$M$6,1)</f>
        <v>1.2000000000000002</v>
      </c>
      <c r="J34" s="20">
        <f>ROUNDUP(Tabela359[[#This Row],[Outlet (cm)]]/$M$6,1)</f>
        <v>2</v>
      </c>
      <c r="K34" s="4">
        <f>ROUNDUP(((Tabela359[[#This Row],[Total (cm)]]/$M$6) + ($G$5*Tabela359[[#This Row],[Height Multiplier]])) *Tabela359[[#This Row],[Cable Multiplier]],1)</f>
        <v>4.1999999999999993</v>
      </c>
      <c r="N34" s="42" t="s">
        <v>61</v>
      </c>
      <c r="O34" s="42">
        <f>N33</f>
        <v>21</v>
      </c>
      <c r="P34" s="60"/>
      <c r="Q34" s="64"/>
      <c r="R34" s="64"/>
      <c r="S34" s="64"/>
      <c r="T34" s="64"/>
      <c r="U34" s="61"/>
      <c r="V34" s="42" t="s">
        <v>49</v>
      </c>
      <c r="W34" s="48">
        <f>SUM(W32:X33)*2*2</f>
        <v>8</v>
      </c>
      <c r="X34" s="48"/>
    </row>
    <row r="35" spans="2:24" x14ac:dyDescent="0.25">
      <c r="B35" s="21" t="str">
        <f t="shared" si="1"/>
        <v>2.1.4 (CP)</v>
      </c>
      <c r="C35" s="4" t="str">
        <f>_xlfn.CONCAT($B$9," - ", 3)</f>
        <v>2.1.4 (CP) - 3</v>
      </c>
      <c r="D35" s="4">
        <v>0.4</v>
      </c>
      <c r="E35" s="4">
        <v>0.9</v>
      </c>
      <c r="F35" s="4">
        <v>2.4</v>
      </c>
      <c r="G35" s="4">
        <v>1</v>
      </c>
      <c r="H35" s="4">
        <f>Tabela359[[#This Row],[Room Common Point (cm)]]+Tabela359[[#This Row],[Outlet (cm)]]</f>
        <v>3.3</v>
      </c>
      <c r="I35" s="4">
        <f>ROUNDUP(Tabela359[[#This Row],[Room Common Point (cm)]]/$M$6,1)</f>
        <v>1.2000000000000002</v>
      </c>
      <c r="J35" s="20">
        <f>ROUNDUP(Tabela359[[#This Row],[Outlet (cm)]]/$M$6,1)</f>
        <v>3</v>
      </c>
      <c r="K35" s="4">
        <f>ROUNDUP(((Tabela359[[#This Row],[Total (cm)]]/$M$6) + ($G$5*Tabela359[[#This Row],[Height Multiplier]])) *Tabela359[[#This Row],[Cable Multiplier]],1)</f>
        <v>5.1999999999999993</v>
      </c>
    </row>
    <row r="36" spans="2:24" x14ac:dyDescent="0.25">
      <c r="B36" s="21" t="str">
        <f>$B$9</f>
        <v>2.1.4 (CP)</v>
      </c>
      <c r="C36" s="4" t="str">
        <f>_xlfn.CONCAT($B$10," - ", 1)</f>
        <v>2.1.5 - 1</v>
      </c>
      <c r="D36" s="4">
        <v>1.6</v>
      </c>
      <c r="E36" s="4">
        <v>3.3</v>
      </c>
      <c r="F36" s="4">
        <v>0.6</v>
      </c>
      <c r="G36" s="4">
        <v>1</v>
      </c>
      <c r="H36" s="4">
        <f>Tabela359[[#This Row],[Room Common Point (cm)]]+Tabela359[[#This Row],[Outlet (cm)]]</f>
        <v>3.9</v>
      </c>
      <c r="I36" s="4">
        <f>ROUNDUP(Tabela359[[#This Row],[Room Common Point (cm)]]/$M$6,1)</f>
        <v>4.1999999999999993</v>
      </c>
      <c r="J36" s="20">
        <f>ROUNDUP(Tabela359[[#This Row],[Outlet (cm)]]/$M$6,1)</f>
        <v>0.79999999999999993</v>
      </c>
      <c r="K36" s="4">
        <f>ROUNDUP(((Tabela359[[#This Row],[Total (cm)]]/$M$6) + ($G$5*Tabela359[[#This Row],[Height Multiplier]])) *Tabela359[[#This Row],[Cable Multiplier]],1)</f>
        <v>8.9</v>
      </c>
    </row>
    <row r="37" spans="2:24" x14ac:dyDescent="0.25">
      <c r="B37" s="21" t="str">
        <f t="shared" si="1"/>
        <v>2.1.4 (CP)</v>
      </c>
      <c r="C37" s="4" t="str">
        <f>_xlfn.CONCAT($B$10," - ", 2)</f>
        <v>2.1.5 - 2</v>
      </c>
      <c r="D37" s="4">
        <v>1.6</v>
      </c>
      <c r="E37" s="4">
        <v>3.3</v>
      </c>
      <c r="F37" s="4">
        <v>1.6</v>
      </c>
      <c r="G37" s="4">
        <v>1</v>
      </c>
      <c r="H37" s="4">
        <f>Tabela359[[#This Row],[Room Common Point (cm)]]+Tabela359[[#This Row],[Outlet (cm)]]</f>
        <v>4.9000000000000004</v>
      </c>
      <c r="I37" s="4">
        <f>ROUNDUP(Tabela359[[#This Row],[Room Common Point (cm)]]/$M$6,1)</f>
        <v>4.1999999999999993</v>
      </c>
      <c r="J37" s="20">
        <f>ROUNDUP(Tabela359[[#This Row],[Outlet (cm)]]/$M$6,1)</f>
        <v>2</v>
      </c>
      <c r="K37" s="4">
        <f>ROUNDUP(((Tabela359[[#This Row],[Total (cm)]]/$M$6) + ($G$5*Tabela359[[#This Row],[Height Multiplier]])) *Tabela359[[#This Row],[Cable Multiplier]],1)</f>
        <v>10.199999999999999</v>
      </c>
      <c r="N37" s="46" t="s">
        <v>67</v>
      </c>
      <c r="O37" s="47"/>
      <c r="P37" s="52" t="s">
        <v>53</v>
      </c>
      <c r="Q37" s="58" t="s">
        <v>57</v>
      </c>
      <c r="R37" s="59"/>
      <c r="S37" s="58" t="s">
        <v>55</v>
      </c>
      <c r="T37" s="59"/>
      <c r="U37" s="58" t="s">
        <v>56</v>
      </c>
      <c r="V37" s="59"/>
      <c r="W37" s="57" t="s">
        <v>54</v>
      </c>
      <c r="X37" s="57"/>
    </row>
    <row r="38" spans="2:24" x14ac:dyDescent="0.25">
      <c r="B38" s="21" t="str">
        <f t="shared" si="1"/>
        <v>2.1.4 (CP)</v>
      </c>
      <c r="C38" s="4" t="str">
        <f>_xlfn.CONCAT($B$10," - ", 3)</f>
        <v>2.1.5 - 3</v>
      </c>
      <c r="D38" s="4">
        <v>1.6</v>
      </c>
      <c r="E38" s="4">
        <v>3.3</v>
      </c>
      <c r="F38" s="4">
        <v>2.4</v>
      </c>
      <c r="G38" s="4">
        <v>1</v>
      </c>
      <c r="H38" s="4">
        <f>Tabela359[[#This Row],[Room Common Point (cm)]]+Tabela359[[#This Row],[Outlet (cm)]]</f>
        <v>5.6999999999999993</v>
      </c>
      <c r="I38" s="4">
        <f>ROUNDUP(Tabela359[[#This Row],[Room Common Point (cm)]]/$M$6,1)</f>
        <v>4.1999999999999993</v>
      </c>
      <c r="J38" s="20">
        <f>ROUNDUP(Tabela359[[#This Row],[Outlet (cm)]]/$M$6,1)</f>
        <v>3</v>
      </c>
      <c r="K38" s="4">
        <f>ROUNDUP(((Tabela359[[#This Row],[Total (cm)]]/$M$6) + ($G$5*Tabela359[[#This Row],[Height Multiplier]])) *Tabela359[[#This Row],[Cable Multiplier]],1)</f>
        <v>11.2</v>
      </c>
      <c r="N38" s="49">
        <f>SUM(G43:G52)+G23+1</f>
        <v>14</v>
      </c>
      <c r="O38" s="50"/>
      <c r="P38" s="51">
        <f>ROUNDUP(N38+(N38*0.2),0)</f>
        <v>17</v>
      </c>
      <c r="Q38" s="49">
        <v>0</v>
      </c>
      <c r="R38" s="50"/>
      <c r="S38" s="49">
        <v>1</v>
      </c>
      <c r="T38" s="50"/>
      <c r="U38" s="49">
        <v>0</v>
      </c>
      <c r="V38" s="50"/>
      <c r="W38" s="48">
        <f>Q38*$T$7+S38*$T$8+U38*$T$9</f>
        <v>1</v>
      </c>
      <c r="X38" s="48"/>
    </row>
    <row r="39" spans="2:24" x14ac:dyDescent="0.25">
      <c r="B39" s="21" t="str">
        <f>$B$9</f>
        <v>2.1.4 (CP)</v>
      </c>
      <c r="C39" s="4" t="str">
        <f>_xlfn.CONCAT($B$11," - ", 1)</f>
        <v>2.1.6 - 1</v>
      </c>
      <c r="D39" s="4">
        <v>1.6</v>
      </c>
      <c r="E39" s="4">
        <v>6</v>
      </c>
      <c r="F39" s="4">
        <v>0.6</v>
      </c>
      <c r="G39" s="4">
        <v>1</v>
      </c>
      <c r="H39" s="4">
        <f>Tabela359[[#This Row],[Room Common Point (cm)]]+Tabela359[[#This Row],[Outlet (cm)]]</f>
        <v>6.6</v>
      </c>
      <c r="I39" s="4">
        <f>ROUNDUP(Tabela359[[#This Row],[Room Common Point (cm)]]/$M$6,1)</f>
        <v>7.5</v>
      </c>
      <c r="J39" s="20">
        <f>ROUNDUP(Tabela359[[#This Row],[Outlet (cm)]]/$M$6,1)</f>
        <v>0.79999999999999993</v>
      </c>
      <c r="K39" s="4">
        <f>ROUNDUP(((Tabela359[[#This Row],[Total (cm)]]/$M$6) + ($G$5*Tabela359[[#This Row],[Height Multiplier]])) *Tabela359[[#This Row],[Cable Multiplier]],1)</f>
        <v>12.299999999999999</v>
      </c>
      <c r="N39" s="42" t="s">
        <v>61</v>
      </c>
      <c r="O39" s="42">
        <f>N38</f>
        <v>14</v>
      </c>
      <c r="P39" s="60"/>
      <c r="Q39" s="64"/>
      <c r="R39" s="64"/>
      <c r="S39" s="64"/>
      <c r="T39" s="64"/>
      <c r="U39" s="61"/>
      <c r="V39" s="42" t="s">
        <v>49</v>
      </c>
      <c r="W39" s="48">
        <f>SUM(W37:X38)*2*2</f>
        <v>4</v>
      </c>
      <c r="X39" s="48"/>
    </row>
    <row r="40" spans="2:24" x14ac:dyDescent="0.25">
      <c r="B40" s="21" t="str">
        <f t="shared" si="1"/>
        <v>2.1.4 (CP)</v>
      </c>
      <c r="C40" s="4" t="str">
        <f>_xlfn.CONCAT($B$11," - ", 2)</f>
        <v>2.1.6 - 2</v>
      </c>
      <c r="D40" s="4">
        <v>1.6</v>
      </c>
      <c r="E40" s="4">
        <v>6</v>
      </c>
      <c r="F40" s="4">
        <v>1.3</v>
      </c>
      <c r="G40" s="4">
        <v>1</v>
      </c>
      <c r="H40" s="4">
        <f>Tabela359[[#This Row],[Room Common Point (cm)]]+Tabela359[[#This Row],[Outlet (cm)]]</f>
        <v>7.3</v>
      </c>
      <c r="I40" s="4">
        <f>ROUNDUP(Tabela359[[#This Row],[Room Common Point (cm)]]/$M$6,1)</f>
        <v>7.5</v>
      </c>
      <c r="J40" s="20">
        <f>ROUNDUP(Tabela359[[#This Row],[Outlet (cm)]]/$M$6,1)</f>
        <v>1.7000000000000002</v>
      </c>
      <c r="K40" s="4">
        <f>ROUNDUP(((Tabela359[[#This Row],[Total (cm)]]/$M$6) + ($G$5*Tabela359[[#This Row],[Height Multiplier]])) *Tabela359[[#This Row],[Cable Multiplier]],1)</f>
        <v>13.2</v>
      </c>
    </row>
    <row r="41" spans="2:24" x14ac:dyDescent="0.25">
      <c r="B41" s="21" t="str">
        <f t="shared" si="1"/>
        <v>2.1.4 (CP)</v>
      </c>
      <c r="C41" s="4" t="str">
        <f>_xlfn.CONCAT($B$11," - ", 3)</f>
        <v>2.1.6 - 3</v>
      </c>
      <c r="D41" s="4">
        <v>1.6</v>
      </c>
      <c r="E41" s="4">
        <v>6</v>
      </c>
      <c r="F41" s="4">
        <v>2.2000000000000002</v>
      </c>
      <c r="G41" s="4">
        <v>1</v>
      </c>
      <c r="H41" s="4">
        <f>Tabela359[[#This Row],[Room Common Point (cm)]]+Tabela359[[#This Row],[Outlet (cm)]]</f>
        <v>8.1999999999999993</v>
      </c>
      <c r="I41" s="4">
        <f>ROUNDUP(Tabela359[[#This Row],[Room Common Point (cm)]]/$M$6,1)</f>
        <v>7.5</v>
      </c>
      <c r="J41" s="20">
        <f>ROUNDUP(Tabela359[[#This Row],[Outlet (cm)]]/$M$6,1)</f>
        <v>2.8000000000000003</v>
      </c>
      <c r="K41" s="4">
        <f>ROUNDUP(((Tabela359[[#This Row],[Total (cm)]]/$M$6) + ($G$5*Tabela359[[#This Row],[Height Multiplier]])) *Tabela359[[#This Row],[Cable Multiplier]],1)</f>
        <v>14.299999999999999</v>
      </c>
      <c r="N41" s="46" t="s">
        <v>68</v>
      </c>
      <c r="O41" s="47"/>
      <c r="P41" s="52" t="s">
        <v>53</v>
      </c>
      <c r="Q41" s="58" t="s">
        <v>57</v>
      </c>
      <c r="R41" s="59"/>
      <c r="S41" s="58" t="s">
        <v>55</v>
      </c>
      <c r="T41" s="59"/>
      <c r="U41" s="58" t="s">
        <v>56</v>
      </c>
      <c r="V41" s="59"/>
      <c r="W41" s="57" t="s">
        <v>54</v>
      </c>
      <c r="X41" s="57"/>
    </row>
    <row r="42" spans="2:24" x14ac:dyDescent="0.25">
      <c r="B42" s="21" t="str">
        <f t="shared" si="1"/>
        <v>2.1.4 (CP)</v>
      </c>
      <c r="C42" s="4" t="str">
        <f>_xlfn.CONCAT($B$11," - ", 4)</f>
        <v>2.1.6 - 4</v>
      </c>
      <c r="D42" s="4">
        <v>1.6</v>
      </c>
      <c r="E42" s="4">
        <v>6</v>
      </c>
      <c r="F42" s="4">
        <v>3</v>
      </c>
      <c r="G42" s="4">
        <v>1</v>
      </c>
      <c r="H42" s="4">
        <f>Tabela359[[#This Row],[Room Common Point (cm)]]+Tabela359[[#This Row],[Outlet (cm)]]</f>
        <v>9</v>
      </c>
      <c r="I42" s="4">
        <f>ROUNDUP(Tabela359[[#This Row],[Room Common Point (cm)]]/$M$6,1)</f>
        <v>7.5</v>
      </c>
      <c r="J42" s="20">
        <f>ROUNDUP(Tabela359[[#This Row],[Outlet (cm)]]/$M$6,1)</f>
        <v>3.8000000000000003</v>
      </c>
      <c r="K42" s="4">
        <f>ROUNDUP(((Tabela359[[#This Row],[Total (cm)]]/$M$6) + ($G$5*Tabela359[[#This Row],[Height Multiplier]])) *Tabela359[[#This Row],[Cable Multiplier]],1)</f>
        <v>15.299999999999999</v>
      </c>
      <c r="N42" s="49">
        <f>SUM(G53:G68)+G24</f>
        <v>19</v>
      </c>
      <c r="O42" s="50"/>
      <c r="P42" s="51">
        <f>ROUNDUP(N42+(N42*0.2),0)</f>
        <v>23</v>
      </c>
      <c r="Q42" s="49">
        <v>0</v>
      </c>
      <c r="R42" s="50"/>
      <c r="S42" s="49">
        <v>1</v>
      </c>
      <c r="T42" s="50"/>
      <c r="U42" s="49">
        <v>0</v>
      </c>
      <c r="V42" s="50"/>
      <c r="W42" s="48">
        <f>Q42*$T$7+S42*$T$8+U42*$T$9</f>
        <v>1</v>
      </c>
      <c r="X42" s="48"/>
    </row>
    <row r="43" spans="2:24" x14ac:dyDescent="0.25">
      <c r="B43" s="21" t="str">
        <f>$B$13</f>
        <v>2.1.8 (CP)</v>
      </c>
      <c r="C43" s="4" t="str">
        <f>_xlfn.CONCAT($B$12," - ", 1)</f>
        <v>2.1.7 - 1</v>
      </c>
      <c r="D43" s="4">
        <v>1.6</v>
      </c>
      <c r="E43" s="4">
        <v>1.35</v>
      </c>
      <c r="F43" s="4">
        <v>0.3</v>
      </c>
      <c r="G43" s="4">
        <v>1</v>
      </c>
      <c r="H43" s="4">
        <f>Tabela359[[#This Row],[Room Common Point (cm)]]+Tabela359[[#This Row],[Outlet (cm)]]</f>
        <v>1.6500000000000001</v>
      </c>
      <c r="I43" s="4">
        <f>ROUNDUP(Tabela359[[#This Row],[Room Common Point (cm)]]/$M$6,1)</f>
        <v>1.7000000000000002</v>
      </c>
      <c r="J43" s="20">
        <f>ROUNDUP(Tabela359[[#This Row],[Outlet (cm)]]/$M$6,1)</f>
        <v>0.4</v>
      </c>
      <c r="K43" s="4">
        <f>ROUNDUP(((Tabela359[[#This Row],[Total (cm)]]/$M$6) + ($G$5*Tabela359[[#This Row],[Height Multiplier]])) *Tabela359[[#This Row],[Cable Multiplier]],1)</f>
        <v>6.1</v>
      </c>
      <c r="N43" s="42" t="s">
        <v>61</v>
      </c>
      <c r="O43" s="42">
        <f>N42</f>
        <v>19</v>
      </c>
      <c r="P43" s="60"/>
      <c r="Q43" s="64"/>
      <c r="R43" s="64"/>
      <c r="S43" s="64"/>
      <c r="T43" s="64"/>
      <c r="U43" s="61"/>
      <c r="V43" s="42" t="s">
        <v>49</v>
      </c>
      <c r="W43" s="48">
        <f>SUM(W41:X42)*2*2</f>
        <v>4</v>
      </c>
      <c r="X43" s="48"/>
    </row>
    <row r="44" spans="2:24" x14ac:dyDescent="0.25">
      <c r="B44" s="21" t="str">
        <f t="shared" ref="B44:B52" si="2">$B$13</f>
        <v>2.1.8 (CP)</v>
      </c>
      <c r="C44" s="4" t="str">
        <f>_xlfn.CONCAT($B$12," - ", 2)</f>
        <v>2.1.7 - 2</v>
      </c>
      <c r="D44" s="4">
        <v>1.6</v>
      </c>
      <c r="E44" s="4">
        <v>1.35</v>
      </c>
      <c r="F44" s="4">
        <v>1</v>
      </c>
      <c r="G44" s="4">
        <v>1</v>
      </c>
      <c r="H44" s="4">
        <f>Tabela359[[#This Row],[Room Common Point (cm)]]+Tabela359[[#This Row],[Outlet (cm)]]</f>
        <v>2.35</v>
      </c>
      <c r="I44" s="4">
        <f>ROUNDUP(Tabela359[[#This Row],[Room Common Point (cm)]]/$M$6,1)</f>
        <v>1.7000000000000002</v>
      </c>
      <c r="J44" s="20">
        <f>ROUNDUP(Tabela359[[#This Row],[Outlet (cm)]]/$M$6,1)</f>
        <v>1.3</v>
      </c>
      <c r="K44" s="4">
        <f>ROUNDUP(((Tabela359[[#This Row],[Total (cm)]]/$M$6) + ($G$5*Tabela359[[#This Row],[Height Multiplier]])) *Tabela359[[#This Row],[Cable Multiplier]],1)</f>
        <v>7</v>
      </c>
    </row>
    <row r="45" spans="2:24" x14ac:dyDescent="0.25">
      <c r="B45" s="21" t="str">
        <f t="shared" si="2"/>
        <v>2.1.8 (CP)</v>
      </c>
      <c r="C45" s="4" t="str">
        <f>_xlfn.CONCAT($B$12," - ", 3)</f>
        <v>2.1.7 - 3</v>
      </c>
      <c r="D45" s="4">
        <v>1.6</v>
      </c>
      <c r="E45" s="4">
        <v>1.35</v>
      </c>
      <c r="F45" s="4">
        <v>1.8</v>
      </c>
      <c r="G45" s="4">
        <v>1</v>
      </c>
      <c r="H45" s="4">
        <f>Tabela359[[#This Row],[Room Common Point (cm)]]+Tabela359[[#This Row],[Outlet (cm)]]</f>
        <v>3.1500000000000004</v>
      </c>
      <c r="I45" s="4">
        <f>ROUNDUP(Tabela359[[#This Row],[Room Common Point (cm)]]/$M$6,1)</f>
        <v>1.7000000000000002</v>
      </c>
      <c r="J45" s="20">
        <f>ROUNDUP(Tabela359[[#This Row],[Outlet (cm)]]/$M$6,1)</f>
        <v>2.3000000000000003</v>
      </c>
      <c r="K45" s="4">
        <f>ROUNDUP(((Tabela359[[#This Row],[Total (cm)]]/$M$6) + ($G$5*Tabela359[[#This Row],[Height Multiplier]])) *Tabela359[[#This Row],[Cable Multiplier]],1)</f>
        <v>8</v>
      </c>
      <c r="N45" s="67" t="s">
        <v>55</v>
      </c>
      <c r="O45" s="68"/>
      <c r="P45" s="45">
        <v>3</v>
      </c>
    </row>
    <row r="46" spans="2:24" x14ac:dyDescent="0.25">
      <c r="B46" s="21" t="str">
        <f t="shared" si="2"/>
        <v>2.1.8 (CP)</v>
      </c>
      <c r="C46" s="4" t="str">
        <f>_xlfn.CONCAT($B$12," - ", 4)</f>
        <v>2.1.7 - 4</v>
      </c>
      <c r="D46" s="4">
        <v>1.6</v>
      </c>
      <c r="E46" s="4">
        <v>1.35</v>
      </c>
      <c r="F46" s="4">
        <v>2.6</v>
      </c>
      <c r="G46" s="4">
        <v>1</v>
      </c>
      <c r="H46" s="4">
        <f>Tabela359[[#This Row],[Room Common Point (cm)]]+Tabela359[[#This Row],[Outlet (cm)]]</f>
        <v>3.95</v>
      </c>
      <c r="I46" s="4">
        <f>ROUNDUP(Tabela359[[#This Row],[Room Common Point (cm)]]/$M$6,1)</f>
        <v>1.7000000000000002</v>
      </c>
      <c r="J46" s="20">
        <f>ROUNDUP(Tabela359[[#This Row],[Outlet (cm)]]/$M$6,1)</f>
        <v>3.3000000000000003</v>
      </c>
      <c r="K46" s="4">
        <f>ROUNDUP(((Tabela359[[#This Row],[Total (cm)]]/$M$6) + ($G$5*Tabela359[[#This Row],[Height Multiplier]])) *Tabela359[[#This Row],[Cable Multiplier]],1)</f>
        <v>9</v>
      </c>
      <c r="N46" s="55" t="s">
        <v>56</v>
      </c>
      <c r="O46" s="56"/>
      <c r="P46" s="45">
        <v>1</v>
      </c>
    </row>
    <row r="47" spans="2:24" x14ac:dyDescent="0.25">
      <c r="B47" s="21" t="str">
        <f t="shared" si="2"/>
        <v>2.1.8 (CP)</v>
      </c>
      <c r="C47" s="4" t="str">
        <f>_xlfn.CONCAT($B$12," - ", 5)</f>
        <v>2.1.7 - 5</v>
      </c>
      <c r="D47" s="4">
        <v>1.6</v>
      </c>
      <c r="E47" s="4">
        <v>1.35</v>
      </c>
      <c r="F47" s="4">
        <v>3.4</v>
      </c>
      <c r="G47" s="4">
        <v>1</v>
      </c>
      <c r="H47" s="4">
        <f>Tabela359[[#This Row],[Room Common Point (cm)]]+Tabela359[[#This Row],[Outlet (cm)]]</f>
        <v>4.75</v>
      </c>
      <c r="I47" s="4">
        <f>ROUNDUP(Tabela359[[#This Row],[Room Common Point (cm)]]/$M$6,1)</f>
        <v>1.7000000000000002</v>
      </c>
      <c r="J47" s="20">
        <f>ROUNDUP(Tabela359[[#This Row],[Outlet (cm)]]/$M$6,1)</f>
        <v>4.3</v>
      </c>
      <c r="K47" s="4">
        <f>ROUNDUP(((Tabela359[[#This Row],[Total (cm)]]/$M$6) + ($G$5*Tabela359[[#This Row],[Height Multiplier]])) *Tabela359[[#This Row],[Cable Multiplier]],1)</f>
        <v>10</v>
      </c>
      <c r="N47" s="66" t="s">
        <v>62</v>
      </c>
      <c r="O47" s="66"/>
      <c r="P47" s="45">
        <f>O43+O39+O34+O28</f>
        <v>66</v>
      </c>
    </row>
    <row r="48" spans="2:24" x14ac:dyDescent="0.25">
      <c r="B48" s="21" t="str">
        <f>$B$13</f>
        <v>2.1.8 (CP)</v>
      </c>
      <c r="C48" s="4" t="str">
        <f>_xlfn.CONCAT($B$13," - ", 1)</f>
        <v>2.1.8 (CP) - 1</v>
      </c>
      <c r="D48" s="4">
        <v>0.4</v>
      </c>
      <c r="E48" s="4">
        <v>6.1</v>
      </c>
      <c r="F48" s="4">
        <v>0.3</v>
      </c>
      <c r="G48" s="4">
        <v>1</v>
      </c>
      <c r="H48" s="4">
        <f>Tabela359[[#This Row],[Room Common Point (cm)]]+Tabela359[[#This Row],[Outlet (cm)]]</f>
        <v>6.3999999999999995</v>
      </c>
      <c r="I48" s="4">
        <f>ROUNDUP(Tabela359[[#This Row],[Room Common Point (cm)]]/$M$6,1)</f>
        <v>7.6999999999999993</v>
      </c>
      <c r="J48" s="20">
        <f>ROUNDUP(Tabela359[[#This Row],[Outlet (cm)]]/$M$6,1)</f>
        <v>0.4</v>
      </c>
      <c r="K48" s="4">
        <f>ROUNDUP(((Tabela359[[#This Row],[Total (cm)]]/$M$6) + ($G$5*Tabela359[[#This Row],[Height Multiplier]])) *Tabela359[[#This Row],[Cable Multiplier]],1)</f>
        <v>9</v>
      </c>
      <c r="N48" s="55" t="s">
        <v>69</v>
      </c>
      <c r="O48" s="56"/>
      <c r="P48" s="45">
        <v>3</v>
      </c>
    </row>
    <row r="49" spans="2:17" x14ac:dyDescent="0.25">
      <c r="B49" s="21" t="str">
        <f t="shared" si="2"/>
        <v>2.1.8 (CP)</v>
      </c>
      <c r="C49" s="4" t="str">
        <f>_xlfn.CONCAT($B$13," - ", 2)</f>
        <v>2.1.8 (CP) - 2</v>
      </c>
      <c r="D49" s="4">
        <v>0.4</v>
      </c>
      <c r="E49" s="4">
        <v>6.1</v>
      </c>
      <c r="F49" s="4">
        <v>1</v>
      </c>
      <c r="G49" s="4">
        <v>1</v>
      </c>
      <c r="H49" s="4">
        <f>Tabela359[[#This Row],[Room Common Point (cm)]]+Tabela359[[#This Row],[Outlet (cm)]]</f>
        <v>7.1</v>
      </c>
      <c r="I49" s="4">
        <f>ROUNDUP(Tabela359[[#This Row],[Room Common Point (cm)]]/$M$6,1)</f>
        <v>7.6999999999999993</v>
      </c>
      <c r="J49" s="20">
        <f>ROUNDUP(Tabela359[[#This Row],[Outlet (cm)]]/$M$6,1)</f>
        <v>1.3</v>
      </c>
      <c r="K49" s="4">
        <f>ROUNDUP(((Tabela359[[#This Row],[Total (cm)]]/$M$6) + ($G$5*Tabela359[[#This Row],[Height Multiplier]])) *Tabela359[[#This Row],[Cable Multiplier]],1)</f>
        <v>9.9</v>
      </c>
      <c r="N49" s="66" t="s">
        <v>63</v>
      </c>
      <c r="O49" s="66"/>
      <c r="P49" s="45">
        <v>1</v>
      </c>
    </row>
    <row r="50" spans="2:17" x14ac:dyDescent="0.25">
      <c r="B50" s="21" t="str">
        <f t="shared" si="2"/>
        <v>2.1.8 (CP)</v>
      </c>
      <c r="C50" s="4" t="str">
        <f>_xlfn.CONCAT($B$13," - ", 3)</f>
        <v>2.1.8 (CP) - 3</v>
      </c>
      <c r="D50" s="4">
        <v>0.4</v>
      </c>
      <c r="E50" s="4">
        <v>6.1</v>
      </c>
      <c r="F50" s="4">
        <v>1.8</v>
      </c>
      <c r="G50" s="4">
        <v>1</v>
      </c>
      <c r="H50" s="4">
        <f>Tabela359[[#This Row],[Room Common Point (cm)]]+Tabela359[[#This Row],[Outlet (cm)]]</f>
        <v>7.8999999999999995</v>
      </c>
      <c r="I50" s="4">
        <f>ROUNDUP(Tabela359[[#This Row],[Room Common Point (cm)]]/$M$6,1)</f>
        <v>7.6999999999999993</v>
      </c>
      <c r="J50" s="20">
        <f>ROUNDUP(Tabela359[[#This Row],[Outlet (cm)]]/$M$6,1)</f>
        <v>2.3000000000000003</v>
      </c>
      <c r="K50" s="4">
        <f>ROUNDUP(((Tabela359[[#This Row],[Total (cm)]]/$M$6) + ($G$5*Tabela359[[#This Row],[Height Multiplier]])) *Tabela359[[#This Row],[Cable Multiplier]],1)</f>
        <v>10.9</v>
      </c>
    </row>
    <row r="51" spans="2:17" x14ac:dyDescent="0.25">
      <c r="B51" s="21" t="str">
        <f t="shared" si="2"/>
        <v>2.1.8 (CP)</v>
      </c>
      <c r="C51" s="4" t="str">
        <f>_xlfn.CONCAT($B$13," - ", 4)</f>
        <v>2.1.8 (CP) - 4</v>
      </c>
      <c r="D51" s="4">
        <v>0.4</v>
      </c>
      <c r="E51" s="4">
        <v>6.1</v>
      </c>
      <c r="F51" s="4">
        <v>2.6</v>
      </c>
      <c r="G51" s="4">
        <v>1</v>
      </c>
      <c r="H51" s="4">
        <f>Tabela359[[#This Row],[Room Common Point (cm)]]+Tabela359[[#This Row],[Outlet (cm)]]</f>
        <v>8.6999999999999993</v>
      </c>
      <c r="I51" s="4">
        <f>ROUNDUP(Tabela359[[#This Row],[Room Common Point (cm)]]/$M$6,1)</f>
        <v>7.6999999999999993</v>
      </c>
      <c r="J51" s="20">
        <f>ROUNDUP(Tabela359[[#This Row],[Outlet (cm)]]/$M$6,1)</f>
        <v>3.3000000000000003</v>
      </c>
      <c r="K51" s="4">
        <f>ROUNDUP(((Tabela359[[#This Row],[Total (cm)]]/$M$6) + ($G$5*Tabela359[[#This Row],[Height Multiplier]])) *Tabela359[[#This Row],[Cable Multiplier]],1)</f>
        <v>11.9</v>
      </c>
    </row>
    <row r="52" spans="2:17" x14ac:dyDescent="0.25">
      <c r="B52" s="21" t="str">
        <f t="shared" si="2"/>
        <v>2.1.8 (CP)</v>
      </c>
      <c r="C52" s="4" t="str">
        <f>_xlfn.CONCAT($B$13," - ", 5)</f>
        <v>2.1.8 (CP) - 5</v>
      </c>
      <c r="D52" s="4">
        <v>0.4</v>
      </c>
      <c r="E52" s="4">
        <v>6.1</v>
      </c>
      <c r="F52" s="4">
        <v>3.4</v>
      </c>
      <c r="G52" s="4">
        <v>1</v>
      </c>
      <c r="H52" s="4">
        <f>Tabela359[[#This Row],[Room Common Point (cm)]]+Tabela359[[#This Row],[Outlet (cm)]]</f>
        <v>9.5</v>
      </c>
      <c r="I52" s="4">
        <f>ROUNDUP(Tabela359[[#This Row],[Room Common Point (cm)]]/$M$6,1)</f>
        <v>7.6999999999999993</v>
      </c>
      <c r="J52" s="20">
        <f>ROUNDUP(Tabela359[[#This Row],[Outlet (cm)]]/$M$6,1)</f>
        <v>4.3</v>
      </c>
      <c r="K52" s="4">
        <f>ROUNDUP(((Tabela359[[#This Row],[Total (cm)]]/$M$6) + ($G$5*Tabela359[[#This Row],[Height Multiplier]])) *Tabela359[[#This Row],[Cable Multiplier]],1)</f>
        <v>12.9</v>
      </c>
    </row>
    <row r="53" spans="2:17" x14ac:dyDescent="0.25">
      <c r="B53" s="21" t="str">
        <f>$B$16</f>
        <v>2.1.11 (CP)</v>
      </c>
      <c r="C53" s="4" t="str">
        <f>_xlfn.CONCAT($B$14," - ", 1)</f>
        <v>2.1.9 - 1</v>
      </c>
      <c r="D53" s="4">
        <v>1.6</v>
      </c>
      <c r="E53" s="4">
        <v>4.3</v>
      </c>
      <c r="F53" s="4">
        <v>3</v>
      </c>
      <c r="G53" s="4">
        <v>1</v>
      </c>
      <c r="H53" s="4">
        <f>Tabela359[[#This Row],[Room Common Point (cm)]]+Tabela359[[#This Row],[Outlet (cm)]]</f>
        <v>7.3</v>
      </c>
      <c r="I53" s="4">
        <f>ROUNDUP(Tabela359[[#This Row],[Room Common Point (cm)]]/$M$6,1)</f>
        <v>5.3999999999999995</v>
      </c>
      <c r="J53" s="20">
        <f>ROUNDUP(Tabela359[[#This Row],[Outlet (cm)]]/$M$6,1)</f>
        <v>3.8000000000000003</v>
      </c>
      <c r="K53" s="4">
        <f>ROUNDUP(((Tabela359[[#This Row],[Total (cm)]]/$M$6) + ($G$5*Tabela359[[#This Row],[Height Multiplier]])) *Tabela359[[#This Row],[Cable Multiplier]],1)</f>
        <v>13.2</v>
      </c>
    </row>
    <row r="54" spans="2:17" x14ac:dyDescent="0.25">
      <c r="B54" s="21" t="str">
        <f t="shared" ref="B54:B68" si="3">$B$16</f>
        <v>2.1.11 (CP)</v>
      </c>
      <c r="C54" s="4" t="str">
        <f>_xlfn.CONCAT($B$14," - ", 2)</f>
        <v>2.1.9 - 2</v>
      </c>
      <c r="D54" s="4">
        <v>1.6</v>
      </c>
      <c r="E54" s="4">
        <v>4.3</v>
      </c>
      <c r="F54" s="4">
        <v>2</v>
      </c>
      <c r="G54" s="4">
        <v>1</v>
      </c>
      <c r="H54" s="4">
        <f>Tabela359[[#This Row],[Room Common Point (cm)]]+Tabela359[[#This Row],[Outlet (cm)]]</f>
        <v>6.3</v>
      </c>
      <c r="I54" s="4">
        <f>ROUNDUP(Tabela359[[#This Row],[Room Common Point (cm)]]/$M$6,1)</f>
        <v>5.3999999999999995</v>
      </c>
      <c r="J54" s="20">
        <f>ROUNDUP(Tabela359[[#This Row],[Outlet (cm)]]/$M$6,1)</f>
        <v>2.5</v>
      </c>
      <c r="K54" s="4">
        <f>ROUNDUP(((Tabela359[[#This Row],[Total (cm)]]/$M$6) + ($G$5*Tabela359[[#This Row],[Height Multiplier]])) *Tabela359[[#This Row],[Cable Multiplier]],1)</f>
        <v>11.9</v>
      </c>
      <c r="O54" s="67" t="s">
        <v>72</v>
      </c>
      <c r="P54" s="68"/>
      <c r="Q54" s="44">
        <f>P18+Floor_0!Q12</f>
        <v>87</v>
      </c>
    </row>
    <row r="55" spans="2:17" x14ac:dyDescent="0.25">
      <c r="B55" s="21" t="str">
        <f t="shared" si="3"/>
        <v>2.1.11 (CP)</v>
      </c>
      <c r="C55" s="4" t="str">
        <f>_xlfn.CONCAT($B$14," - ", 3)</f>
        <v>2.1.9 - 3</v>
      </c>
      <c r="D55" s="4">
        <v>1.6</v>
      </c>
      <c r="E55" s="4">
        <v>4.3</v>
      </c>
      <c r="F55" s="4">
        <v>1.2</v>
      </c>
      <c r="G55" s="4">
        <v>1</v>
      </c>
      <c r="H55" s="4">
        <f>Tabela359[[#This Row],[Room Common Point (cm)]]+Tabela359[[#This Row],[Outlet (cm)]]</f>
        <v>5.5</v>
      </c>
      <c r="I55" s="4">
        <f>ROUNDUP(Tabela359[[#This Row],[Room Common Point (cm)]]/$M$6,1)</f>
        <v>5.3999999999999995</v>
      </c>
      <c r="J55" s="20">
        <f>ROUNDUP(Tabela359[[#This Row],[Outlet (cm)]]/$M$6,1)</f>
        <v>1.5</v>
      </c>
      <c r="K55" s="4">
        <f>ROUNDUP(((Tabela359[[#This Row],[Total (cm)]]/$M$6) + ($G$5*Tabela359[[#This Row],[Height Multiplier]])) *Tabela359[[#This Row],[Cable Multiplier]],1)</f>
        <v>10.9</v>
      </c>
      <c r="O55" s="65" t="s">
        <v>70</v>
      </c>
      <c r="P55" s="65"/>
      <c r="Q55" s="45">
        <v>12</v>
      </c>
    </row>
    <row r="56" spans="2:17" x14ac:dyDescent="0.25">
      <c r="B56" s="21" t="str">
        <f t="shared" si="3"/>
        <v>2.1.11 (CP)</v>
      </c>
      <c r="C56" s="4" t="str">
        <f>_xlfn.CONCAT($B$14," - ", 4)</f>
        <v>2.1.9 - 4</v>
      </c>
      <c r="D56" s="4">
        <v>1.6</v>
      </c>
      <c r="E56" s="4">
        <v>4.3</v>
      </c>
      <c r="F56" s="4">
        <v>0.4</v>
      </c>
      <c r="G56" s="4">
        <v>1</v>
      </c>
      <c r="H56" s="4">
        <f>Tabela359[[#This Row],[Room Common Point (cm)]]+Tabela359[[#This Row],[Outlet (cm)]]</f>
        <v>4.7</v>
      </c>
      <c r="I56" s="4">
        <f>ROUNDUP(Tabela359[[#This Row],[Room Common Point (cm)]]/$M$6,1)</f>
        <v>5.3999999999999995</v>
      </c>
      <c r="J56" s="20">
        <f>ROUNDUP(Tabela359[[#This Row],[Outlet (cm)]]/$M$6,1)</f>
        <v>0.5</v>
      </c>
      <c r="K56" s="4">
        <f>ROUNDUP(((Tabela359[[#This Row],[Total (cm)]]/$M$6) + ($G$5*Tabela359[[#This Row],[Height Multiplier]])) *Tabela359[[#This Row],[Cable Multiplier]],1)</f>
        <v>9.9</v>
      </c>
      <c r="O56" s="67" t="s">
        <v>71</v>
      </c>
      <c r="P56" s="68"/>
      <c r="Q56" s="45">
        <f>AB23+Floor_0!W19</f>
        <v>1563</v>
      </c>
    </row>
    <row r="57" spans="2:17" x14ac:dyDescent="0.25">
      <c r="B57" s="21" t="str">
        <f t="shared" si="3"/>
        <v>2.1.11 (CP)</v>
      </c>
      <c r="C57" s="4" t="str">
        <f>_xlfn.CONCAT($B$15," - ", 1)</f>
        <v>2.1.10 - 1</v>
      </c>
      <c r="D57" s="4">
        <v>1.6</v>
      </c>
      <c r="E57" s="4">
        <v>1.8</v>
      </c>
      <c r="F57" s="4">
        <v>3</v>
      </c>
      <c r="G57" s="4">
        <v>1</v>
      </c>
      <c r="H57" s="4">
        <f>Tabela359[[#This Row],[Room Common Point (cm)]]+Tabela359[[#This Row],[Outlet (cm)]]</f>
        <v>4.8</v>
      </c>
      <c r="I57" s="4">
        <f>ROUNDUP(Tabela359[[#This Row],[Room Common Point (cm)]]/$M$6,1)</f>
        <v>2.3000000000000003</v>
      </c>
      <c r="J57" s="20">
        <f>ROUNDUP(Tabela359[[#This Row],[Outlet (cm)]]/$M$6,1)</f>
        <v>3.8000000000000003</v>
      </c>
      <c r="K57" s="4">
        <f>ROUNDUP(((Tabela359[[#This Row],[Total (cm)]]/$M$6) + ($G$5*Tabela359[[#This Row],[Height Multiplier]])) *Tabela359[[#This Row],[Cable Multiplier]],1)</f>
        <v>10</v>
      </c>
      <c r="O57" s="65" t="s">
        <v>57</v>
      </c>
      <c r="P57" s="65"/>
      <c r="Q57" s="45">
        <f>Floor_0!Q41</f>
        <v>1</v>
      </c>
    </row>
    <row r="58" spans="2:17" x14ac:dyDescent="0.25">
      <c r="B58" s="21" t="str">
        <f t="shared" si="3"/>
        <v>2.1.11 (CP)</v>
      </c>
      <c r="C58" s="4" t="str">
        <f>_xlfn.CONCAT($B$15," - ", 2)</f>
        <v>2.1.10 - 2</v>
      </c>
      <c r="D58" s="4">
        <v>1.6</v>
      </c>
      <c r="E58" s="4">
        <v>1.8</v>
      </c>
      <c r="F58" s="4">
        <v>2</v>
      </c>
      <c r="G58" s="4">
        <v>1</v>
      </c>
      <c r="H58" s="4">
        <f>Tabela359[[#This Row],[Room Common Point (cm)]]+Tabela359[[#This Row],[Outlet (cm)]]</f>
        <v>3.8</v>
      </c>
      <c r="I58" s="4">
        <f>ROUNDUP(Tabela359[[#This Row],[Room Common Point (cm)]]/$M$6,1)</f>
        <v>2.3000000000000003</v>
      </c>
      <c r="J58" s="20">
        <f>ROUNDUP(Tabela359[[#This Row],[Outlet (cm)]]/$M$6,1)</f>
        <v>2.5</v>
      </c>
      <c r="K58" s="4">
        <f>ROUNDUP(((Tabela359[[#This Row],[Total (cm)]]/$M$6) + ($G$5*Tabela359[[#This Row],[Height Multiplier]])) *Tabela359[[#This Row],[Cable Multiplier]],1)</f>
        <v>8.7999999999999989</v>
      </c>
      <c r="O58" s="67" t="s">
        <v>55</v>
      </c>
      <c r="P58" s="68"/>
      <c r="Q58" s="45">
        <f>P45+Floor_0!Q42</f>
        <v>3</v>
      </c>
    </row>
    <row r="59" spans="2:17" x14ac:dyDescent="0.25">
      <c r="B59" s="21" t="str">
        <f t="shared" si="3"/>
        <v>2.1.11 (CP)</v>
      </c>
      <c r="C59" s="4" t="str">
        <f>_xlfn.CONCAT($B$15," - ", 3)</f>
        <v>2.1.10 - 3</v>
      </c>
      <c r="D59" s="4">
        <v>1.6</v>
      </c>
      <c r="E59" s="4">
        <v>1.8</v>
      </c>
      <c r="F59" s="4">
        <v>1.2</v>
      </c>
      <c r="G59" s="4">
        <v>1</v>
      </c>
      <c r="H59" s="4">
        <f>Tabela359[[#This Row],[Room Common Point (cm)]]+Tabela359[[#This Row],[Outlet (cm)]]</f>
        <v>3</v>
      </c>
      <c r="I59" s="4">
        <f>ROUNDUP(Tabela359[[#This Row],[Room Common Point (cm)]]/$M$6,1)</f>
        <v>2.3000000000000003</v>
      </c>
      <c r="J59" s="20">
        <f>ROUNDUP(Tabela359[[#This Row],[Outlet (cm)]]/$M$6,1)</f>
        <v>1.5</v>
      </c>
      <c r="K59" s="4">
        <f>ROUNDUP(((Tabela359[[#This Row],[Total (cm)]]/$M$6) + ($G$5*Tabela359[[#This Row],[Height Multiplier]])) *Tabela359[[#This Row],[Cable Multiplier]],1)</f>
        <v>7.8</v>
      </c>
      <c r="O59" s="55" t="s">
        <v>56</v>
      </c>
      <c r="P59" s="56"/>
      <c r="Q59" s="45">
        <f>P46+Floor_0!Q43</f>
        <v>3</v>
      </c>
    </row>
    <row r="60" spans="2:17" x14ac:dyDescent="0.25">
      <c r="B60" s="21" t="str">
        <f t="shared" si="3"/>
        <v>2.1.11 (CP)</v>
      </c>
      <c r="C60" s="4" t="str">
        <f>_xlfn.CONCAT($B$15," - ", 4)</f>
        <v>2.1.10 - 4</v>
      </c>
      <c r="D60" s="4">
        <v>1.6</v>
      </c>
      <c r="E60" s="4">
        <v>1.8</v>
      </c>
      <c r="F60" s="4">
        <v>0.4</v>
      </c>
      <c r="G60" s="4">
        <v>1</v>
      </c>
      <c r="H60" s="4">
        <f>Tabela359[[#This Row],[Room Common Point (cm)]]+Tabela359[[#This Row],[Outlet (cm)]]</f>
        <v>2.2000000000000002</v>
      </c>
      <c r="I60" s="4">
        <f>ROUNDUP(Tabela359[[#This Row],[Room Common Point (cm)]]/$M$6,1)</f>
        <v>2.3000000000000003</v>
      </c>
      <c r="J60" s="20">
        <f>ROUNDUP(Tabela359[[#This Row],[Outlet (cm)]]/$M$6,1)</f>
        <v>0.5</v>
      </c>
      <c r="K60" s="4">
        <f>ROUNDUP(((Tabela359[[#This Row],[Total (cm)]]/$M$6) + ($G$5*Tabela359[[#This Row],[Height Multiplier]])) *Tabela359[[#This Row],[Cable Multiplier]],1)</f>
        <v>6.8</v>
      </c>
      <c r="O60" s="66" t="s">
        <v>62</v>
      </c>
      <c r="P60" s="66"/>
      <c r="Q60" s="45">
        <f>P47+Floor_0!Q44</f>
        <v>127</v>
      </c>
    </row>
    <row r="61" spans="2:17" x14ac:dyDescent="0.25">
      <c r="B61" s="21" t="str">
        <f t="shared" si="3"/>
        <v>2.1.11 (CP)</v>
      </c>
      <c r="C61" s="4" t="str">
        <f>_xlfn.CONCAT($B$16," - ", 1)</f>
        <v>2.1.11 (CP) - 1</v>
      </c>
      <c r="D61" s="4">
        <v>0.4</v>
      </c>
      <c r="E61" s="4">
        <v>1.1000000000000001</v>
      </c>
      <c r="F61" s="4">
        <v>3</v>
      </c>
      <c r="G61" s="4">
        <v>1</v>
      </c>
      <c r="H61" s="4">
        <f>Tabela359[[#This Row],[Room Common Point (cm)]]+Tabela359[[#This Row],[Outlet (cm)]]</f>
        <v>4.0999999999999996</v>
      </c>
      <c r="I61" s="4">
        <f>ROUNDUP(Tabela359[[#This Row],[Room Common Point (cm)]]/$M$6,1)</f>
        <v>1.4000000000000001</v>
      </c>
      <c r="J61" s="20">
        <f>ROUNDUP(Tabela359[[#This Row],[Outlet (cm)]]/$M$6,1)</f>
        <v>3.8000000000000003</v>
      </c>
      <c r="K61" s="4">
        <f>ROUNDUP(((Tabela359[[#This Row],[Total (cm)]]/$M$6) + ($G$5*Tabela359[[#This Row],[Height Multiplier]])) *Tabela359[[#This Row],[Cable Multiplier]],1)</f>
        <v>6.1999999999999993</v>
      </c>
      <c r="O61" s="55" t="s">
        <v>69</v>
      </c>
      <c r="P61" s="56"/>
      <c r="Q61" s="45">
        <f>P48</f>
        <v>3</v>
      </c>
    </row>
    <row r="62" spans="2:17" x14ac:dyDescent="0.25">
      <c r="B62" s="21" t="str">
        <f t="shared" si="3"/>
        <v>2.1.11 (CP)</v>
      </c>
      <c r="C62" s="4" t="str">
        <f>_xlfn.CONCAT($B$16," - ", 2)</f>
        <v>2.1.11 (CP) - 2</v>
      </c>
      <c r="D62" s="4">
        <v>0.4</v>
      </c>
      <c r="E62" s="4">
        <v>1.1000000000000001</v>
      </c>
      <c r="F62" s="4">
        <v>2</v>
      </c>
      <c r="G62" s="4">
        <v>1</v>
      </c>
      <c r="H62" s="4">
        <f>Tabela359[[#This Row],[Room Common Point (cm)]]+Tabela359[[#This Row],[Outlet (cm)]]</f>
        <v>3.1</v>
      </c>
      <c r="I62" s="4">
        <f>ROUNDUP(Tabela359[[#This Row],[Room Common Point (cm)]]/$M$6,1)</f>
        <v>1.4000000000000001</v>
      </c>
      <c r="J62" s="20">
        <f>ROUNDUP(Tabela359[[#This Row],[Outlet (cm)]]/$M$6,1)</f>
        <v>2.5</v>
      </c>
      <c r="K62" s="4">
        <f>ROUNDUP(((Tabela359[[#This Row],[Total (cm)]]/$M$6) + ($G$5*Tabela359[[#This Row],[Height Multiplier]])) *Tabela359[[#This Row],[Cable Multiplier]],1)</f>
        <v>4.8999999999999995</v>
      </c>
      <c r="O62" s="66" t="s">
        <v>63</v>
      </c>
      <c r="P62" s="66"/>
      <c r="Q62" s="45">
        <f>P49+Floor_0!Q45</f>
        <v>4</v>
      </c>
    </row>
    <row r="63" spans="2:17" x14ac:dyDescent="0.25">
      <c r="B63" s="21" t="str">
        <f t="shared" si="3"/>
        <v>2.1.11 (CP)</v>
      </c>
      <c r="C63" s="4" t="str">
        <f>_xlfn.CONCAT($B$16," - ", 3)</f>
        <v>2.1.11 (CP) - 3</v>
      </c>
      <c r="D63" s="4">
        <v>0.4</v>
      </c>
      <c r="E63" s="4">
        <v>1.1000000000000001</v>
      </c>
      <c r="F63" s="4">
        <v>1.2</v>
      </c>
      <c r="G63" s="4">
        <v>1</v>
      </c>
      <c r="H63" s="4">
        <f>Tabela359[[#This Row],[Room Common Point (cm)]]+Tabela359[[#This Row],[Outlet (cm)]]</f>
        <v>2.2999999999999998</v>
      </c>
      <c r="I63" s="4">
        <f>ROUNDUP(Tabela359[[#This Row],[Room Common Point (cm)]]/$M$6,1)</f>
        <v>1.4000000000000001</v>
      </c>
      <c r="J63" s="20">
        <f>ROUNDUP(Tabela359[[#This Row],[Outlet (cm)]]/$M$6,1)</f>
        <v>1.5</v>
      </c>
      <c r="K63" s="4">
        <f>ROUNDUP(((Tabela359[[#This Row],[Total (cm)]]/$M$6) + ($G$5*Tabela359[[#This Row],[Height Multiplier]])) *Tabela359[[#This Row],[Cable Multiplier]],1)</f>
        <v>3.9</v>
      </c>
    </row>
    <row r="64" spans="2:17" x14ac:dyDescent="0.25">
      <c r="B64" s="21" t="str">
        <f t="shared" si="3"/>
        <v>2.1.11 (CP)</v>
      </c>
      <c r="C64" s="4" t="str">
        <f>_xlfn.CONCAT($B$16," - ", 4)</f>
        <v>2.1.11 (CP) - 4</v>
      </c>
      <c r="D64" s="4">
        <v>0.4</v>
      </c>
      <c r="E64" s="4">
        <v>1.1000000000000001</v>
      </c>
      <c r="F64" s="4">
        <v>0.4</v>
      </c>
      <c r="G64" s="4">
        <v>1</v>
      </c>
      <c r="H64" s="4">
        <f>Tabela359[[#This Row],[Room Common Point (cm)]]+Tabela359[[#This Row],[Outlet (cm)]]</f>
        <v>1.5</v>
      </c>
      <c r="I64" s="4">
        <f>ROUNDUP(Tabela359[[#This Row],[Room Common Point (cm)]]/$M$6,1)</f>
        <v>1.4000000000000001</v>
      </c>
      <c r="J64" s="20">
        <f>ROUNDUP(Tabela359[[#This Row],[Outlet (cm)]]/$M$6,1)</f>
        <v>0.5</v>
      </c>
      <c r="K64" s="4">
        <f>ROUNDUP(((Tabela359[[#This Row],[Total (cm)]]/$M$6) + ($G$5*Tabela359[[#This Row],[Height Multiplier]])) *Tabela359[[#This Row],[Cable Multiplier]],1)</f>
        <v>2.9</v>
      </c>
    </row>
    <row r="65" spans="2:11" x14ac:dyDescent="0.25">
      <c r="B65" s="21" t="str">
        <f t="shared" si="3"/>
        <v>2.1.11 (CP)</v>
      </c>
      <c r="C65" s="4" t="str">
        <f>_xlfn.CONCAT($B$17," - ", 1)</f>
        <v>2.1.12 - 1</v>
      </c>
      <c r="D65" s="4">
        <v>1.6</v>
      </c>
      <c r="E65" s="4">
        <v>4</v>
      </c>
      <c r="F65" s="4">
        <v>3</v>
      </c>
      <c r="G65" s="4">
        <v>1</v>
      </c>
      <c r="H65" s="4">
        <f>Tabela359[[#This Row],[Room Common Point (cm)]]+Tabela359[[#This Row],[Outlet (cm)]]</f>
        <v>7</v>
      </c>
      <c r="I65" s="4">
        <f>ROUNDUP(Tabela359[[#This Row],[Room Common Point (cm)]]/$M$6,1)</f>
        <v>5</v>
      </c>
      <c r="J65" s="20">
        <f>ROUNDUP(Tabela359[[#This Row],[Outlet (cm)]]/$M$6,1)</f>
        <v>3.8000000000000003</v>
      </c>
      <c r="K65" s="4">
        <f>ROUNDUP(((Tabela359[[#This Row],[Total (cm)]]/$M$6) + ($G$5*Tabela359[[#This Row],[Height Multiplier]])) *Tabela359[[#This Row],[Cable Multiplier]],1)</f>
        <v>12.799999999999999</v>
      </c>
    </row>
    <row r="66" spans="2:11" x14ac:dyDescent="0.25">
      <c r="B66" s="21" t="str">
        <f t="shared" si="3"/>
        <v>2.1.11 (CP)</v>
      </c>
      <c r="C66" s="4" t="str">
        <f>_xlfn.CONCAT($B$17," - ", 2)</f>
        <v>2.1.12 - 2</v>
      </c>
      <c r="D66" s="4">
        <v>1.6</v>
      </c>
      <c r="E66" s="4">
        <v>4</v>
      </c>
      <c r="F66" s="4">
        <v>2</v>
      </c>
      <c r="G66" s="4">
        <v>1</v>
      </c>
      <c r="H66" s="20">
        <f>Tabela359[[#This Row],[Room Common Point (cm)]]+Tabela359[[#This Row],[Outlet (cm)]]</f>
        <v>6</v>
      </c>
      <c r="I66" s="20">
        <f>ROUNDUP(Tabela359[[#This Row],[Room Common Point (cm)]]/$M$6,1)</f>
        <v>5</v>
      </c>
      <c r="J66" s="20">
        <f>ROUNDUP(Tabela359[[#This Row],[Outlet (cm)]]/$M$6,1)</f>
        <v>2.5</v>
      </c>
      <c r="K66" s="20">
        <f>ROUNDUP(((Tabela359[[#This Row],[Total (cm)]]/$M$6) + ($G$5*Tabela359[[#This Row],[Height Multiplier]])) *Tabela359[[#This Row],[Cable Multiplier]],1)</f>
        <v>11.5</v>
      </c>
    </row>
    <row r="67" spans="2:11" x14ac:dyDescent="0.25">
      <c r="B67" s="21" t="str">
        <f t="shared" si="3"/>
        <v>2.1.11 (CP)</v>
      </c>
      <c r="C67" s="4" t="str">
        <f>_xlfn.CONCAT($B$17," - ", 3)</f>
        <v>2.1.12 - 3</v>
      </c>
      <c r="D67" s="4">
        <v>1.6</v>
      </c>
      <c r="E67" s="4">
        <v>4</v>
      </c>
      <c r="F67" s="4">
        <v>1.2</v>
      </c>
      <c r="G67" s="4">
        <v>1</v>
      </c>
      <c r="H67" s="4">
        <f>Tabela359[[#This Row],[Room Common Point (cm)]]+Tabela359[[#This Row],[Outlet (cm)]]</f>
        <v>5.2</v>
      </c>
      <c r="I67" s="4">
        <f>ROUNDUP(Tabela359[[#This Row],[Room Common Point (cm)]]/$M$6,1)</f>
        <v>5</v>
      </c>
      <c r="J67" s="20">
        <f>ROUNDUP(Tabela359[[#This Row],[Outlet (cm)]]/$M$6,1)</f>
        <v>1.5</v>
      </c>
      <c r="K67" s="4">
        <f>ROUNDUP(((Tabela359[[#This Row],[Total (cm)]]/$M$6) + ($G$5*Tabela359[[#This Row],[Height Multiplier]])) *Tabela359[[#This Row],[Cable Multiplier]],1)</f>
        <v>10.5</v>
      </c>
    </row>
    <row r="68" spans="2:11" x14ac:dyDescent="0.25">
      <c r="B68" s="21" t="str">
        <f t="shared" si="3"/>
        <v>2.1.11 (CP)</v>
      </c>
      <c r="C68" s="4" t="str">
        <f>_xlfn.CONCAT($B$17," - ", 4)</f>
        <v>2.1.12 - 4</v>
      </c>
      <c r="D68" s="4">
        <v>1.6</v>
      </c>
      <c r="E68" s="4">
        <v>4</v>
      </c>
      <c r="F68" s="4">
        <v>0.4</v>
      </c>
      <c r="G68" s="4">
        <v>1</v>
      </c>
      <c r="H68" s="20">
        <f>Tabela359[[#This Row],[Room Common Point (cm)]]+Tabela359[[#This Row],[Outlet (cm)]]</f>
        <v>4.4000000000000004</v>
      </c>
      <c r="I68" s="20">
        <f>ROUNDUP(Tabela359[[#This Row],[Room Common Point (cm)]]/$M$6,1)</f>
        <v>5</v>
      </c>
      <c r="J68" s="20">
        <f>ROUNDUP(Tabela359[[#This Row],[Outlet (cm)]]/$M$6,1)</f>
        <v>0.5</v>
      </c>
      <c r="K68" s="20">
        <f>ROUNDUP(((Tabela359[[#This Row],[Total (cm)]]/$M$6) + ($G$5*Tabela359[[#This Row],[Height Multiplier]])) *Tabela359[[#This Row],[Cable Multiplier]],1)</f>
        <v>9.5</v>
      </c>
    </row>
    <row r="69" spans="2:11" x14ac:dyDescent="0.25">
      <c r="B69" s="29" t="str">
        <f>$B$13</f>
        <v>2.1.8 (CP)</v>
      </c>
      <c r="C69" s="20" t="s">
        <v>48</v>
      </c>
      <c r="D69" s="4">
        <v>0.6</v>
      </c>
      <c r="E69" s="4">
        <v>0</v>
      </c>
      <c r="F69" s="4">
        <v>4.0999999999999996</v>
      </c>
      <c r="G69" s="4">
        <v>1</v>
      </c>
      <c r="H69" s="20">
        <f>Tabela359[[#This Row],[Room Common Point (cm)]]+Tabela359[[#This Row],[Outlet (cm)]]</f>
        <v>4.0999999999999996</v>
      </c>
      <c r="I69" s="20">
        <f>ROUNDUP(Tabela359[[#This Row],[Room Common Point (cm)]]/$M$6,1)</f>
        <v>0</v>
      </c>
      <c r="J69" s="20">
        <f>ROUNDUP(Tabela359[[#This Row],[Outlet (cm)]]/$M$6,1)</f>
        <v>5.1999999999999993</v>
      </c>
      <c r="K69" s="20">
        <f>ROUNDUP(((Tabela359[[#This Row],[Total (cm)]]/$M$6) + ($G$5*Tabela359[[#This Row],[Height Multiplier]])) *Tabela359[[#This Row],[Cable Multiplier]],1)</f>
        <v>6.6999999999999993</v>
      </c>
    </row>
  </sheetData>
  <mergeCells count="69">
    <mergeCell ref="O57:P57"/>
    <mergeCell ref="O56:P56"/>
    <mergeCell ref="O55:P55"/>
    <mergeCell ref="O54:P54"/>
    <mergeCell ref="O58:P58"/>
    <mergeCell ref="O59:P59"/>
    <mergeCell ref="O60:P60"/>
    <mergeCell ref="O61:P61"/>
    <mergeCell ref="O62:P62"/>
    <mergeCell ref="N47:O47"/>
    <mergeCell ref="N49:O49"/>
    <mergeCell ref="N41:O41"/>
    <mergeCell ref="Q41:R41"/>
    <mergeCell ref="S41:T41"/>
    <mergeCell ref="N42:O42"/>
    <mergeCell ref="Q42:R42"/>
    <mergeCell ref="S42:T42"/>
    <mergeCell ref="P43:U43"/>
    <mergeCell ref="N48:O48"/>
    <mergeCell ref="P39:U39"/>
    <mergeCell ref="W39:X39"/>
    <mergeCell ref="N45:O45"/>
    <mergeCell ref="N46:O46"/>
    <mergeCell ref="U41:V41"/>
    <mergeCell ref="W41:X41"/>
    <mergeCell ref="U42:V42"/>
    <mergeCell ref="W42:X42"/>
    <mergeCell ref="W43:X43"/>
    <mergeCell ref="N38:O38"/>
    <mergeCell ref="Q38:R38"/>
    <mergeCell ref="S38:T38"/>
    <mergeCell ref="U38:V38"/>
    <mergeCell ref="W38:X38"/>
    <mergeCell ref="P34:U34"/>
    <mergeCell ref="W34:X34"/>
    <mergeCell ref="N37:O37"/>
    <mergeCell ref="Q37:R37"/>
    <mergeCell ref="S37:T37"/>
    <mergeCell ref="U37:V37"/>
    <mergeCell ref="W37:X37"/>
    <mergeCell ref="N33:O33"/>
    <mergeCell ref="Q33:R33"/>
    <mergeCell ref="S33:T33"/>
    <mergeCell ref="U33:V33"/>
    <mergeCell ref="W33:X33"/>
    <mergeCell ref="P28:U28"/>
    <mergeCell ref="W28:X28"/>
    <mergeCell ref="N32:O32"/>
    <mergeCell ref="Q32:R32"/>
    <mergeCell ref="S32:T32"/>
    <mergeCell ref="U32:V32"/>
    <mergeCell ref="W32:X32"/>
    <mergeCell ref="N27:O27"/>
    <mergeCell ref="Q27:R27"/>
    <mergeCell ref="S27:T27"/>
    <mergeCell ref="U27:V27"/>
    <mergeCell ref="W27:X27"/>
    <mergeCell ref="N26:O26"/>
    <mergeCell ref="Q26:R26"/>
    <mergeCell ref="S26:T26"/>
    <mergeCell ref="U26:V26"/>
    <mergeCell ref="W26:X26"/>
    <mergeCell ref="A1:T2"/>
    <mergeCell ref="K8:L8"/>
    <mergeCell ref="K9:L9"/>
    <mergeCell ref="E20:K20"/>
    <mergeCell ref="R7:S7"/>
    <mergeCell ref="R8:S8"/>
    <mergeCell ref="R9:S9"/>
  </mergeCells>
  <phoneticPr fontId="2" type="noConversion"/>
  <pageMargins left="0.7" right="0.7" top="0.75" bottom="0.75" header="0.3" footer="0.3"/>
  <pageSetup paperSize="9" orientation="portrait" r:id="rId1"/>
  <ignoredErrors>
    <ignoredError sqref="P26 P32 P37 P41" numberStoredAsText="1"/>
    <ignoredError sqref="N27" formulaRange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22CFCC-E874-4B61-8E87-E97B5F411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Floor_0</vt:lpstr>
      <vt:lpstr>Floor_1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2022-03-10T14:21:50Z</dcterms:created>
  <dcterms:modified xsi:type="dcterms:W3CDTF">2022-03-20T19:37:35Z</dcterms:modified>
</cp:coreProperties>
</file>