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rafael/Documents/ISEP/RCOMP/rcomp-21-22-na-g2/doc/sprint1/1181357/Attachments/"/>
    </mc:Choice>
  </mc:AlternateContent>
  <xr:revisionPtr revIDLastSave="0" documentId="13_ncr:1_{921BF0FC-8C91-4440-A312-DEBFFCCA7D65}" xr6:coauthVersionLast="47" xr6:coauthVersionMax="47" xr10:uidLastSave="{00000000-0000-0000-0000-000000000000}"/>
  <bookViews>
    <workbookView xWindow="0" yWindow="0" windowWidth="28800" windowHeight="18000" activeTab="3" xr2:uid="{56CCEA9F-D370-4503-AFC9-E32E892DE912}"/>
  </bookViews>
  <sheets>
    <sheet name="Floor_0" sheetId="1" r:id="rId1"/>
    <sheet name="Floor_1" sheetId="2" r:id="rId2"/>
    <sheet name="Floor0_CableCalculations" sheetId="4" r:id="rId3"/>
    <sheet name="Totals" sheetId="6" r:id="rId4"/>
    <sheet name="Floor1_CableCalcul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" i="6" l="1"/>
  <c r="D74" i="6"/>
  <c r="D67" i="6"/>
  <c r="D70" i="6"/>
  <c r="D69" i="6"/>
  <c r="D72" i="6"/>
  <c r="D68" i="6"/>
  <c r="F72" i="5"/>
  <c r="H72" i="5" s="1"/>
  <c r="H71" i="5"/>
  <c r="F71" i="5"/>
  <c r="F70" i="5"/>
  <c r="H70" i="5" s="1"/>
  <c r="F69" i="5"/>
  <c r="H69" i="5" s="1"/>
  <c r="H68" i="5"/>
  <c r="F68" i="5"/>
  <c r="H67" i="5"/>
  <c r="F67" i="5"/>
  <c r="F66" i="5"/>
  <c r="H66" i="5" s="1"/>
  <c r="F65" i="5"/>
  <c r="F64" i="5"/>
  <c r="H64" i="5" s="1"/>
  <c r="F63" i="5"/>
  <c r="H63" i="5" s="1"/>
  <c r="F62" i="5"/>
  <c r="H62" i="5" s="1"/>
  <c r="H61" i="5"/>
  <c r="F60" i="5"/>
  <c r="F59" i="5"/>
  <c r="H59" i="5" s="1"/>
  <c r="F58" i="5"/>
  <c r="H58" i="5" s="1"/>
  <c r="F57" i="5"/>
  <c r="H57" i="5" s="1"/>
  <c r="F56" i="5"/>
  <c r="H56" i="5" s="1"/>
  <c r="H55" i="5"/>
  <c r="F55" i="5"/>
  <c r="H54" i="5"/>
  <c r="F54" i="5"/>
  <c r="F53" i="5"/>
  <c r="H53" i="5" s="1"/>
  <c r="F52" i="5"/>
  <c r="H51" i="5"/>
  <c r="H50" i="5"/>
  <c r="F50" i="5"/>
  <c r="H49" i="5"/>
  <c r="F49" i="5"/>
  <c r="H48" i="5"/>
  <c r="F48" i="5"/>
  <c r="F47" i="5"/>
  <c r="F46" i="5"/>
  <c r="H46" i="5" s="1"/>
  <c r="F45" i="5"/>
  <c r="H45" i="5" s="1"/>
  <c r="F44" i="5"/>
  <c r="H44" i="5" s="1"/>
  <c r="F43" i="5"/>
  <c r="H43" i="5" s="1"/>
  <c r="H42" i="5"/>
  <c r="F42" i="5"/>
  <c r="H41" i="5"/>
  <c r="F41" i="5"/>
  <c r="H40" i="5"/>
  <c r="F39" i="5"/>
  <c r="H39" i="5" s="1"/>
  <c r="F38" i="5"/>
  <c r="H38" i="5" s="1"/>
  <c r="H37" i="5"/>
  <c r="F37" i="5"/>
  <c r="H36" i="5"/>
  <c r="F36" i="5"/>
  <c r="F34" i="5"/>
  <c r="F33" i="5"/>
  <c r="H33" i="5" s="1"/>
  <c r="F32" i="5"/>
  <c r="H32" i="5" s="1"/>
  <c r="F31" i="5"/>
  <c r="H31" i="5" s="1"/>
  <c r="F30" i="5"/>
  <c r="H30" i="5" s="1"/>
  <c r="H28" i="5"/>
  <c r="F28" i="5"/>
  <c r="F29" i="5" s="1"/>
  <c r="H29" i="5" s="1"/>
  <c r="F27" i="5"/>
  <c r="H27" i="5" s="1"/>
  <c r="F26" i="5"/>
  <c r="F25" i="5"/>
  <c r="H25" i="5" s="1"/>
  <c r="H24" i="5"/>
  <c r="H23" i="5"/>
  <c r="H22" i="5"/>
  <c r="H21" i="5"/>
  <c r="F21" i="5"/>
  <c r="F20" i="5"/>
  <c r="H20" i="5" s="1"/>
  <c r="F19" i="5"/>
  <c r="H18" i="5"/>
  <c r="D16" i="5"/>
  <c r="K72" i="5" s="1"/>
  <c r="F68" i="4"/>
  <c r="H68" i="4" s="1"/>
  <c r="F67" i="4"/>
  <c r="H67" i="4" s="1"/>
  <c r="F66" i="4"/>
  <c r="H66" i="4" s="1"/>
  <c r="F65" i="4"/>
  <c r="H65" i="4" s="1"/>
  <c r="F64" i="4"/>
  <c r="H64" i="4" s="1"/>
  <c r="H63" i="4"/>
  <c r="H62" i="4"/>
  <c r="F62" i="4"/>
  <c r="H61" i="4"/>
  <c r="F60" i="4"/>
  <c r="H60" i="4" s="1"/>
  <c r="F59" i="4"/>
  <c r="H59" i="4" s="1"/>
  <c r="F58" i="4"/>
  <c r="H58" i="4" s="1"/>
  <c r="F57" i="4"/>
  <c r="H57" i="4" s="1"/>
  <c r="H56" i="4"/>
  <c r="F55" i="4"/>
  <c r="H55" i="4" s="1"/>
  <c r="H54" i="4"/>
  <c r="F53" i="4"/>
  <c r="H53" i="4" s="1"/>
  <c r="H52" i="4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H44" i="4"/>
  <c r="H43" i="4"/>
  <c r="F42" i="4"/>
  <c r="H42" i="4" s="1"/>
  <c r="F41" i="4"/>
  <c r="H41" i="4" s="1"/>
  <c r="F40" i="4"/>
  <c r="H40" i="4" s="1"/>
  <c r="F39" i="4"/>
  <c r="H39" i="4" s="1"/>
  <c r="F38" i="4"/>
  <c r="H38" i="4" s="1"/>
  <c r="H37" i="4"/>
  <c r="F34" i="4"/>
  <c r="H34" i="4" s="1"/>
  <c r="F33" i="4"/>
  <c r="H33" i="4" s="1"/>
  <c r="F32" i="4"/>
  <c r="F35" i="4" s="1"/>
  <c r="H35" i="4" s="1"/>
  <c r="H31" i="4"/>
  <c r="H30" i="4"/>
  <c r="F29" i="4"/>
  <c r="H29" i="4" s="1"/>
  <c r="F28" i="4"/>
  <c r="H28" i="4" s="1"/>
  <c r="H27" i="4"/>
  <c r="H26" i="4"/>
  <c r="H25" i="4"/>
  <c r="F24" i="4"/>
  <c r="H24" i="4" s="1"/>
  <c r="H23" i="4"/>
  <c r="H22" i="4"/>
  <c r="H21" i="4"/>
  <c r="H20" i="4"/>
  <c r="H19" i="4"/>
  <c r="C19" i="4"/>
  <c r="D17" i="4"/>
  <c r="I19" i="4" s="1"/>
  <c r="I31" i="5" l="1"/>
  <c r="J48" i="5"/>
  <c r="J65" i="5"/>
  <c r="J52" i="5"/>
  <c r="J26" i="5"/>
  <c r="I44" i="5"/>
  <c r="K40" i="5"/>
  <c r="K69" i="5"/>
  <c r="K56" i="5"/>
  <c r="H32" i="4"/>
  <c r="F36" i="4"/>
  <c r="H36" i="4" s="1"/>
  <c r="I22" i="5"/>
  <c r="K66" i="5"/>
  <c r="I37" i="5"/>
  <c r="J66" i="5"/>
  <c r="J19" i="5"/>
  <c r="J45" i="5"/>
  <c r="K20" i="5"/>
  <c r="K42" i="5"/>
  <c r="I58" i="5"/>
  <c r="K37" i="5"/>
  <c r="K53" i="5"/>
  <c r="J27" i="5"/>
  <c r="J53" i="5"/>
  <c r="K38" i="5"/>
  <c r="J20" i="5"/>
  <c r="I24" i="5"/>
  <c r="I29" i="5"/>
  <c r="J34" i="5"/>
  <c r="I39" i="5"/>
  <c r="I42" i="5"/>
  <c r="J47" i="5"/>
  <c r="K50" i="5"/>
  <c r="J58" i="5"/>
  <c r="I63" i="5"/>
  <c r="I71" i="5"/>
  <c r="K27" i="5"/>
  <c r="K61" i="5"/>
  <c r="J22" i="5"/>
  <c r="I45" i="5"/>
  <c r="I57" i="5"/>
  <c r="J32" i="5"/>
  <c r="J24" i="5"/>
  <c r="K30" i="5"/>
  <c r="K43" i="5"/>
  <c r="I50" i="5"/>
  <c r="K55" i="5"/>
  <c r="J63" i="5"/>
  <c r="K68" i="5"/>
  <c r="J71" i="5"/>
  <c r="K48" i="5"/>
  <c r="I32" i="5"/>
  <c r="I70" i="5"/>
  <c r="K29" i="5"/>
  <c r="I62" i="5"/>
  <c r="J40" i="5"/>
  <c r="I55" i="5"/>
  <c r="J60" i="5"/>
  <c r="I68" i="5"/>
  <c r="H26" i="5"/>
  <c r="H34" i="5"/>
  <c r="K34" i="5" s="1"/>
  <c r="H52" i="5"/>
  <c r="K52" i="5" s="1"/>
  <c r="H60" i="5"/>
  <c r="K60" i="5" s="1"/>
  <c r="H65" i="5"/>
  <c r="K65" i="5" s="1"/>
  <c r="I19" i="5"/>
  <c r="K22" i="5"/>
  <c r="K24" i="5"/>
  <c r="I26" i="5"/>
  <c r="J29" i="5"/>
  <c r="K32" i="5"/>
  <c r="I34" i="5"/>
  <c r="J37" i="5"/>
  <c r="J42" i="5"/>
  <c r="K45" i="5"/>
  <c r="I47" i="5"/>
  <c r="J50" i="5"/>
  <c r="I52" i="5"/>
  <c r="J55" i="5"/>
  <c r="K58" i="5"/>
  <c r="I60" i="5"/>
  <c r="K63" i="5"/>
  <c r="I65" i="5"/>
  <c r="J68" i="5"/>
  <c r="K71" i="5"/>
  <c r="H47" i="5"/>
  <c r="I21" i="5"/>
  <c r="I23" i="5"/>
  <c r="K26" i="5"/>
  <c r="I28" i="5"/>
  <c r="J31" i="5"/>
  <c r="I36" i="5"/>
  <c r="J39" i="5"/>
  <c r="I41" i="5"/>
  <c r="J44" i="5"/>
  <c r="K47" i="5"/>
  <c r="I49" i="5"/>
  <c r="I54" i="5"/>
  <c r="J57" i="5"/>
  <c r="J62" i="5"/>
  <c r="I67" i="5"/>
  <c r="J70" i="5"/>
  <c r="I18" i="5"/>
  <c r="J21" i="5"/>
  <c r="J23" i="5"/>
  <c r="I25" i="5"/>
  <c r="J28" i="5"/>
  <c r="K31" i="5"/>
  <c r="I33" i="5"/>
  <c r="F35" i="5"/>
  <c r="J36" i="5"/>
  <c r="K39" i="5"/>
  <c r="J41" i="5"/>
  <c r="K44" i="5"/>
  <c r="I46" i="5"/>
  <c r="J49" i="5"/>
  <c r="I51" i="5"/>
  <c r="J54" i="5"/>
  <c r="K57" i="5"/>
  <c r="I59" i="5"/>
  <c r="K62" i="5"/>
  <c r="I64" i="5"/>
  <c r="J67" i="5"/>
  <c r="K70" i="5"/>
  <c r="I72" i="5"/>
  <c r="H19" i="5"/>
  <c r="K19" i="5" s="1"/>
  <c r="J18" i="5"/>
  <c r="K21" i="5"/>
  <c r="K23" i="5"/>
  <c r="J25" i="5"/>
  <c r="K28" i="5"/>
  <c r="I30" i="5"/>
  <c r="J33" i="5"/>
  <c r="K36" i="5"/>
  <c r="I38" i="5"/>
  <c r="K41" i="5"/>
  <c r="I43" i="5"/>
  <c r="J46" i="5"/>
  <c r="K49" i="5"/>
  <c r="J51" i="5"/>
  <c r="K54" i="5"/>
  <c r="I56" i="5"/>
  <c r="J59" i="5"/>
  <c r="I61" i="5"/>
  <c r="J64" i="5"/>
  <c r="K67" i="5"/>
  <c r="I69" i="5"/>
  <c r="J72" i="5"/>
  <c r="K18" i="5"/>
  <c r="I20" i="5"/>
  <c r="K25" i="5"/>
  <c r="I27" i="5"/>
  <c r="J30" i="5"/>
  <c r="K33" i="5"/>
  <c r="I35" i="5"/>
  <c r="J38" i="5"/>
  <c r="I40" i="5"/>
  <c r="J43" i="5"/>
  <c r="K46" i="5"/>
  <c r="I48" i="5"/>
  <c r="K51" i="5"/>
  <c r="I53" i="5"/>
  <c r="J56" i="5"/>
  <c r="K59" i="5"/>
  <c r="J61" i="5"/>
  <c r="K64" i="5"/>
  <c r="I66" i="5"/>
  <c r="J69" i="5"/>
  <c r="K68" i="4"/>
  <c r="J65" i="4"/>
  <c r="I60" i="4"/>
  <c r="K58" i="4"/>
  <c r="I55" i="4"/>
  <c r="J53" i="4"/>
  <c r="K51" i="4"/>
  <c r="J48" i="4"/>
  <c r="I45" i="4"/>
  <c r="J43" i="4"/>
  <c r="K41" i="4"/>
  <c r="J38" i="4"/>
  <c r="K36" i="4"/>
  <c r="J33" i="4"/>
  <c r="I28" i="4"/>
  <c r="J26" i="4"/>
  <c r="J24" i="4"/>
  <c r="K22" i="4"/>
  <c r="K20" i="4"/>
  <c r="K64" i="4"/>
  <c r="J44" i="4"/>
  <c r="J37" i="4"/>
  <c r="K45" i="4"/>
  <c r="J68" i="4"/>
  <c r="I65" i="4"/>
  <c r="K63" i="4"/>
  <c r="J58" i="4"/>
  <c r="I53" i="4"/>
  <c r="J51" i="4"/>
  <c r="I48" i="4"/>
  <c r="K46" i="4"/>
  <c r="I43" i="4"/>
  <c r="J41" i="4"/>
  <c r="I38" i="4"/>
  <c r="J36" i="4"/>
  <c r="I33" i="4"/>
  <c r="K31" i="4"/>
  <c r="K29" i="4"/>
  <c r="I26" i="4"/>
  <c r="I24" i="4"/>
  <c r="J22" i="4"/>
  <c r="J20" i="4"/>
  <c r="I66" i="4"/>
  <c r="I39" i="4"/>
  <c r="K23" i="4"/>
  <c r="J64" i="4"/>
  <c r="I59" i="4"/>
  <c r="I54" i="4"/>
  <c r="K50" i="4"/>
  <c r="I44" i="4"/>
  <c r="K35" i="4"/>
  <c r="I27" i="4"/>
  <c r="J57" i="4"/>
  <c r="I32" i="4"/>
  <c r="I68" i="4"/>
  <c r="K66" i="4"/>
  <c r="J63" i="4"/>
  <c r="K61" i="4"/>
  <c r="I58" i="4"/>
  <c r="K56" i="4"/>
  <c r="I51" i="4"/>
  <c r="K49" i="4"/>
  <c r="J46" i="4"/>
  <c r="I41" i="4"/>
  <c r="K39" i="4"/>
  <c r="I36" i="4"/>
  <c r="K34" i="4"/>
  <c r="J31" i="4"/>
  <c r="J29" i="4"/>
  <c r="I22" i="4"/>
  <c r="I20" i="4"/>
  <c r="J66" i="4"/>
  <c r="I63" i="4"/>
  <c r="J61" i="4"/>
  <c r="K59" i="4"/>
  <c r="J56" i="4"/>
  <c r="K54" i="4"/>
  <c r="J49" i="4"/>
  <c r="I46" i="4"/>
  <c r="K44" i="4"/>
  <c r="K42" i="4"/>
  <c r="J39" i="4"/>
  <c r="J34" i="4"/>
  <c r="I31" i="4"/>
  <c r="I29" i="4"/>
  <c r="K27" i="4"/>
  <c r="K25" i="4"/>
  <c r="I61" i="4"/>
  <c r="J59" i="4"/>
  <c r="I56" i="4"/>
  <c r="J54" i="4"/>
  <c r="K52" i="4"/>
  <c r="I49" i="4"/>
  <c r="K47" i="4"/>
  <c r="J42" i="4"/>
  <c r="K37" i="4"/>
  <c r="I34" i="4"/>
  <c r="K32" i="4"/>
  <c r="J25" i="4"/>
  <c r="K21" i="4"/>
  <c r="K19" i="4"/>
  <c r="K40" i="4"/>
  <c r="K30" i="4"/>
  <c r="I25" i="4"/>
  <c r="J23" i="4"/>
  <c r="J21" i="4"/>
  <c r="J19" i="4"/>
  <c r="K55" i="4"/>
  <c r="J50" i="4"/>
  <c r="I37" i="4"/>
  <c r="J30" i="4"/>
  <c r="K67" i="4"/>
  <c r="J67" i="4"/>
  <c r="I64" i="4"/>
  <c r="J62" i="4"/>
  <c r="K60" i="4"/>
  <c r="I67" i="4"/>
  <c r="K65" i="4"/>
  <c r="I62" i="4"/>
  <c r="J60" i="4"/>
  <c r="I57" i="4"/>
  <c r="J55" i="4"/>
  <c r="K53" i="4"/>
  <c r="I50" i="4"/>
  <c r="K48" i="4"/>
  <c r="J45" i="4"/>
  <c r="K43" i="4"/>
  <c r="I40" i="4"/>
  <c r="K38" i="4"/>
  <c r="I35" i="4"/>
  <c r="K33" i="4"/>
  <c r="I30" i="4"/>
  <c r="J28" i="4"/>
  <c r="K26" i="4"/>
  <c r="K24" i="4"/>
  <c r="J27" i="4"/>
  <c r="K62" i="4"/>
  <c r="K57" i="4"/>
  <c r="J52" i="4"/>
  <c r="J47" i="4"/>
  <c r="I42" i="4"/>
  <c r="J32" i="4"/>
  <c r="I52" i="4"/>
  <c r="I47" i="4"/>
  <c r="J40" i="4"/>
  <c r="J35" i="4"/>
  <c r="K28" i="4"/>
  <c r="I21" i="4"/>
  <c r="I23" i="4"/>
  <c r="K69" i="4" l="1"/>
  <c r="H35" i="5"/>
  <c r="K35" i="5" s="1"/>
  <c r="K73" i="5" s="1"/>
  <c r="J35" i="5"/>
  <c r="M6" i="2" l="1"/>
  <c r="M6" i="1"/>
  <c r="E6" i="1" l="1"/>
  <c r="E13" i="1"/>
  <c r="F12" i="1"/>
  <c r="F13" i="1"/>
  <c r="E12" i="1"/>
  <c r="E5" i="2"/>
  <c r="E5" i="1"/>
  <c r="F5" i="1"/>
  <c r="F5" i="2"/>
  <c r="E11" i="1"/>
  <c r="E10" i="1"/>
  <c r="E9" i="1"/>
  <c r="E8" i="1"/>
  <c r="E7" i="1"/>
  <c r="H12" i="1" l="1"/>
  <c r="I12" i="1" s="1"/>
  <c r="H13" i="1"/>
  <c r="I13" i="1" s="1"/>
  <c r="H5" i="2"/>
  <c r="H5" i="1"/>
  <c r="F6" i="1"/>
  <c r="F7" i="1"/>
  <c r="F8" i="1"/>
  <c r="F9" i="1"/>
  <c r="F10" i="1"/>
  <c r="H10" i="1" s="1"/>
  <c r="F11" i="1"/>
  <c r="H11" i="1" s="1"/>
  <c r="E6" i="2"/>
  <c r="E7" i="2"/>
  <c r="E8" i="2"/>
  <c r="E9" i="2"/>
  <c r="E10" i="2"/>
  <c r="E11" i="2"/>
  <c r="E12" i="2"/>
  <c r="E13" i="2"/>
  <c r="E14" i="2"/>
  <c r="F6" i="2"/>
  <c r="F7" i="2"/>
  <c r="F8" i="2"/>
  <c r="F9" i="2"/>
  <c r="F10" i="2"/>
  <c r="F11" i="2"/>
  <c r="F12" i="2"/>
  <c r="F13" i="2"/>
  <c r="F14" i="2"/>
  <c r="H8" i="2" l="1"/>
  <c r="I8" i="2" s="1"/>
  <c r="H7" i="2"/>
  <c r="I7" i="2" s="1"/>
  <c r="H13" i="2"/>
  <c r="I13" i="2" s="1"/>
  <c r="H6" i="2"/>
  <c r="I6" i="2" s="1"/>
  <c r="H11" i="2"/>
  <c r="I11" i="2" s="1"/>
  <c r="H14" i="2"/>
  <c r="I14" i="2" s="1"/>
  <c r="H10" i="2"/>
  <c r="I10" i="2" s="1"/>
  <c r="H12" i="2"/>
  <c r="I12" i="2" s="1"/>
  <c r="H9" i="2"/>
  <c r="I9" i="2" s="1"/>
  <c r="H6" i="1"/>
  <c r="H9" i="1"/>
  <c r="H8" i="1"/>
  <c r="H7" i="1"/>
  <c r="K9" i="2" l="1"/>
  <c r="I10" i="1"/>
  <c r="I7" i="1" l="1"/>
  <c r="I8" i="1"/>
  <c r="I11" i="1"/>
  <c r="I9" i="1"/>
  <c r="I6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tc={40C5FDEF-90C3-5349-B4E3-8C697B6E87BA}</author>
    <author>tc={2B84AFB5-582A-7A4A-8593-1CC55F61091F}</author>
    <author>tc={33605F68-7681-6F44-B375-43B2B549D2DA}</author>
  </authors>
  <commentList>
    <comment ref="F18" authorId="0" shapeId="0" xr:uid="{40C5FDEF-90C3-5349-B4E3-8C697B6E87B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Distance to outlet</t>
      </text>
    </comment>
    <comment ref="G18" authorId="1" shapeId="0" xr:uid="{2B84AFB5-582A-7A4A-8593-1CC55F61091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Cable Redundancy</t>
      </text>
    </comment>
    <comment ref="B19" authorId="2" shapeId="0" xr:uid="{33605F68-7681-6F44-B375-43B2B549D2D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CAMPUS CROSS-CONNECT(Fiber cable)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tc={B62101F2-87B1-2C4D-8CE8-6F8287952F24}</author>
    <author>tc={D18A6F96-97E4-604D-ABBE-D7216C929524}</author>
  </authors>
  <commentList>
    <comment ref="F17" authorId="0" shapeId="0" xr:uid="{B62101F2-87B1-2C4D-8CE8-6F8287952F24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Distance to outlet</t>
      </text>
    </comment>
    <comment ref="G17" authorId="1" shapeId="0" xr:uid="{D18A6F96-97E4-604D-ABBE-D7216C929524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Cable Redundancy</t>
      </text>
    </comment>
  </commentList>
</comments>
</file>

<file path=xl/sharedStrings.xml><?xml version="1.0" encoding="utf-8"?>
<sst xmlns="http://schemas.openxmlformats.org/spreadsheetml/2006/main" count="399" uniqueCount="198">
  <si>
    <t>Room Name</t>
  </si>
  <si>
    <t>Length(cm)</t>
  </si>
  <si>
    <t>Width(cm)</t>
  </si>
  <si>
    <t>Length(m)</t>
  </si>
  <si>
    <t>Width(m)</t>
  </si>
  <si>
    <t>Height(m)</t>
  </si>
  <si>
    <t>Area(m²)</t>
  </si>
  <si>
    <t>=</t>
  </si>
  <si>
    <t>(m)</t>
  </si>
  <si>
    <t>(cm)</t>
  </si>
  <si>
    <t>Nº Outlets</t>
  </si>
  <si>
    <t>Floor 1 Measurements</t>
  </si>
  <si>
    <t>Floor 0 Measurements</t>
  </si>
  <si>
    <t>Building</t>
  </si>
  <si>
    <t>Total Outlets</t>
  </si>
  <si>
    <t>-</t>
  </si>
  <si>
    <t>3.0.8</t>
  </si>
  <si>
    <t>3.0.7</t>
  </si>
  <si>
    <t>3.0.6</t>
  </si>
  <si>
    <t>3.0.5</t>
  </si>
  <si>
    <t>3.0.4</t>
  </si>
  <si>
    <t>3.0.3</t>
  </si>
  <si>
    <t>3.0.2</t>
  </si>
  <si>
    <t>3.0.1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</si>
  <si>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</si>
  <si>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</si>
  <si>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</si>
  <si>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</si>
  <si>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</si>
  <si>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</si>
  <si>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</si>
  <si>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</si>
  <si>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</si>
  <si>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Scale</t>
  </si>
  <si>
    <t>Cable Length</t>
  </si>
  <si>
    <t>Source</t>
  </si>
  <si>
    <t>Destination</t>
  </si>
  <si>
    <t>Height Multiplier</t>
  </si>
  <si>
    <t>Room Common Point (cm)</t>
  </si>
  <si>
    <t>Cable Multiplier</t>
  </si>
  <si>
    <t>Total (cm)</t>
  </si>
  <si>
    <t>Room (m)</t>
  </si>
  <si>
    <t>Outlet (m)</t>
  </si>
  <si>
    <t>Total (m)</t>
  </si>
  <si>
    <t>Main CC</t>
  </si>
  <si>
    <t>3.0.9(HC)</t>
  </si>
  <si>
    <t>3.0.8(CP 1)</t>
  </si>
  <si>
    <t>3.0.6(CP 2)</t>
  </si>
  <si>
    <t>3.0.4(CP 3)</t>
  </si>
  <si>
    <t>3.0.2(CP 4)</t>
  </si>
  <si>
    <t>3.0.8 - 1</t>
  </si>
  <si>
    <t>3.0.8 - 2</t>
  </si>
  <si>
    <t>3.0.8 - 3</t>
  </si>
  <si>
    <t>3.0.8 - 4</t>
  </si>
  <si>
    <t>3.0.8 - 5</t>
  </si>
  <si>
    <t>3.0.5 - 2</t>
  </si>
  <si>
    <t>3.0.5 - 3</t>
  </si>
  <si>
    <t>3.0.5 - 4</t>
  </si>
  <si>
    <t>3.0.5 - 5</t>
  </si>
  <si>
    <t>3.0.5 - 6</t>
  </si>
  <si>
    <t>3.0.5 - 7</t>
  </si>
  <si>
    <t>3.0.6 - 1</t>
  </si>
  <si>
    <t>3.0.6 - 2</t>
  </si>
  <si>
    <t>3.0.6 - 3</t>
  </si>
  <si>
    <t>3.0.6 - 4</t>
  </si>
  <si>
    <t>3.0.6 - 5</t>
  </si>
  <si>
    <t>3.0.6 - 6</t>
  </si>
  <si>
    <t>3.0.6 - 7</t>
  </si>
  <si>
    <t>3.0.5 - 1</t>
  </si>
  <si>
    <t>3.0.7 - 1</t>
  </si>
  <si>
    <t>3.0.7 - 2</t>
  </si>
  <si>
    <t>3.0.7 - 3</t>
  </si>
  <si>
    <t>3.0.7 - 4</t>
  </si>
  <si>
    <t>3.0.7 - 5</t>
  </si>
  <si>
    <t>3.0.7 - 6</t>
  </si>
  <si>
    <t>3.0.7 - 7</t>
  </si>
  <si>
    <t>3.0.4 - 1</t>
  </si>
  <si>
    <t>3.0.4 - 2</t>
  </si>
  <si>
    <t>3.0.4 - 3</t>
  </si>
  <si>
    <t>3.0.4 - 4</t>
  </si>
  <si>
    <t>3.0.4 - 5</t>
  </si>
  <si>
    <t>3.0.3 - 1</t>
  </si>
  <si>
    <t>3.0.3 - 2</t>
  </si>
  <si>
    <t>3.0.3 - 3</t>
  </si>
  <si>
    <t>3.0.3 - 4</t>
  </si>
  <si>
    <t>3.0.2 - 1</t>
  </si>
  <si>
    <t>3.0.2 - 2</t>
  </si>
  <si>
    <t>3.0.2 - 3</t>
  </si>
  <si>
    <t>3.0.2 - 4</t>
  </si>
  <si>
    <t>3.0.1 - 1</t>
  </si>
  <si>
    <t>3.0.1 - 2</t>
  </si>
  <si>
    <t>3.0.1 - 3</t>
  </si>
  <si>
    <t>3.0.1 - 4</t>
  </si>
  <si>
    <t>3.0.5 - Access Point</t>
  </si>
  <si>
    <t>3.0.9 (HC)</t>
  </si>
  <si>
    <t>3.0.9(IC)</t>
  </si>
  <si>
    <t>3.1.10(HC)</t>
  </si>
  <si>
    <t>3.1.8(CP 1)</t>
  </si>
  <si>
    <t>3.1.5(CP 2)</t>
  </si>
  <si>
    <t>3.1.3(CP 3)</t>
  </si>
  <si>
    <t>3.1.2(CP 4)</t>
  </si>
  <si>
    <t>3.1.8 - 1</t>
  </si>
  <si>
    <t>3.1.8 - 2</t>
  </si>
  <si>
    <t>3.1.8 - 3</t>
  </si>
  <si>
    <t>3.1.8 - 4</t>
  </si>
  <si>
    <t>3.1.8 - 5</t>
  </si>
  <si>
    <t>3.1.8 - 6</t>
  </si>
  <si>
    <t>3.1.9 - 1</t>
  </si>
  <si>
    <t>3.1.9 - 2</t>
  </si>
  <si>
    <t>3.1.9 - 3</t>
  </si>
  <si>
    <t>3.1.9 - 5</t>
  </si>
  <si>
    <t>3.1.7 - 1</t>
  </si>
  <si>
    <t>3.1.7 - 2</t>
  </si>
  <si>
    <t>3.1.7 - 3</t>
  </si>
  <si>
    <t>3.1.9 - 4</t>
  </si>
  <si>
    <t>3.1.9 - 6</t>
  </si>
  <si>
    <t>3.1.7 - 4</t>
  </si>
  <si>
    <t>3.1.7 - 5</t>
  </si>
  <si>
    <t>3.1.7 - 6</t>
  </si>
  <si>
    <t>3.1.5 - 1</t>
  </si>
  <si>
    <t>3.1.5 - 2</t>
  </si>
  <si>
    <t>3.1.5 - 3</t>
  </si>
  <si>
    <t>3.1.5 - 4</t>
  </si>
  <si>
    <t>3.1.5 - 5</t>
  </si>
  <si>
    <t>3.1.4 - 1</t>
  </si>
  <si>
    <t>3.1.4 - 2</t>
  </si>
  <si>
    <t>3.1.4 - 3</t>
  </si>
  <si>
    <t>3.1.4 - 4</t>
  </si>
  <si>
    <t>3.1.4 - 5</t>
  </si>
  <si>
    <t>3.1.3 - 1</t>
  </si>
  <si>
    <t>3.1.3 - 2</t>
  </si>
  <si>
    <t>3.1.3 - 3</t>
  </si>
  <si>
    <t>3.1.3 - 4</t>
  </si>
  <si>
    <t>3.1.3 - 5</t>
  </si>
  <si>
    <t>3.1.6 - 1</t>
  </si>
  <si>
    <t>3.1.6 - 2</t>
  </si>
  <si>
    <t>3.1.6 - 3</t>
  </si>
  <si>
    <t>3.1.6 - 4</t>
  </si>
  <si>
    <t>3.1.6 - 5</t>
  </si>
  <si>
    <t>3.1.2 - 1</t>
  </si>
  <si>
    <t>3.1.2 - 2</t>
  </si>
  <si>
    <t>3.1.2 - 3</t>
  </si>
  <si>
    <t>3.1.2 - 4</t>
  </si>
  <si>
    <t>3.1.2 - 5</t>
  </si>
  <si>
    <t>3.1.2 - 6</t>
  </si>
  <si>
    <t>3.1.1 - 1</t>
  </si>
  <si>
    <t>3.1.1 - 2</t>
  </si>
  <si>
    <t>3.1.1 - 3</t>
  </si>
  <si>
    <t>3.1.1 - 4</t>
  </si>
  <si>
    <t>3.1.1 - 5</t>
  </si>
  <si>
    <t>3.1.1 - 6</t>
  </si>
  <si>
    <t>3.1.4 - Access Point</t>
  </si>
  <si>
    <t>Distance (cm)</t>
  </si>
  <si>
    <t>Floor 0 Cable Calculations</t>
  </si>
  <si>
    <t>Floor 1 Cable Calculations</t>
  </si>
  <si>
    <t>Total Fiber cable for Building 3</t>
  </si>
  <si>
    <t>Meters</t>
  </si>
  <si>
    <t>Total CAT7 STP cable for Building 3</t>
  </si>
  <si>
    <t>Consolidation Points</t>
  </si>
  <si>
    <t>Location</t>
  </si>
  <si>
    <t>Number of Connections</t>
  </si>
  <si>
    <t>CP1 Floor 0</t>
  </si>
  <si>
    <t xml:space="preserve">CP2 Floor 0 </t>
  </si>
  <si>
    <t>CP3 Floor 0</t>
  </si>
  <si>
    <t xml:space="preserve">CP4 Floor 0 </t>
  </si>
  <si>
    <t>CP1 Floor 1</t>
  </si>
  <si>
    <t>CP2 Floor 1</t>
  </si>
  <si>
    <t>CP3 Floor 1</t>
  </si>
  <si>
    <t>CP4 Floor 1</t>
  </si>
  <si>
    <t>Structure</t>
  </si>
  <si>
    <t>Equipment Needed</t>
  </si>
  <si>
    <t>4.0.5</t>
  </si>
  <si>
    <t>2U Switch CAT7</t>
  </si>
  <si>
    <t>Patch Cord number</t>
  </si>
  <si>
    <t>2U Patch Panel CAT7</t>
  </si>
  <si>
    <t>12U Rack</t>
  </si>
  <si>
    <t>4.1.6</t>
  </si>
  <si>
    <t>Patch Cord Number</t>
  </si>
  <si>
    <t>1U Switch CAT7</t>
  </si>
  <si>
    <t>1U Patch Panel CAT7</t>
  </si>
  <si>
    <t>6U Rack</t>
  </si>
  <si>
    <t>IC</t>
  </si>
  <si>
    <t>Total Building Equipment</t>
  </si>
  <si>
    <t>Female RJ45</t>
  </si>
  <si>
    <t>HC Floor 0</t>
  </si>
  <si>
    <t>HC Floor 1</t>
  </si>
  <si>
    <t>1U</t>
  </si>
  <si>
    <t xml:space="preserve">2U </t>
  </si>
  <si>
    <t>6U</t>
  </si>
  <si>
    <t>12U</t>
  </si>
  <si>
    <t>CP2  Floor 0</t>
  </si>
  <si>
    <t>CP3  Floor 0</t>
  </si>
  <si>
    <t>CP4  Floor 0</t>
  </si>
  <si>
    <t>CP1  Floor 1</t>
  </si>
  <si>
    <t>3.0.9</t>
  </si>
  <si>
    <t>1U Switch Fiber</t>
  </si>
  <si>
    <t>1U Patch Panel Fiber</t>
  </si>
  <si>
    <t>1U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</si>
</sst>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0.39997558519241921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0" fillId="5" borderId="21" applyNumberFormat="0" applyAlignment="0" applyProtection="0"/>
    <xf numFmtId="0" fontId="11" fillId="6" borderId="22" applyNumberFormat="0" applyAlignment="0" applyProtection="0"/>
    <xf numFmtId="0" fontId="12" fillId="6" borderId="21" applyNumberFormat="0" applyAlignment="0" applyProtection="0"/>
    <xf numFmtId="0" fontId="9" fillId="7" borderId="23" applyNumberFormat="0" applyFont="0" applyAlignment="0" applyProtection="0"/>
    <xf numFmtId="0" fontId="1" fillId="8" borderId="0" applyNumberFormat="0" applyBorder="0" applyAlignment="0" applyProtection="0"/>
    <xf numFmtId="0" fontId="14" fillId="9" borderId="0" applyNumberFormat="0" applyBorder="0" applyAlignment="0" applyProtection="0"/>
  </cellStyleXfs>
  <cellXfs count="8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Border="1"/>
    <xf numFmtId="0" fontId="8" fillId="0" borderId="17" xfId="0" applyFont="1" applyBorder="1"/>
    <xf numFmtId="0" fontId="7" fillId="4" borderId="18" xfId="0" applyFont="1" applyFill="1" applyBorder="1"/>
    <xf numFmtId="0" fontId="7" fillId="4" borderId="17" xfId="0" applyFont="1" applyFill="1" applyBorder="1"/>
    <xf numFmtId="0" fontId="7" fillId="0" borderId="17" xfId="0" applyFont="1" applyBorder="1"/>
    <xf numFmtId="0" fontId="7" fillId="4" borderId="20" xfId="0" applyFont="1" applyFill="1" applyBorder="1"/>
    <xf numFmtId="0" fontId="6" fillId="4" borderId="18" xfId="0" applyFont="1" applyFill="1" applyBorder="1"/>
    <xf numFmtId="0" fontId="6" fillId="4" borderId="17" xfId="0" applyFont="1" applyFill="1" applyBorder="1"/>
    <xf numFmtId="0" fontId="11" fillId="6" borderId="22" xfId="2"/>
    <xf numFmtId="1" fontId="11" fillId="6" borderId="22" xfId="2" applyNumberFormat="1"/>
    <xf numFmtId="1" fontId="11" fillId="6" borderId="27" xfId="2" applyNumberFormat="1" applyBorder="1"/>
    <xf numFmtId="0" fontId="11" fillId="6" borderId="28" xfId="2" applyBorder="1"/>
    <xf numFmtId="0" fontId="1" fillId="4" borderId="22" xfId="5" applyFill="1" applyBorder="1"/>
    <xf numFmtId="0" fontId="1" fillId="4" borderId="24" xfId="5" applyFill="1" applyBorder="1"/>
    <xf numFmtId="0" fontId="11" fillId="4" borderId="22" xfId="2" applyFill="1"/>
    <xf numFmtId="0" fontId="11" fillId="4" borderId="25" xfId="2" applyFill="1" applyBorder="1"/>
    <xf numFmtId="0" fontId="11" fillId="4" borderId="24" xfId="2" applyFill="1" applyBorder="1"/>
    <xf numFmtId="0" fontId="11" fillId="4" borderId="27" xfId="2" applyFill="1" applyBorder="1"/>
    <xf numFmtId="0" fontId="9" fillId="4" borderId="17" xfId="4" applyFill="1" applyBorder="1"/>
    <xf numFmtId="0" fontId="10" fillId="4" borderId="17" xfId="1" applyFill="1" applyBorder="1"/>
    <xf numFmtId="0" fontId="11" fillId="4" borderId="17" xfId="2" applyFill="1" applyBorder="1"/>
    <xf numFmtId="0" fontId="9" fillId="10" borderId="23" xfId="4" applyFill="1"/>
    <xf numFmtId="0" fontId="9" fillId="10" borderId="17" xfId="4" applyFill="1" applyBorder="1"/>
    <xf numFmtId="0" fontId="11" fillId="10" borderId="22" xfId="2" applyFill="1"/>
    <xf numFmtId="0" fontId="10" fillId="11" borderId="21" xfId="1" applyFill="1"/>
    <xf numFmtId="0" fontId="10" fillId="11" borderId="26" xfId="1" applyFill="1" applyBorder="1"/>
    <xf numFmtId="0" fontId="10" fillId="11" borderId="17" xfId="1" applyFill="1" applyBorder="1"/>
    <xf numFmtId="0" fontId="13" fillId="6" borderId="17" xfId="3" applyFont="1" applyBorder="1"/>
    <xf numFmtId="1" fontId="13" fillId="6" borderId="17" xfId="3" applyNumberFormat="1" applyFont="1" applyBorder="1"/>
    <xf numFmtId="0" fontId="10" fillId="12" borderId="17" xfId="1" applyFill="1" applyBorder="1"/>
    <xf numFmtId="0" fontId="10" fillId="12" borderId="0" xfId="1" applyFill="1" applyBorder="1"/>
    <xf numFmtId="0" fontId="10" fillId="12" borderId="21" xfId="1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4" borderId="17" xfId="5" applyFill="1" applyBorder="1" applyAlignment="1">
      <alignment horizontal="center"/>
    </xf>
    <xf numFmtId="0" fontId="14" fillId="4" borderId="29" xfId="6" applyFill="1" applyBorder="1" applyAlignment="1">
      <alignment horizontal="center"/>
    </xf>
    <xf numFmtId="0" fontId="14" fillId="4" borderId="30" xfId="6" applyFill="1" applyBorder="1" applyAlignment="1">
      <alignment horizontal="center"/>
    </xf>
  </cellXfs>
  <cellStyles count="7">
    <cellStyle name="60% - Cor3" xfId="5" builtinId="40"/>
    <cellStyle name="Cálculo" xfId="3" builtinId="22"/>
    <cellStyle name="Cor6" xfId="6" builtinId="49"/>
    <cellStyle name="Entrada" xfId="1" builtinId="20"/>
    <cellStyle name="Normal" xfId="0" builtinId="0"/>
    <cellStyle name="Nota" xfId="4" builtinId="10"/>
    <cellStyle name="Saída" xfId="2" builtinId="21"/>
  </cellStyles>
  <dxfs count="68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outline="0">
        <top style="thin">
          <color rgb="FF305496"/>
        </top>
      </border>
    </dxf>
    <dxf>
      <border outline="0">
        <bottom style="thin">
          <color rgb="FF30549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</border>
    </dxf>
    <dxf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outline="0">
        <top style="thin">
          <color rgb="FF305496"/>
        </top>
      </border>
    </dxf>
    <dxf>
      <border outline="0">
        <bottom style="thin">
          <color rgb="FF30549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4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1A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 Rafael (1181357)" id="{BA8A3734-0622-5B4D-95E5-8A6DAAE798C2}" userId="S::1181357@isep.ipp.pt::a0224a02-9589-4fac-b78b-285e5996f2d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388254-0BC2-4569-8757-42E12E4AAE5A}" name="Tabela2" displayName="Tabela2" ref="B4:I13" totalsRowShown="0" headerRowDxfId="67" dataDxfId="66" tableBorderDxfId="65">
  <autoFilter ref="B4:I13" xr:uid="{6749FD19-231A-4779-85AA-5BB51655A9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05C60B4-9BD4-4749-842B-C1EF8C03AEDF}" name="Room Name" dataDxfId="64"/>
    <tableColumn id="2" xr3:uid="{F79C1BA8-66C5-4DD4-B0B8-5DB622502967}" name="Length(cm)" dataDxfId="63"/>
    <tableColumn id="3" xr3:uid="{57DB6FE5-121E-4E3C-BF6A-730090E561AA}" name="Width(cm)" dataDxfId="62"/>
    <tableColumn id="4" xr3:uid="{9D97DA34-751E-4188-8C77-211003BC6CA2}" name="Length(m)" dataDxfId="61">
      <calculatedColumnFormula>ROUNDUP(Tabela2[[#This Row],[Length(cm)]]*$M$6,1)</calculatedColumnFormula>
    </tableColumn>
    <tableColumn id="5" xr3:uid="{B8FC12A4-E353-4040-A6DD-AAA2AF912C64}" name="Width(m)" dataDxfId="60">
      <calculatedColumnFormula>ROUNDUP(Tabela2[[#This Row],[Width(cm)]]*$M$6,1)</calculatedColumnFormula>
    </tableColumn>
    <tableColumn id="6" xr3:uid="{B1DB32FE-4D3B-4A70-81C8-2200D6E56F2A}" name="Height(m)" dataDxfId="59"/>
    <tableColumn id="7" xr3:uid="{E8DFA43A-6BE5-49B8-BA0F-A7B8BE97E798}" name="Area(m²)" dataDxfId="58">
      <calculatedColumnFormula>ROUNDUP(Tabela2[[#This Row],[Length(m)]]*Tabela2[[#This Row],[Width(m)]],1)</calculatedColumnFormula>
    </tableColumn>
    <tableColumn id="8" xr3:uid="{D16DD540-E71D-4370-86A2-CD15B7D2ED74}" name="Nº Outlets" dataDxfId="57">
      <calculatedColumnFormula>ROUNDUP( Tabela2[[#This Row],[Area(m²)]]/10*2,0)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301AA-FDCA-44F7-8D94-C1C77C2CE66C}" name="Tabela22" displayName="Tabela22" ref="B4:I14" totalsRowShown="0" headerRowDxfId="56" dataDxfId="55" tableBorderDxfId="54">
  <autoFilter ref="B4:I14" xr:uid="{6A4A49E7-0834-4930-AF23-354114E86C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DA21DF6-04CF-4139-B623-CE20DC30C8E7}" name="Room Name" dataDxfId="53"/>
    <tableColumn id="2" xr3:uid="{11E60619-1C18-4D79-BD12-F5B09B6E3518}" name="Length(cm)" dataDxfId="52"/>
    <tableColumn id="3" xr3:uid="{C237A627-8B0A-4DDE-BD4D-584F4EE1C98F}" name="Width(cm)" dataDxfId="51"/>
    <tableColumn id="4" xr3:uid="{B04E7B4D-CE4F-4D54-BD40-F6EE680E65D0}" name="Length(m)" dataDxfId="50">
      <calculatedColumnFormula>ROUNDUP(Tabela22[[#This Row],[Length(cm)]]*$M$6,1)</calculatedColumnFormula>
    </tableColumn>
    <tableColumn id="5" xr3:uid="{D25DBD77-6100-4065-8C09-B28CAA7E9B74}" name="Width(m)" dataDxfId="49">
      <calculatedColumnFormula>ROUNDUP(Tabela22[[#This Row],[Width(cm)]]*$M$6,1)</calculatedColumnFormula>
    </tableColumn>
    <tableColumn id="6" xr3:uid="{B3018879-23C1-4987-BD9E-069A8692A400}" name="Height(m)" dataDxfId="48"/>
    <tableColumn id="7" xr3:uid="{7677F25C-4283-4029-B492-775ABB9C197D}" name="Area(m²)" dataDxfId="47">
      <calculatedColumnFormula>ROUNDUP(Tabela22[[#This Row],[Length(m)]]*Tabela22[[#This Row],[Width(m)]],1)</calculatedColumnFormula>
    </tableColumn>
    <tableColumn id="8" xr3:uid="{1E65DB13-12F0-4333-92A0-425E557D5580}" name="Nº Outlets" dataDxfId="46">
      <calculatedColumnFormula>ROUNDUP( Tabela22[[#This Row],[Area(m²)]]/10*2,0)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DCF5DA-F797-5742-A953-4768552056FA}" name="Tabela359" displayName="Tabela359" ref="B18:K69" totalsRowCount="1" headerRowDxfId="45" headerRowBorderDxfId="44" tableBorderDxfId="43">
  <autoFilter ref="B18:K68" xr:uid="{B5C6F08E-8A8A-E846-827B-0915ED4E2AFB}"/>
  <tableColumns count="10">
    <tableColumn id="1" xr3:uid="{B6C526E1-A51A-D442-89CD-7BB5954B47C5}" name="Source" dataDxfId="42" totalsRowDxfId="41"/>
    <tableColumn id="2" xr3:uid="{51982011-F3AE-184B-9D92-C2FD0B57882E}" name="Destination" dataDxfId="40" totalsRowDxfId="39"/>
    <tableColumn id="9" xr3:uid="{963438B4-3A29-5544-91EF-136020C6BB4D}" name="Height Multiplier" dataDxfId="38" totalsRowDxfId="37"/>
    <tableColumn id="7" xr3:uid="{3584FF39-F552-5F4A-A8BD-F6DF59BF5E0C}" name="Room Common Point (cm)" dataDxfId="36" totalsRowDxfId="35"/>
    <tableColumn id="8" xr3:uid="{832FCDB7-E209-0D40-8688-09529BDE2AF2}" name="Distance (cm)" dataDxfId="34" totalsRowDxfId="33"/>
    <tableColumn id="11" xr3:uid="{EF141A24-64CE-EE4B-87F8-23E63960E345}" name="Cable Multiplier" dataDxfId="32" totalsRowDxfId="31"/>
    <tableColumn id="6" xr3:uid="{1AE1B76A-08F4-0241-A859-AD14A70C0BB5}" name="Total (cm)" dataDxfId="30" totalsRowDxfId="29">
      <calculatedColumnFormula>Tabela359[[#This Row],[Room Common Point (cm)]]+Tabela359[[#This Row],[Distance (cm)]]</calculatedColumnFormula>
    </tableColumn>
    <tableColumn id="3" xr3:uid="{1AA9B041-6A8A-D24D-95A2-A846BC5A812D}" name="Room (m)" dataDxfId="28" totalsRowDxfId="27">
      <calculatedColumnFormula>ROUNDUP(Tabela359[[#This Row],[Room Common Point (cm)]]/$D$17,1)</calculatedColumnFormula>
    </tableColumn>
    <tableColumn id="4" xr3:uid="{0750D22B-9541-E449-A29C-24C21E3D3B50}" name="Outlet (m)" dataDxfId="26" totalsRowDxfId="25">
      <calculatedColumnFormula>ROUNDUP(Tabela359[[#This Row],[Distance (cm)]]/$D$17,1)</calculatedColumnFormula>
    </tableColumn>
    <tableColumn id="5" xr3:uid="{6DB9B45C-3584-A84E-997D-E9D0EE857424}" name="Total (m)" totalsRowFunction="custom" dataDxfId="24" totalsRowDxfId="23">
      <calculatedColumnFormula>ROUNDUP(((Tabela359[[#This Row],[Total (cm)]]/$D$17) + ($G$5*Tabela359[[#This Row],[Height Multiplier]])) *Tabela359[[#This Row],[Cable Multiplier]],1)</calculatedColumnFormula>
      <totalsRowFormula>SUM(K20:K68)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F02F60-44CB-424F-9923-8BBF4B4B263D}" name="Tabela35511" displayName="Tabela35511" ref="B17:K73" totalsRowCount="1" headerRowDxfId="22" headerRowBorderDxfId="21" tableBorderDxfId="20">
  <autoFilter ref="B17:K72" xr:uid="{237A7952-07B1-D841-AE10-41685788BB73}"/>
  <tableColumns count="10">
    <tableColumn id="1" xr3:uid="{F1A25F43-175A-1C4F-BE04-7E3B9F561811}" name="Source" dataDxfId="19" totalsRowDxfId="18"/>
    <tableColumn id="2" xr3:uid="{8E07F634-DCEB-5043-AF81-58FDE36B89AF}" name="Destination" dataDxfId="17" totalsRowDxfId="16"/>
    <tableColumn id="9" xr3:uid="{A0FEB99A-9C68-1449-998C-0207CCBC562B}" name="Height Multiplier" dataDxfId="15" totalsRowDxfId="14"/>
    <tableColumn id="7" xr3:uid="{B47B1653-AB04-F949-BC35-66930B840514}" name="Room Common Point (cm)" dataDxfId="13" totalsRowDxfId="12"/>
    <tableColumn id="8" xr3:uid="{BF3D4568-7EA5-3F44-81E9-933498851D33}" name="Distance (cm)" dataDxfId="11" totalsRowDxfId="10"/>
    <tableColumn id="11" xr3:uid="{6B493732-836E-174E-A332-4E562D6BD548}" name="Cable Multiplier" dataDxfId="9" totalsRowDxfId="8"/>
    <tableColumn id="6" xr3:uid="{8FDEEE1F-D4A8-5248-92CC-48A742B1E307}" name="Total (cm)" dataDxfId="7" totalsRowDxfId="6">
      <calculatedColumnFormula>Tabela35511[[#This Row],[Room Common Point (cm)]]+Tabela35511[[#This Row],[Distance (cm)]]</calculatedColumnFormula>
    </tableColumn>
    <tableColumn id="3" xr3:uid="{C5A06D85-281A-BA42-B72E-20B717FE51B7}" name="Room (m)" dataDxfId="5" totalsRowDxfId="4">
      <calculatedColumnFormula>ROUNDUP(Tabela35511[[#This Row],[Room Common Point (cm)]]/$D$16,1)</calculatedColumnFormula>
    </tableColumn>
    <tableColumn id="4" xr3:uid="{EAE224F1-23BB-FB47-9635-0C917520CD2B}" name="Outlet (m)" dataDxfId="3" totalsRowDxfId="2">
      <calculatedColumnFormula>ROUNDUP(Tabela35511[[#This Row],[Distance (cm)]]/$D$16,1)</calculatedColumnFormula>
    </tableColumn>
    <tableColumn id="5" xr3:uid="{D6936D65-8C10-6F45-ACCF-9C3CC9B4D840}" name="Total (m)" totalsRowFunction="custom" dataDxfId="1" totalsRowDxfId="0">
      <calculatedColumnFormula>ROUNDUP(((Tabela35511[[#This Row],[Total (cm)]]/$D$16) + ($G$5*Tabela35511[[#This Row],[Height Multiplier]])) *Tabela35511[[#This Row],[Cable Multiplier]],1)</calculatedColumnFormula>
      <totalsRowFormula>SUM(Tabela35511[Total (m)])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2-03-19T12:04:14.96" personId="{BA8A3734-0622-5B4D-95E5-8A6DAAE798C2}" id="{40C5FDEF-90C3-5349-B4E3-8C697B6E87BA}">
    <text>Distance to outlet</text>
  </threadedComment>
  <threadedComment ref="G18" dT="2022-03-19T12:03:54.26" personId="{BA8A3734-0622-5B4D-95E5-8A6DAAE798C2}" id="{2B84AFB5-582A-7A4A-8593-1CC55F61091F}">
    <text>Cable Redundancy</text>
  </threadedComment>
  <threadedComment ref="B19" dT="2022-03-19T12:08:45.11" personId="{BA8A3734-0622-5B4D-95E5-8A6DAAE798C2}" id="{33605F68-7681-6F44-B375-43B2B549D2DA}">
    <text>CAMPUS CROSS-CONNECT(Fiber cable)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7" dT="2022-03-19T12:04:14.96" personId="{BA8A3734-0622-5B4D-95E5-8A6DAAE798C2}" id="{B62101F2-87B1-2C4D-8CE8-6F8287952F24}">
    <text>Distance to outlet</text>
  </threadedComment>
  <threadedComment ref="G17" dT="2022-03-19T12:03:54.26" personId="{BA8A3734-0622-5B4D-95E5-8A6DAAE798C2}" id="{D18A6F96-97E4-604D-ABBE-D7216C929524}">
    <text>Cable Redundancy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5245-A4A8-4869-9B58-32F11F67080D}">
  <dimension ref="A1:T15"/>
  <sheetViews>
    <sheetView zoomScale="152" workbookViewId="0">
      <selection activeCell="I26" sqref="I26"/>
    </sheetView>
  </sheetViews>
  <sheetFormatPr baseColWidth="10" defaultColWidth="8.83203125" defaultRowHeight="15" x14ac:dyDescent="0.2"/>
  <cols>
    <col min="1" max="1" width="3.5" customWidth="1"/>
    <col min="2" max="2" width="13.1640625" customWidth="1"/>
    <col min="3" max="3" width="19.1640625" customWidth="1"/>
    <col min="4" max="4" width="12.33203125" customWidth="1"/>
    <col min="5" max="5" width="11.6640625" customWidth="1"/>
    <col min="6" max="6" width="12.1640625" customWidth="1"/>
    <col min="7" max="7" width="11.1640625" customWidth="1"/>
    <col min="8" max="9" width="10.5" bestFit="1" customWidth="1"/>
  </cols>
  <sheetData>
    <row r="1" spans="1:20" ht="31.5" customHeight="1" x14ac:dyDescent="0.2">
      <c r="A1" s="68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20" x14ac:dyDescent="0.2">
      <c r="A4" s="67"/>
      <c r="B4" s="1" t="s">
        <v>0</v>
      </c>
      <c r="C4" s="2" t="s">
        <v>1</v>
      </c>
      <c r="D4" s="2" t="s">
        <v>2</v>
      </c>
      <c r="E4" s="2" t="s">
        <v>3</v>
      </c>
      <c r="F4" s="3" t="s">
        <v>4</v>
      </c>
      <c r="G4" s="3" t="s">
        <v>5</v>
      </c>
      <c r="H4" s="1" t="s">
        <v>6</v>
      </c>
      <c r="I4" s="14" t="s">
        <v>10</v>
      </c>
      <c r="J4" s="67"/>
      <c r="K4" s="11" t="s">
        <v>8</v>
      </c>
      <c r="L4" s="12" t="s">
        <v>33</v>
      </c>
      <c r="M4" s="13" t="s">
        <v>9</v>
      </c>
    </row>
    <row r="5" spans="1:20" x14ac:dyDescent="0.2">
      <c r="A5" s="67"/>
      <c r="B5" s="18" t="s">
        <v>13</v>
      </c>
      <c r="C5" s="25">
        <v>11.6</v>
      </c>
      <c r="D5" s="25">
        <v>11.6</v>
      </c>
      <c r="E5" s="18">
        <f>ROUNDUP(Tabela2[[#This Row],[Length(cm)]]*$M$6,1)</f>
        <v>21.5</v>
      </c>
      <c r="F5" s="18">
        <f>ROUNDUP(Tabela2[[#This Row],[Width(cm)]]*$M$6,1)</f>
        <v>21.5</v>
      </c>
      <c r="G5" s="19">
        <v>4</v>
      </c>
      <c r="H5" s="18">
        <f>ROUNDUP(Tabela2[[#This Row],[Length(m)]]*Tabela2[[#This Row],[Width(m)]],1)</f>
        <v>462.3</v>
      </c>
      <c r="I5" s="18" t="s">
        <v>15</v>
      </c>
      <c r="J5" s="67"/>
      <c r="K5" s="8">
        <v>5</v>
      </c>
      <c r="L5" s="9" t="s">
        <v>7</v>
      </c>
      <c r="M5" s="10">
        <v>2.7</v>
      </c>
    </row>
    <row r="6" spans="1:20" x14ac:dyDescent="0.2">
      <c r="A6" s="67"/>
      <c r="B6" s="4" t="s">
        <v>23</v>
      </c>
      <c r="C6" s="21">
        <v>1.7</v>
      </c>
      <c r="D6" s="21">
        <v>3</v>
      </c>
      <c r="E6" s="4">
        <f>ROUNDUP(Tabela2[[#This Row],[Length(cm)]]*$M$6,1)</f>
        <v>3.2</v>
      </c>
      <c r="F6" s="4">
        <f>ROUNDUP(Tabela2[[#This Row],[Width(cm)]]*$M$6,1)</f>
        <v>5.6</v>
      </c>
      <c r="G6" s="4">
        <v>4</v>
      </c>
      <c r="H6" s="4">
        <f>ROUNDUP(Tabela2[[#This Row],[Length(m)]]*Tabela2[[#This Row],[Width(m)]],1)</f>
        <v>18</v>
      </c>
      <c r="I6" s="4">
        <f>ROUNDUP( Tabela2[[#This Row],[Area(m²)]]/10*2,0)</f>
        <v>4</v>
      </c>
      <c r="J6" s="67"/>
      <c r="K6" s="5">
        <v>1</v>
      </c>
      <c r="L6" s="6" t="s">
        <v>7</v>
      </c>
      <c r="M6" s="7">
        <f>K5/M5</f>
        <v>1.8518518518518516</v>
      </c>
    </row>
    <row r="7" spans="1:20" ht="15" customHeight="1" x14ac:dyDescent="0.2">
      <c r="A7" s="67"/>
      <c r="B7" s="4" t="s">
        <v>22</v>
      </c>
      <c r="C7" s="22">
        <v>1.7</v>
      </c>
      <c r="D7" s="22">
        <v>3</v>
      </c>
      <c r="E7" s="4">
        <f>ROUNDUP(Tabela2[[#This Row],[Length(cm)]]*$M$6,1)</f>
        <v>3.2</v>
      </c>
      <c r="F7" s="4">
        <f>ROUNDUP(Tabela2[[#This Row],[Width(cm)]]*$M$6,1)</f>
        <v>5.6</v>
      </c>
      <c r="G7" s="4">
        <v>4</v>
      </c>
      <c r="H7" s="4">
        <f>ROUNDUP(Tabela2[[#This Row],[Length(m)]]*Tabela2[[#This Row],[Width(m)]],1)</f>
        <v>18</v>
      </c>
      <c r="I7" s="4">
        <f>ROUNDUP( Tabela2[[#This Row],[Area(m²)]]/10*2,0)</f>
        <v>4</v>
      </c>
      <c r="J7" s="67"/>
      <c r="K7" s="72"/>
      <c r="L7" s="72"/>
      <c r="M7" s="72"/>
    </row>
    <row r="8" spans="1:20" ht="15" customHeight="1" x14ac:dyDescent="0.2">
      <c r="A8" s="67"/>
      <c r="B8" s="4" t="s">
        <v>21</v>
      </c>
      <c r="C8" s="21">
        <v>1.7</v>
      </c>
      <c r="D8" s="21">
        <v>3</v>
      </c>
      <c r="E8" s="4">
        <f>ROUNDUP(Tabela2[[#This Row],[Length(cm)]]*$M$6,1)</f>
        <v>3.2</v>
      </c>
      <c r="F8" s="4">
        <f>ROUNDUP(Tabela2[[#This Row],[Width(cm)]]*$M$6,1)</f>
        <v>5.6</v>
      </c>
      <c r="G8" s="4">
        <v>4</v>
      </c>
      <c r="H8" s="4">
        <f>ROUNDUP(Tabela2[[#This Row],[Length(m)]]*Tabela2[[#This Row],[Width(m)]],1)</f>
        <v>18</v>
      </c>
      <c r="I8" s="4">
        <f>ROUNDUP( Tabela2[[#This Row],[Area(m²)]]/10*2,0)</f>
        <v>4</v>
      </c>
      <c r="J8" s="67"/>
      <c r="K8" s="69" t="s">
        <v>14</v>
      </c>
      <c r="L8" s="69"/>
      <c r="M8" s="66"/>
    </row>
    <row r="9" spans="1:20" ht="15" customHeight="1" x14ac:dyDescent="0.2">
      <c r="A9" s="67"/>
      <c r="B9" s="4" t="s">
        <v>20</v>
      </c>
      <c r="C9" s="22">
        <v>2.1</v>
      </c>
      <c r="D9" s="22">
        <v>3</v>
      </c>
      <c r="E9" s="4">
        <f>ROUNDUP(Tabela2[[#This Row],[Length(cm)]]*$M$6,1)</f>
        <v>3.9</v>
      </c>
      <c r="F9" s="4">
        <f>ROUNDUP(Tabela2[[#This Row],[Width(cm)]]*$M$6,1)</f>
        <v>5.6</v>
      </c>
      <c r="G9" s="4">
        <v>4</v>
      </c>
      <c r="H9" s="4">
        <f>ROUNDUP(Tabela2[[#This Row],[Length(m)]]*Tabela2[[#This Row],[Width(m)]],1)</f>
        <v>21.900000000000002</v>
      </c>
      <c r="I9" s="4">
        <f>ROUNDUP( Tabela2[[#This Row],[Area(m²)]]/10*2,0)</f>
        <v>5</v>
      </c>
      <c r="J9" s="67"/>
      <c r="K9" s="70">
        <f>SUM(Tabela2[Nº Outlets])</f>
        <v>43</v>
      </c>
      <c r="L9" s="71"/>
      <c r="M9" s="66"/>
    </row>
    <row r="10" spans="1:20" x14ac:dyDescent="0.2">
      <c r="A10" s="67"/>
      <c r="B10" s="4" t="s">
        <v>19</v>
      </c>
      <c r="C10" s="21">
        <v>5</v>
      </c>
      <c r="D10" s="21">
        <v>1.9</v>
      </c>
      <c r="E10" s="4">
        <f>ROUNDUP(Tabela2[[#This Row],[Length(cm)]]*$M$6,1)</f>
        <v>9.2999999999999989</v>
      </c>
      <c r="F10" s="4">
        <f>ROUNDUP(Tabela2[[#This Row],[Width(cm)]]*$M$6,1)</f>
        <v>3.6</v>
      </c>
      <c r="G10" s="4">
        <v>4</v>
      </c>
      <c r="H10" s="4">
        <f>ROUNDUP(Tabela2[[#This Row],[Length(m)]]*Tabela2[[#This Row],[Width(m)]],1)</f>
        <v>33.5</v>
      </c>
      <c r="I10" s="4">
        <f>ROUNDUP( Tabela2[[#This Row],[Area(m²)]]/10*2,0)</f>
        <v>7</v>
      </c>
      <c r="J10" s="67"/>
      <c r="K10" s="66"/>
      <c r="L10" s="66"/>
      <c r="M10" s="66"/>
    </row>
    <row r="11" spans="1:20" ht="14" customHeight="1" x14ac:dyDescent="0.2">
      <c r="A11" s="67"/>
      <c r="B11" s="4" t="s">
        <v>18</v>
      </c>
      <c r="C11" s="22">
        <v>5</v>
      </c>
      <c r="D11" s="22">
        <v>1.9</v>
      </c>
      <c r="E11" s="4">
        <f>ROUNDUP(Tabela2[[#This Row],[Length(cm)]]*$M$6,1)</f>
        <v>9.2999999999999989</v>
      </c>
      <c r="F11" s="4">
        <f>ROUNDUP(Tabela2[[#This Row],[Width(cm)]]*$M$6,1)</f>
        <v>3.6</v>
      </c>
      <c r="G11" s="4">
        <v>4</v>
      </c>
      <c r="H11" s="4">
        <f>ROUNDUP(Tabela2[[#This Row],[Length(m)]]*Tabela2[[#This Row],[Width(m)]],1)</f>
        <v>33.5</v>
      </c>
      <c r="I11" s="4">
        <f>ROUNDUP( Tabela2[[#This Row],[Area(m²)]]/10*2,0)</f>
        <v>7</v>
      </c>
      <c r="J11" s="67"/>
      <c r="K11" s="66"/>
      <c r="L11" s="66"/>
      <c r="M11" s="66"/>
    </row>
    <row r="12" spans="1:20" ht="18" customHeight="1" x14ac:dyDescent="0.2">
      <c r="A12" s="67"/>
      <c r="B12" s="20" t="s">
        <v>17</v>
      </c>
      <c r="C12" s="26">
        <v>5</v>
      </c>
      <c r="D12" s="26">
        <v>1.9</v>
      </c>
      <c r="E12" s="24">
        <f>ROUNDUP(Tabela2[[#This Row],[Length(cm)]]*$M$6,1)</f>
        <v>9.2999999999999989</v>
      </c>
      <c r="F12" s="24">
        <f>ROUNDUP(Tabela2[[#This Row],[Width(cm)]]*$M$6,1)</f>
        <v>3.6</v>
      </c>
      <c r="G12" s="23">
        <v>4</v>
      </c>
      <c r="H12" s="24">
        <f>ROUNDUP(Tabela2[[#This Row],[Length(m)]]*Tabela2[[#This Row],[Width(m)]],1)</f>
        <v>33.5</v>
      </c>
      <c r="I12" s="24">
        <f>ROUNDUP( Tabela2[[#This Row],[Area(m²)]]/10*2,0)</f>
        <v>7</v>
      </c>
      <c r="J12" s="67"/>
      <c r="K12" s="66"/>
      <c r="L12" s="66"/>
      <c r="M12" s="66"/>
    </row>
    <row r="13" spans="1:20" ht="17" customHeight="1" x14ac:dyDescent="0.2">
      <c r="A13" s="67"/>
      <c r="B13" s="20" t="s">
        <v>16</v>
      </c>
      <c r="C13" s="27">
        <v>2.9</v>
      </c>
      <c r="D13" s="27">
        <v>2.4</v>
      </c>
      <c r="E13" s="24">
        <f>ROUNDUP(Tabela2[[#This Row],[Length(cm)]]*$M$6,1)</f>
        <v>5.3999999999999995</v>
      </c>
      <c r="F13" s="24">
        <f>ROUNDUP(Tabela2[[#This Row],[Width(cm)]]*$M$6,1)</f>
        <v>4.5</v>
      </c>
      <c r="G13" s="23">
        <v>4</v>
      </c>
      <c r="H13" s="24">
        <f>ROUNDUP(Tabela2[[#This Row],[Length(m)]]*Tabela2[[#This Row],[Width(m)]],1)</f>
        <v>24.3</v>
      </c>
      <c r="I13" s="24">
        <f>ROUNDUP( Tabela2[[#This Row],[Area(m²)]]/10*2,0)</f>
        <v>5</v>
      </c>
      <c r="J13" s="67"/>
      <c r="K13" s="66"/>
      <c r="L13" s="66"/>
      <c r="M13" s="66"/>
    </row>
    <row r="14" spans="1:20" x14ac:dyDescent="0.2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20" x14ac:dyDescent="0.2">
      <c r="L15" s="16"/>
      <c r="Q15" s="16"/>
    </row>
  </sheetData>
  <mergeCells count="10">
    <mergeCell ref="A14:M14"/>
    <mergeCell ref="B3:M3"/>
    <mergeCell ref="A1:T2"/>
    <mergeCell ref="K8:L8"/>
    <mergeCell ref="K9:L9"/>
    <mergeCell ref="J4:J13"/>
    <mergeCell ref="K10:M13"/>
    <mergeCell ref="K7:M7"/>
    <mergeCell ref="M8:M9"/>
    <mergeCell ref="A3:A13"/>
  </mergeCells>
  <phoneticPr fontId="3" type="noConversion"/>
  <pageMargins left="0.7" right="0.7" top="0.75" bottom="0.75" header="0.3" footer="0.3"/>
  <pageSetup paperSize="9" orientation="portrait" horizontalDpi="4294967293" verticalDpi="4294967293" r:id="rId1"/>
  <ignoredErrors>
    <ignoredError sqref="I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4ACC-52D0-4A69-91C2-82EE1F1649EA}">
  <dimension ref="A1:T14"/>
  <sheetViews>
    <sheetView zoomScale="125" workbookViewId="0">
      <selection activeCell="K16" sqref="K16"/>
    </sheetView>
  </sheetViews>
  <sheetFormatPr baseColWidth="10" defaultColWidth="8.83203125" defaultRowHeight="15" x14ac:dyDescent="0.2"/>
  <cols>
    <col min="1" max="2" width="11.83203125" bestFit="1" customWidth="1"/>
    <col min="3" max="3" width="21.33203125" customWidth="1"/>
    <col min="4" max="4" width="10.5" bestFit="1" customWidth="1"/>
    <col min="5" max="5" width="10.1640625" bestFit="1" customWidth="1"/>
    <col min="6" max="6" width="9.6640625" bestFit="1" customWidth="1"/>
    <col min="7" max="7" width="10" bestFit="1" customWidth="1"/>
    <col min="8" max="8" width="9" bestFit="1" customWidth="1"/>
    <col min="9" max="9" width="10.5" bestFit="1" customWidth="1"/>
  </cols>
  <sheetData>
    <row r="1" spans="1:20" x14ac:dyDescent="0.2">
      <c r="A1" s="68" t="s">
        <v>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20" x14ac:dyDescent="0.2">
      <c r="A4" s="67"/>
      <c r="B4" s="17" t="s">
        <v>0</v>
      </c>
      <c r="C4" s="1" t="s">
        <v>1</v>
      </c>
      <c r="D4" s="2" t="s">
        <v>2</v>
      </c>
      <c r="E4" s="2" t="s">
        <v>3</v>
      </c>
      <c r="F4" s="3" t="s">
        <v>4</v>
      </c>
      <c r="G4" s="3" t="s">
        <v>5</v>
      </c>
      <c r="H4" s="1" t="s">
        <v>6</v>
      </c>
      <c r="I4" s="4" t="s">
        <v>10</v>
      </c>
      <c r="J4" s="76"/>
      <c r="K4" s="11" t="s">
        <v>8</v>
      </c>
      <c r="L4" s="12" t="s">
        <v>33</v>
      </c>
      <c r="M4" s="13" t="s">
        <v>9</v>
      </c>
    </row>
    <row r="5" spans="1:20" x14ac:dyDescent="0.2">
      <c r="A5" s="67"/>
      <c r="B5" s="18" t="s">
        <v>13</v>
      </c>
      <c r="C5" s="25">
        <v>11.6</v>
      </c>
      <c r="D5" s="25">
        <v>11.6</v>
      </c>
      <c r="E5" s="18">
        <f>ROUNDUP(Tabela22[[#This Row],[Length(cm)]]*$M$6,1)</f>
        <v>21.5</v>
      </c>
      <c r="F5" s="18">
        <f>ROUNDUP(Tabela22[[#This Row],[Width(cm)]]*$M$6,1)</f>
        <v>21.5</v>
      </c>
      <c r="G5" s="19">
        <v>2.5</v>
      </c>
      <c r="H5" s="18">
        <f>ROUNDUP(Tabela22[[#This Row],[Length(m)]]*Tabela22[[#This Row],[Width(m)]],1)</f>
        <v>462.3</v>
      </c>
      <c r="I5" s="18" t="s">
        <v>15</v>
      </c>
      <c r="J5" s="76"/>
      <c r="K5" s="8">
        <v>5</v>
      </c>
      <c r="L5" s="9" t="s">
        <v>7</v>
      </c>
      <c r="M5" s="10">
        <v>2.7</v>
      </c>
    </row>
    <row r="6" spans="1:20" x14ac:dyDescent="0.2">
      <c r="A6" s="67"/>
      <c r="B6" s="15" t="s">
        <v>24</v>
      </c>
      <c r="C6" s="21">
        <v>3.3</v>
      </c>
      <c r="D6" s="21">
        <v>2.5</v>
      </c>
      <c r="E6" s="4">
        <f>ROUNDUP(Tabela22[[#This Row],[Length(cm)]]*$M$6,1)</f>
        <v>6.1999999999999993</v>
      </c>
      <c r="F6" s="4">
        <f>ROUNDUP(Tabela22[[#This Row],[Width(cm)]]*$M$6,1)</f>
        <v>4.6999999999999993</v>
      </c>
      <c r="G6" s="4">
        <v>2.5</v>
      </c>
      <c r="H6" s="4">
        <f>ROUNDUP(Tabela22[[#This Row],[Length(m)]]*Tabela22[[#This Row],[Width(m)]],1)</f>
        <v>29.200000000000003</v>
      </c>
      <c r="I6" s="4">
        <f>ROUNDUP( Tabela22[[#This Row],[Area(m²)]]/10*2,0)</f>
        <v>6</v>
      </c>
      <c r="J6" s="76"/>
      <c r="K6" s="5">
        <v>1</v>
      </c>
      <c r="L6" s="6" t="s">
        <v>7</v>
      </c>
      <c r="M6" s="7">
        <f>K5/M5</f>
        <v>1.8518518518518516</v>
      </c>
    </row>
    <row r="7" spans="1:20" x14ac:dyDescent="0.2">
      <c r="A7" s="67"/>
      <c r="B7" s="4" t="s">
        <v>25</v>
      </c>
      <c r="C7" s="22">
        <v>3.3</v>
      </c>
      <c r="D7" s="22">
        <v>2.5</v>
      </c>
      <c r="E7" s="4">
        <f>ROUNDUP(Tabela22[[#This Row],[Length(cm)]]*$M$6,1)</f>
        <v>6.1999999999999993</v>
      </c>
      <c r="F7" s="4">
        <f>ROUNDUP(Tabela22[[#This Row],[Width(cm)]]*$M$6,1)</f>
        <v>4.6999999999999993</v>
      </c>
      <c r="G7" s="4">
        <v>2.5</v>
      </c>
      <c r="H7" s="4">
        <f>ROUNDUP(Tabela22[[#This Row],[Length(m)]]*Tabela22[[#This Row],[Width(m)]],1)</f>
        <v>29.200000000000003</v>
      </c>
      <c r="I7" s="4">
        <f>ROUNDUP( Tabela22[[#This Row],[Area(m²)]]/10*2,0)</f>
        <v>6</v>
      </c>
      <c r="J7" s="76"/>
      <c r="K7" s="72"/>
      <c r="L7" s="72"/>
      <c r="M7" s="72"/>
    </row>
    <row r="8" spans="1:20" x14ac:dyDescent="0.2">
      <c r="A8" s="67"/>
      <c r="B8" s="4" t="s">
        <v>26</v>
      </c>
      <c r="C8" s="21">
        <v>2.2999999999999998</v>
      </c>
      <c r="D8" s="21">
        <v>2.6</v>
      </c>
      <c r="E8" s="4">
        <f>ROUNDUP(Tabela22[[#This Row],[Length(cm)]]*$M$6,1)</f>
        <v>4.3</v>
      </c>
      <c r="F8" s="4">
        <f>ROUNDUP(Tabela22[[#This Row],[Width(cm)]]*$M$6,1)</f>
        <v>4.8999999999999995</v>
      </c>
      <c r="G8" s="4">
        <v>2.5</v>
      </c>
      <c r="H8" s="4">
        <f>ROUNDUP(Tabela22[[#This Row],[Length(m)]]*Tabela22[[#This Row],[Width(m)]],1)</f>
        <v>21.1</v>
      </c>
      <c r="I8" s="4">
        <f>ROUNDUP( Tabela22[[#This Row],[Area(m²)]]/10*2,0)</f>
        <v>5</v>
      </c>
      <c r="J8" s="76"/>
      <c r="K8" s="73" t="s">
        <v>14</v>
      </c>
      <c r="L8" s="73"/>
      <c r="M8" s="76"/>
    </row>
    <row r="9" spans="1:20" x14ac:dyDescent="0.2">
      <c r="A9" s="67"/>
      <c r="B9" s="4" t="s">
        <v>27</v>
      </c>
      <c r="C9" s="22">
        <v>2.2999999999999998</v>
      </c>
      <c r="D9" s="22">
        <v>2.6</v>
      </c>
      <c r="E9" s="4">
        <f>ROUNDUP(Tabela22[[#This Row],[Length(cm)]]*$M$6,1)</f>
        <v>4.3</v>
      </c>
      <c r="F9" s="4">
        <f>ROUNDUP(Tabela22[[#This Row],[Width(cm)]]*$M$6,1)</f>
        <v>4.8999999999999995</v>
      </c>
      <c r="G9" s="4">
        <v>2.5</v>
      </c>
      <c r="H9" s="4">
        <f>ROUNDUP(Tabela22[[#This Row],[Length(m)]]*Tabela22[[#This Row],[Width(m)]],1)</f>
        <v>21.1</v>
      </c>
      <c r="I9" s="4">
        <f>ROUNDUP( Tabela22[[#This Row],[Area(m²)]]/10*2,0)</f>
        <v>5</v>
      </c>
      <c r="J9" s="76"/>
      <c r="K9" s="74">
        <f>SUM(Tabela22[Nº Outlets])</f>
        <v>50</v>
      </c>
      <c r="L9" s="75"/>
      <c r="M9" s="76"/>
    </row>
    <row r="10" spans="1:20" x14ac:dyDescent="0.2">
      <c r="A10" s="67"/>
      <c r="B10" s="4" t="s">
        <v>28</v>
      </c>
      <c r="C10" s="21">
        <v>2.2999999999999998</v>
      </c>
      <c r="D10" s="21">
        <v>2.6</v>
      </c>
      <c r="E10" s="4">
        <f>ROUNDUP(Tabela22[[#This Row],[Length(cm)]]*$M$6,1)</f>
        <v>4.3</v>
      </c>
      <c r="F10" s="4">
        <f>ROUNDUP(Tabela22[[#This Row],[Width(cm)]]*$M$6,1)</f>
        <v>4.8999999999999995</v>
      </c>
      <c r="G10" s="4">
        <v>2.5</v>
      </c>
      <c r="H10" s="4">
        <f>ROUNDUP(Tabela22[[#This Row],[Length(m)]]*Tabela22[[#This Row],[Width(m)]],1)</f>
        <v>21.1</v>
      </c>
      <c r="I10" s="4">
        <f>ROUNDUP( Tabela22[[#This Row],[Area(m²)]]/10*2,0)</f>
        <v>5</v>
      </c>
      <c r="J10" s="76"/>
      <c r="K10" s="67"/>
      <c r="L10" s="67"/>
      <c r="M10" s="67"/>
    </row>
    <row r="11" spans="1:20" x14ac:dyDescent="0.2">
      <c r="A11" s="67"/>
      <c r="B11" s="4" t="s">
        <v>29</v>
      </c>
      <c r="C11" s="22">
        <v>2.2999999999999998</v>
      </c>
      <c r="D11" s="22">
        <v>2.6</v>
      </c>
      <c r="E11" s="4">
        <f>ROUNDUP(Tabela22[[#This Row],[Length(cm)]]*$M$6,1)</f>
        <v>4.3</v>
      </c>
      <c r="F11" s="4">
        <f>ROUNDUP(Tabela22[[#This Row],[Width(cm)]]*$M$6,1)</f>
        <v>4.8999999999999995</v>
      </c>
      <c r="G11" s="4">
        <v>2.5</v>
      </c>
      <c r="H11" s="4">
        <f>ROUNDUP(Tabela22[[#This Row],[Length(m)]]*Tabela22[[#This Row],[Width(m)]],1)</f>
        <v>21.1</v>
      </c>
      <c r="I11" s="4">
        <f>ROUNDUP( Tabela22[[#This Row],[Area(m²)]]/10*2,0)</f>
        <v>5</v>
      </c>
      <c r="J11" s="76"/>
      <c r="K11" s="67"/>
      <c r="L11" s="67"/>
      <c r="M11" s="67"/>
    </row>
    <row r="12" spans="1:20" x14ac:dyDescent="0.2">
      <c r="A12" s="67"/>
      <c r="B12" s="4" t="s">
        <v>30</v>
      </c>
      <c r="C12" s="21">
        <v>3.4</v>
      </c>
      <c r="D12" s="21">
        <v>2.2000000000000002</v>
      </c>
      <c r="E12" s="4">
        <f>ROUNDUP(Tabela22[[#This Row],[Length(cm)]]*$M$6,1)</f>
        <v>6.3</v>
      </c>
      <c r="F12" s="4">
        <f>ROUNDUP(Tabela22[[#This Row],[Width(cm)]]*$M$6,1)</f>
        <v>4.0999999999999996</v>
      </c>
      <c r="G12" s="4">
        <v>2.5</v>
      </c>
      <c r="H12" s="4">
        <f>ROUNDUP(Tabela22[[#This Row],[Length(m)]]*Tabela22[[#This Row],[Width(m)]],1)</f>
        <v>25.900000000000002</v>
      </c>
      <c r="I12" s="4">
        <f>ROUNDUP( Tabela22[[#This Row],[Area(m²)]]/10*2,0)</f>
        <v>6</v>
      </c>
      <c r="J12" s="76"/>
      <c r="K12" s="67"/>
      <c r="L12" s="67"/>
      <c r="M12" s="67"/>
    </row>
    <row r="13" spans="1:20" x14ac:dyDescent="0.2">
      <c r="A13" s="67"/>
      <c r="B13" s="4" t="s">
        <v>31</v>
      </c>
      <c r="C13" s="22">
        <v>3.4</v>
      </c>
      <c r="D13" s="22">
        <v>2.2000000000000002</v>
      </c>
      <c r="E13" s="4">
        <f>ROUNDUP(Tabela22[[#This Row],[Length(cm)]]*$M$6,1)</f>
        <v>6.3</v>
      </c>
      <c r="F13" s="4">
        <f>ROUNDUP(Tabela22[[#This Row],[Width(cm)]]*$M$6,1)</f>
        <v>4.0999999999999996</v>
      </c>
      <c r="G13" s="4">
        <v>2.5</v>
      </c>
      <c r="H13" s="4">
        <f>ROUNDUP(Tabela22[[#This Row],[Length(m)]]*Tabela22[[#This Row],[Width(m)]],1)</f>
        <v>25.900000000000002</v>
      </c>
      <c r="I13" s="4">
        <f>ROUNDUP( Tabela22[[#This Row],[Area(m²)]]/10*2,0)</f>
        <v>6</v>
      </c>
      <c r="J13" s="76"/>
      <c r="K13" s="67"/>
      <c r="L13" s="67"/>
      <c r="M13" s="67"/>
    </row>
    <row r="14" spans="1:20" x14ac:dyDescent="0.2">
      <c r="A14" s="67"/>
      <c r="B14" s="4" t="s">
        <v>32</v>
      </c>
      <c r="C14" s="21">
        <v>3.4</v>
      </c>
      <c r="D14" s="21">
        <v>2.2000000000000002</v>
      </c>
      <c r="E14" s="4">
        <f>ROUNDUP(Tabela22[[#This Row],[Length(cm)]]*$M$6,1)</f>
        <v>6.3</v>
      </c>
      <c r="F14" s="4">
        <f>ROUNDUP(Tabela22[[#This Row],[Width(cm)]]*$M$6,1)</f>
        <v>4.0999999999999996</v>
      </c>
      <c r="G14" s="4">
        <v>2.5</v>
      </c>
      <c r="H14" s="4">
        <f>ROUNDUP(Tabela22[[#This Row],[Length(m)]]*Tabela22[[#This Row],[Width(m)]],1)</f>
        <v>25.900000000000002</v>
      </c>
      <c r="I14" s="4">
        <f>ROUNDUP( Tabela22[[#This Row],[Area(m²)]]/10*2,0)</f>
        <v>6</v>
      </c>
      <c r="J14" s="76"/>
      <c r="K14" s="67"/>
      <c r="L14" s="67"/>
      <c r="M14" s="67"/>
    </row>
  </sheetData>
  <mergeCells count="9">
    <mergeCell ref="A1:T2"/>
    <mergeCell ref="K8:L8"/>
    <mergeCell ref="K9:L9"/>
    <mergeCell ref="B3:M3"/>
    <mergeCell ref="J4:J14"/>
    <mergeCell ref="K7:M7"/>
    <mergeCell ref="K10:M14"/>
    <mergeCell ref="M8:M9"/>
    <mergeCell ref="A3:A14"/>
  </mergeCells>
  <phoneticPr fontId="3" type="noConversion"/>
  <pageMargins left="0.7" right="0.7" top="0.75" bottom="0.75" header="0.3" footer="0.3"/>
  <ignoredErrors>
    <ignoredError sqref="I5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EAD8-CA93-9B40-B748-347A8F27B4A2}">
  <dimension ref="A1:T69"/>
  <sheetViews>
    <sheetView topLeftCell="A3" zoomScale="139" zoomScaleNormal="152" workbookViewId="0">
      <selection activeCell="G19" sqref="G19"/>
    </sheetView>
  </sheetViews>
  <sheetFormatPr baseColWidth="10" defaultColWidth="8.83203125" defaultRowHeight="15" x14ac:dyDescent="0.2"/>
  <cols>
    <col min="1" max="1" width="3.5" customWidth="1"/>
    <col min="2" max="2" width="13.1640625" customWidth="1"/>
    <col min="3" max="3" width="19.1640625" customWidth="1"/>
    <col min="4" max="4" width="12.33203125" customWidth="1"/>
    <col min="5" max="5" width="11.6640625" customWidth="1"/>
    <col min="6" max="6" width="12.1640625" customWidth="1"/>
    <col min="7" max="7" width="11.1640625" customWidth="1"/>
    <col min="8" max="9" width="10.5" bestFit="1" customWidth="1"/>
  </cols>
  <sheetData>
    <row r="1" spans="1:20" ht="31.5" customHeight="1" x14ac:dyDescent="0.2">
      <c r="A1" s="68" t="s">
        <v>153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7" spans="1:20" ht="15" customHeight="1" x14ac:dyDescent="0.2"/>
    <row r="8" spans="1:20" ht="15" customHeight="1" x14ac:dyDescent="0.2"/>
    <row r="9" spans="1:20" ht="15" customHeight="1" x14ac:dyDescent="0.2"/>
    <row r="11" spans="1:20" ht="14" customHeight="1" x14ac:dyDescent="0.2"/>
    <row r="12" spans="1:20" ht="18" customHeight="1" x14ac:dyDescent="0.2"/>
    <row r="13" spans="1:20" ht="17" customHeight="1" x14ac:dyDescent="0.2"/>
    <row r="15" spans="1:20" x14ac:dyDescent="0.2">
      <c r="B15" s="11" t="s">
        <v>8</v>
      </c>
      <c r="C15" s="12" t="s">
        <v>33</v>
      </c>
      <c r="D15" s="13" t="s">
        <v>9</v>
      </c>
      <c r="E15" s="76"/>
      <c r="F15" s="67"/>
      <c r="G15" s="67"/>
      <c r="H15" s="67"/>
      <c r="I15" s="67"/>
      <c r="J15" s="67"/>
      <c r="K15" s="67"/>
    </row>
    <row r="16" spans="1:20" x14ac:dyDescent="0.2">
      <c r="B16" s="8">
        <v>5</v>
      </c>
      <c r="C16" s="9" t="s">
        <v>7</v>
      </c>
      <c r="D16" s="10">
        <v>5.0999999999999996</v>
      </c>
      <c r="E16" s="77"/>
      <c r="F16" s="78"/>
      <c r="G16" s="78"/>
      <c r="H16" s="78"/>
      <c r="I16" s="78"/>
      <c r="J16" s="78"/>
      <c r="K16" s="78"/>
    </row>
    <row r="17" spans="2:11" x14ac:dyDescent="0.2">
      <c r="B17" s="5">
        <v>1</v>
      </c>
      <c r="C17" s="6" t="s">
        <v>7</v>
      </c>
      <c r="D17" s="7">
        <f>B16/D16</f>
        <v>0.98039215686274517</v>
      </c>
      <c r="E17" s="79" t="s">
        <v>34</v>
      </c>
      <c r="F17" s="80"/>
      <c r="G17" s="80"/>
      <c r="H17" s="80"/>
      <c r="I17" s="80"/>
      <c r="J17" s="80"/>
      <c r="K17" s="81"/>
    </row>
    <row r="18" spans="2:11" ht="48" x14ac:dyDescent="0.2">
      <c r="B18" s="28" t="s">
        <v>35</v>
      </c>
      <c r="C18" s="29" t="s">
        <v>36</v>
      </c>
      <c r="D18" s="29" t="s">
        <v>37</v>
      </c>
      <c r="E18" s="29" t="s">
        <v>38</v>
      </c>
      <c r="F18" s="29" t="s">
        <v>152</v>
      </c>
      <c r="G18" s="29" t="s">
        <v>39</v>
      </c>
      <c r="H18" s="29" t="s">
        <v>40</v>
      </c>
      <c r="I18" s="29" t="s">
        <v>41</v>
      </c>
      <c r="J18" s="29" t="s">
        <v>42</v>
      </c>
      <c r="K18" s="30" t="s">
        <v>43</v>
      </c>
    </row>
    <row r="19" spans="2:11" x14ac:dyDescent="0.2">
      <c r="B19" s="31" t="s">
        <v>44</v>
      </c>
      <c r="C19" s="4">
        <f>B7</f>
        <v>0</v>
      </c>
      <c r="D19" s="4">
        <v>1</v>
      </c>
      <c r="E19" s="4">
        <v>0</v>
      </c>
      <c r="F19" s="4">
        <v>41.9</v>
      </c>
      <c r="G19" s="4">
        <v>2</v>
      </c>
      <c r="H19" s="4">
        <f>Tabela359[[#This Row],[Room Common Point (cm)]]+Tabela359[[#This Row],[Distance (cm)]]</f>
        <v>41.9</v>
      </c>
      <c r="I19" s="4">
        <f>ROUNDUP(Tabela359[[#This Row],[Room Common Point (cm)]]/$D$17,1)</f>
        <v>0</v>
      </c>
      <c r="J19" s="4">
        <f>ROUNDUP(Tabela359[[#This Row],[Distance (cm)]]/$D$17,1)</f>
        <v>42.800000000000004</v>
      </c>
      <c r="K19" s="4">
        <f>ROUNDUP(((Tabela359[[#This Row],[Total (cm)]]/$D$17) + ($G$5*Tabela359[[#This Row],[Height Multiplier]])) *Tabela359[[#This Row],[Cable Multiplier]],1)</f>
        <v>85.5</v>
      </c>
    </row>
    <row r="20" spans="2:11" x14ac:dyDescent="0.2">
      <c r="B20" s="31" t="s">
        <v>94</v>
      </c>
      <c r="C20" s="4" t="s">
        <v>95</v>
      </c>
      <c r="D20" s="4">
        <v>1</v>
      </c>
      <c r="E20" s="4">
        <v>0</v>
      </c>
      <c r="F20" s="4">
        <v>0.6</v>
      </c>
      <c r="G20" s="4">
        <v>2</v>
      </c>
      <c r="H20" s="19">
        <f>Tabela359[[#This Row],[Room Common Point (cm)]]+Tabela359[[#This Row],[Distance (cm)]]</f>
        <v>0.6</v>
      </c>
      <c r="I20" s="19">
        <f>ROUNDUP(Tabela359[[#This Row],[Room Common Point (cm)]]/$D$17,1)</f>
        <v>0</v>
      </c>
      <c r="J20" s="19">
        <f>ROUNDUP(Tabela359[[#This Row],[Distance (cm)]]/$D$17,1)</f>
        <v>0.7</v>
      </c>
      <c r="K20" s="19">
        <f>ROUNDUP(((Tabela359[[#This Row],[Total (cm)]]/$D$17) + ($G$5*Tabela359[[#This Row],[Height Multiplier]])) *Tabela359[[#This Row],[Cable Multiplier]],1)</f>
        <v>1.3</v>
      </c>
    </row>
    <row r="21" spans="2:11" x14ac:dyDescent="0.2">
      <c r="B21" s="31" t="s">
        <v>45</v>
      </c>
      <c r="C21" s="4" t="s">
        <v>46</v>
      </c>
      <c r="D21" s="4">
        <v>2</v>
      </c>
      <c r="E21" s="4">
        <v>0</v>
      </c>
      <c r="F21" s="4">
        <v>4</v>
      </c>
      <c r="G21" s="4">
        <v>3</v>
      </c>
      <c r="H21" s="4">
        <f>Tabela359[[#This Row],[Room Common Point (cm)]]+Tabela359[[#This Row],[Distance (cm)]]</f>
        <v>4</v>
      </c>
      <c r="I21" s="4">
        <f>ROUNDUP(Tabela359[[#This Row],[Room Common Point (cm)]]/$D$17,1)</f>
        <v>0</v>
      </c>
      <c r="J21" s="4">
        <f>ROUNDUP(Tabela359[[#This Row],[Distance (cm)]]/$D$17,1)</f>
        <v>4.0999999999999996</v>
      </c>
      <c r="K21" s="4">
        <f>ROUNDUP(((Tabela359[[#This Row],[Total (cm)]]/$D$17) + ($G$5*Tabela359[[#This Row],[Height Multiplier]])) *Tabela359[[#This Row],[Cable Multiplier]],1)</f>
        <v>12.299999999999999</v>
      </c>
    </row>
    <row r="22" spans="2:11" x14ac:dyDescent="0.2">
      <c r="B22" s="31" t="s">
        <v>45</v>
      </c>
      <c r="C22" s="4" t="s">
        <v>47</v>
      </c>
      <c r="D22" s="4">
        <v>2</v>
      </c>
      <c r="E22" s="4">
        <v>0</v>
      </c>
      <c r="F22" s="4">
        <v>26</v>
      </c>
      <c r="G22" s="4">
        <v>3</v>
      </c>
      <c r="H22" s="4">
        <f>Tabela359[[#This Row],[Room Common Point (cm)]]+Tabela359[[#This Row],[Distance (cm)]]</f>
        <v>26</v>
      </c>
      <c r="I22" s="4">
        <f>ROUNDUP(Tabela359[[#This Row],[Room Common Point (cm)]]/$D$17,1)</f>
        <v>0</v>
      </c>
      <c r="J22" s="4">
        <f>ROUNDUP(Tabela359[[#This Row],[Distance (cm)]]/$D$17,1)</f>
        <v>26.6</v>
      </c>
      <c r="K22" s="4">
        <f>ROUNDUP(((Tabela359[[#This Row],[Total (cm)]]/$D$17) + ($G$5*Tabela359[[#This Row],[Height Multiplier]])) *Tabela359[[#This Row],[Cable Multiplier]],1)</f>
        <v>79.599999999999994</v>
      </c>
    </row>
    <row r="23" spans="2:11" x14ac:dyDescent="0.2">
      <c r="B23" s="31" t="s">
        <v>45</v>
      </c>
      <c r="C23" s="4" t="s">
        <v>48</v>
      </c>
      <c r="D23" s="4">
        <v>2</v>
      </c>
      <c r="E23" s="4">
        <v>0</v>
      </c>
      <c r="F23" s="4">
        <v>41</v>
      </c>
      <c r="G23" s="4">
        <v>3</v>
      </c>
      <c r="H23" s="4">
        <f>Tabela359[[#This Row],[Room Common Point (cm)]]+Tabela359[[#This Row],[Distance (cm)]]</f>
        <v>41</v>
      </c>
      <c r="I23" s="4">
        <f>ROUNDUP(Tabela359[[#This Row],[Room Common Point (cm)]]/$D$17,1)</f>
        <v>0</v>
      </c>
      <c r="J23" s="4">
        <f>ROUNDUP(Tabela359[[#This Row],[Distance (cm)]]/$D$17,1)</f>
        <v>41.9</v>
      </c>
      <c r="K23" s="4">
        <f>ROUNDUP(((Tabela359[[#This Row],[Total (cm)]]/$D$17) + ($G$5*Tabela359[[#This Row],[Height Multiplier]])) *Tabela359[[#This Row],[Cable Multiplier]],1)</f>
        <v>125.5</v>
      </c>
    </row>
    <row r="24" spans="2:11" x14ac:dyDescent="0.2">
      <c r="B24" s="31" t="s">
        <v>45</v>
      </c>
      <c r="C24" s="4" t="s">
        <v>49</v>
      </c>
      <c r="D24" s="4">
        <v>2</v>
      </c>
      <c r="E24" s="4">
        <v>0</v>
      </c>
      <c r="F24" s="4">
        <f>41+10.1</f>
        <v>51.1</v>
      </c>
      <c r="G24" s="4">
        <v>3</v>
      </c>
      <c r="H24" s="4">
        <f>Tabela359[[#This Row],[Room Common Point (cm)]]+Tabela359[[#This Row],[Distance (cm)]]</f>
        <v>51.1</v>
      </c>
      <c r="I24" s="4">
        <f>ROUNDUP(Tabela359[[#This Row],[Room Common Point (cm)]]/$D$17,1)</f>
        <v>0</v>
      </c>
      <c r="J24" s="4">
        <f>ROUNDUP(Tabela359[[#This Row],[Distance (cm)]]/$D$17,1)</f>
        <v>52.2</v>
      </c>
      <c r="K24" s="4">
        <f>ROUNDUP(((Tabela359[[#This Row],[Total (cm)]]/$D$17) + ($G$5*Tabela359[[#This Row],[Height Multiplier]])) *Tabela359[[#This Row],[Cable Multiplier]],1)</f>
        <v>156.4</v>
      </c>
    </row>
    <row r="25" spans="2:11" x14ac:dyDescent="0.2">
      <c r="B25" s="31" t="s">
        <v>46</v>
      </c>
      <c r="C25" s="4" t="s">
        <v>50</v>
      </c>
      <c r="D25" s="4">
        <v>0.25</v>
      </c>
      <c r="E25" s="4">
        <v>0</v>
      </c>
      <c r="F25" s="4">
        <v>2.2999999999999998</v>
      </c>
      <c r="G25" s="4">
        <v>1</v>
      </c>
      <c r="H25" s="4">
        <f>Tabela359[[#This Row],[Room Common Point (cm)]]+Tabela359[[#This Row],[Distance (cm)]]</f>
        <v>2.2999999999999998</v>
      </c>
      <c r="I25" s="4">
        <f>ROUNDUP(Tabela359[[#This Row],[Room Common Point (cm)]]/$D$17,1)</f>
        <v>0</v>
      </c>
      <c r="J25" s="4">
        <f>ROUNDUP(Tabela359[[#This Row],[Distance (cm)]]/$D$17,1)</f>
        <v>2.4</v>
      </c>
      <c r="K25" s="4">
        <f>ROUNDUP(((Tabela359[[#This Row],[Total (cm)]]/$D$17) + ($G$5*Tabela359[[#This Row],[Height Multiplier]])) *Tabela359[[#This Row],[Cable Multiplier]],1)</f>
        <v>2.4</v>
      </c>
    </row>
    <row r="26" spans="2:11" x14ac:dyDescent="0.2">
      <c r="B26" s="31" t="s">
        <v>46</v>
      </c>
      <c r="C26" s="4" t="s">
        <v>51</v>
      </c>
      <c r="D26" s="4">
        <v>0.25</v>
      </c>
      <c r="E26" s="4">
        <v>0</v>
      </c>
      <c r="F26" s="4">
        <v>1.1000000000000001</v>
      </c>
      <c r="G26" s="4">
        <v>1</v>
      </c>
      <c r="H26" s="4">
        <f>Tabela359[[#This Row],[Room Common Point (cm)]]+Tabela359[[#This Row],[Distance (cm)]]</f>
        <v>1.1000000000000001</v>
      </c>
      <c r="I26" s="4">
        <f>ROUNDUP(Tabela359[[#This Row],[Room Common Point (cm)]]/$D$17,1)</f>
        <v>0</v>
      </c>
      <c r="J26" s="4">
        <f>ROUNDUP(Tabela359[[#This Row],[Distance (cm)]]/$D$17,1)</f>
        <v>1.2000000000000002</v>
      </c>
      <c r="K26" s="4">
        <f>ROUNDUP(((Tabela359[[#This Row],[Total (cm)]]/$D$17) + ($G$5*Tabela359[[#This Row],[Height Multiplier]])) *Tabela359[[#This Row],[Cable Multiplier]],1)</f>
        <v>1.2000000000000002</v>
      </c>
    </row>
    <row r="27" spans="2:11" x14ac:dyDescent="0.2">
      <c r="B27" s="31" t="s">
        <v>46</v>
      </c>
      <c r="C27" s="4" t="s">
        <v>52</v>
      </c>
      <c r="D27" s="4">
        <v>0.25</v>
      </c>
      <c r="E27" s="4">
        <v>0</v>
      </c>
      <c r="F27" s="4">
        <v>3.8</v>
      </c>
      <c r="G27" s="4">
        <v>1</v>
      </c>
      <c r="H27" s="4">
        <f>Tabela359[[#This Row],[Room Common Point (cm)]]+Tabela359[[#This Row],[Distance (cm)]]</f>
        <v>3.8</v>
      </c>
      <c r="I27" s="4">
        <f>ROUNDUP(Tabela359[[#This Row],[Room Common Point (cm)]]/$D$17,1)</f>
        <v>0</v>
      </c>
      <c r="J27" s="4">
        <f>ROUNDUP(Tabela359[[#This Row],[Distance (cm)]]/$D$17,1)</f>
        <v>3.9</v>
      </c>
      <c r="K27" s="4">
        <f>ROUNDUP(((Tabela359[[#This Row],[Total (cm)]]/$D$17) + ($G$5*Tabela359[[#This Row],[Height Multiplier]])) *Tabela359[[#This Row],[Cable Multiplier]],1)</f>
        <v>3.9</v>
      </c>
    </row>
    <row r="28" spans="2:11" x14ac:dyDescent="0.2">
      <c r="B28" s="31" t="s">
        <v>46</v>
      </c>
      <c r="C28" s="4" t="s">
        <v>53</v>
      </c>
      <c r="D28" s="4">
        <v>0.25</v>
      </c>
      <c r="E28" s="4">
        <v>0</v>
      </c>
      <c r="F28" s="4">
        <f>5.9+2.4</f>
        <v>8.3000000000000007</v>
      </c>
      <c r="G28" s="4">
        <v>1</v>
      </c>
      <c r="H28" s="4">
        <f>Tabela359[[#This Row],[Room Common Point (cm)]]+Tabela359[[#This Row],[Distance (cm)]]</f>
        <v>8.3000000000000007</v>
      </c>
      <c r="I28" s="4">
        <f>ROUNDUP(Tabela359[[#This Row],[Room Common Point (cm)]]/$D$17,1)</f>
        <v>0</v>
      </c>
      <c r="J28" s="4">
        <f>ROUNDUP(Tabela359[[#This Row],[Distance (cm)]]/$D$17,1)</f>
        <v>8.5</v>
      </c>
      <c r="K28" s="4">
        <f>ROUNDUP(((Tabela359[[#This Row],[Total (cm)]]/$D$17) + ($G$5*Tabela359[[#This Row],[Height Multiplier]])) *Tabela359[[#This Row],[Cable Multiplier]],1)</f>
        <v>8.5</v>
      </c>
    </row>
    <row r="29" spans="2:11" x14ac:dyDescent="0.2">
      <c r="B29" s="31" t="s">
        <v>46</v>
      </c>
      <c r="C29" s="4" t="s">
        <v>54</v>
      </c>
      <c r="D29" s="4">
        <v>0.25</v>
      </c>
      <c r="E29" s="4">
        <v>0</v>
      </c>
      <c r="F29" s="4">
        <f>10.7+1.6</f>
        <v>12.299999999999999</v>
      </c>
      <c r="G29" s="4">
        <v>1</v>
      </c>
      <c r="H29" s="4">
        <f>Tabela359[[#This Row],[Room Common Point (cm)]]+Tabela359[[#This Row],[Distance (cm)]]</f>
        <v>12.299999999999999</v>
      </c>
      <c r="I29" s="4">
        <f>ROUNDUP(Tabela359[[#This Row],[Room Common Point (cm)]]/$D$17,1)</f>
        <v>0</v>
      </c>
      <c r="J29" s="4">
        <f>ROUNDUP(Tabela359[[#This Row],[Distance (cm)]]/$D$17,1)</f>
        <v>12.6</v>
      </c>
      <c r="K29" s="4">
        <f>ROUNDUP(((Tabela359[[#This Row],[Total (cm)]]/$D$17) + ($G$5*Tabela359[[#This Row],[Height Multiplier]])) *Tabela359[[#This Row],[Cable Multiplier]],1)</f>
        <v>12.6</v>
      </c>
    </row>
    <row r="30" spans="2:11" x14ac:dyDescent="0.2">
      <c r="B30" s="31" t="s">
        <v>47</v>
      </c>
      <c r="C30" s="4" t="s">
        <v>61</v>
      </c>
      <c r="D30" s="4">
        <v>0.25</v>
      </c>
      <c r="E30" s="4">
        <v>0</v>
      </c>
      <c r="F30" s="4">
        <v>2.1</v>
      </c>
      <c r="G30" s="4">
        <v>1</v>
      </c>
      <c r="H30" s="4">
        <f>Tabela359[[#This Row],[Room Common Point (cm)]]+Tabela359[[#This Row],[Distance (cm)]]</f>
        <v>2.1</v>
      </c>
      <c r="I30" s="4">
        <f>ROUNDUP(Tabela359[[#This Row],[Room Common Point (cm)]]/$D$17,1)</f>
        <v>0</v>
      </c>
      <c r="J30" s="4">
        <f>ROUNDUP(Tabela359[[#This Row],[Distance (cm)]]/$D$17,1)</f>
        <v>2.2000000000000002</v>
      </c>
      <c r="K30" s="4">
        <f>ROUNDUP(((Tabela359[[#This Row],[Total (cm)]]/$D$17) + ($G$5*Tabela359[[#This Row],[Height Multiplier]])) *Tabela359[[#This Row],[Cable Multiplier]],1)</f>
        <v>2.2000000000000002</v>
      </c>
    </row>
    <row r="31" spans="2:11" x14ac:dyDescent="0.2">
      <c r="B31" s="31" t="s">
        <v>47</v>
      </c>
      <c r="C31" s="4" t="s">
        <v>62</v>
      </c>
      <c r="D31" s="4">
        <v>0.25</v>
      </c>
      <c r="E31" s="4">
        <v>0</v>
      </c>
      <c r="F31" s="4">
        <v>2.8</v>
      </c>
      <c r="G31" s="4">
        <v>1</v>
      </c>
      <c r="H31" s="4">
        <f>Tabela359[[#This Row],[Room Common Point (cm)]]+Tabela359[[#This Row],[Distance (cm)]]</f>
        <v>2.8</v>
      </c>
      <c r="I31" s="4">
        <f>ROUNDUP(Tabela359[[#This Row],[Room Common Point (cm)]]/$D$17,1)</f>
        <v>0</v>
      </c>
      <c r="J31" s="4">
        <f>ROUNDUP(Tabela359[[#This Row],[Distance (cm)]]/$D$17,1)</f>
        <v>2.9</v>
      </c>
      <c r="K31" s="4">
        <f>ROUNDUP(((Tabela359[[#This Row],[Total (cm)]]/$D$17) + ($G$5*Tabela359[[#This Row],[Height Multiplier]])) *Tabela359[[#This Row],[Cable Multiplier]],1)</f>
        <v>2.9</v>
      </c>
    </row>
    <row r="32" spans="2:11" x14ac:dyDescent="0.2">
      <c r="B32" s="31" t="s">
        <v>47</v>
      </c>
      <c r="C32" s="4" t="s">
        <v>63</v>
      </c>
      <c r="D32" s="4">
        <v>0.25</v>
      </c>
      <c r="E32" s="4">
        <v>0</v>
      </c>
      <c r="F32" s="4">
        <f>2.8+3.5</f>
        <v>6.3</v>
      </c>
      <c r="G32" s="4">
        <v>1</v>
      </c>
      <c r="H32" s="4">
        <f>Tabela359[[#This Row],[Room Common Point (cm)]]+Tabela359[[#This Row],[Distance (cm)]]</f>
        <v>6.3</v>
      </c>
      <c r="I32" s="4">
        <f>ROUNDUP(Tabela359[[#This Row],[Room Common Point (cm)]]/$D$17,1)</f>
        <v>0</v>
      </c>
      <c r="J32" s="4">
        <f>ROUNDUP(Tabela359[[#This Row],[Distance (cm)]]/$D$17,1)</f>
        <v>6.5</v>
      </c>
      <c r="K32" s="4">
        <f>ROUNDUP(((Tabela359[[#This Row],[Total (cm)]]/$D$17) + ($G$5*Tabela359[[#This Row],[Height Multiplier]])) *Tabela359[[#This Row],[Cable Multiplier]],1)</f>
        <v>6.5</v>
      </c>
    </row>
    <row r="33" spans="2:11" x14ac:dyDescent="0.2">
      <c r="B33" s="31" t="s">
        <v>47</v>
      </c>
      <c r="C33" s="4" t="s">
        <v>64</v>
      </c>
      <c r="D33" s="4">
        <v>0.25</v>
      </c>
      <c r="E33" s="4">
        <v>0</v>
      </c>
      <c r="F33" s="4">
        <f>6.3+4.2</f>
        <v>10.5</v>
      </c>
      <c r="G33" s="4">
        <v>1</v>
      </c>
      <c r="H33" s="4">
        <f>Tabela359[[#This Row],[Room Common Point (cm)]]+Tabela359[[#This Row],[Distance (cm)]]</f>
        <v>10.5</v>
      </c>
      <c r="I33" s="4">
        <f>ROUNDUP(Tabela359[[#This Row],[Room Common Point (cm)]]/$D$17,1)</f>
        <v>0</v>
      </c>
      <c r="J33" s="4">
        <f>ROUNDUP(Tabela359[[#This Row],[Distance (cm)]]/$D$17,1)</f>
        <v>10.799999999999999</v>
      </c>
      <c r="K33" s="4">
        <f>ROUNDUP(((Tabela359[[#This Row],[Total (cm)]]/$D$17) + ($G$5*Tabela359[[#This Row],[Height Multiplier]])) *Tabela359[[#This Row],[Cable Multiplier]],1)</f>
        <v>10.799999999999999</v>
      </c>
    </row>
    <row r="34" spans="2:11" x14ac:dyDescent="0.2">
      <c r="B34" s="31" t="s">
        <v>47</v>
      </c>
      <c r="C34" s="4" t="s">
        <v>65</v>
      </c>
      <c r="D34" s="4">
        <v>0.25</v>
      </c>
      <c r="E34" s="4">
        <v>0</v>
      </c>
      <c r="F34" s="4">
        <f>4.7+F31</f>
        <v>7.5</v>
      </c>
      <c r="G34" s="4">
        <v>1</v>
      </c>
      <c r="H34" s="4">
        <f>Tabela359[[#This Row],[Room Common Point (cm)]]+Tabela359[[#This Row],[Distance (cm)]]</f>
        <v>7.5</v>
      </c>
      <c r="I34" s="4">
        <f>ROUNDUP(Tabela359[[#This Row],[Room Common Point (cm)]]/$D$17,1)</f>
        <v>0</v>
      </c>
      <c r="J34" s="4">
        <f>ROUNDUP(Tabela359[[#This Row],[Distance (cm)]]/$D$17,1)</f>
        <v>7.6999999999999993</v>
      </c>
      <c r="K34" s="4">
        <f>ROUNDUP(((Tabela359[[#This Row],[Total (cm)]]/$D$17) + ($G$5*Tabela359[[#This Row],[Height Multiplier]])) *Tabela359[[#This Row],[Cable Multiplier]],1)</f>
        <v>7.6999999999999993</v>
      </c>
    </row>
    <row r="35" spans="2:11" x14ac:dyDescent="0.2">
      <c r="B35" s="31" t="s">
        <v>47</v>
      </c>
      <c r="C35" s="4" t="s">
        <v>66</v>
      </c>
      <c r="D35" s="4">
        <v>0.25</v>
      </c>
      <c r="E35" s="4">
        <v>0</v>
      </c>
      <c r="F35" s="4">
        <f>4.7+F32</f>
        <v>11</v>
      </c>
      <c r="G35" s="4">
        <v>1</v>
      </c>
      <c r="H35" s="4">
        <f>Tabela359[[#This Row],[Room Common Point (cm)]]+Tabela359[[#This Row],[Distance (cm)]]</f>
        <v>11</v>
      </c>
      <c r="I35" s="4">
        <f>ROUNDUP(Tabela359[[#This Row],[Room Common Point (cm)]]/$D$17,1)</f>
        <v>0</v>
      </c>
      <c r="J35" s="4">
        <f>ROUNDUP(Tabela359[[#This Row],[Distance (cm)]]/$D$17,1)</f>
        <v>11.299999999999999</v>
      </c>
      <c r="K35" s="4">
        <f>ROUNDUP(((Tabela359[[#This Row],[Total (cm)]]/$D$17) + ($G$5*Tabela359[[#This Row],[Height Multiplier]])) *Tabela359[[#This Row],[Cable Multiplier]],1)</f>
        <v>11.299999999999999</v>
      </c>
    </row>
    <row r="36" spans="2:11" x14ac:dyDescent="0.2">
      <c r="B36" s="31" t="s">
        <v>47</v>
      </c>
      <c r="C36" s="4" t="s">
        <v>67</v>
      </c>
      <c r="D36" s="4">
        <v>0.25</v>
      </c>
      <c r="E36" s="4">
        <v>0</v>
      </c>
      <c r="F36" s="4">
        <f>4.7+F33</f>
        <v>15.2</v>
      </c>
      <c r="G36" s="4">
        <v>1</v>
      </c>
      <c r="H36" s="4">
        <f>Tabela359[[#This Row],[Room Common Point (cm)]]+Tabela359[[#This Row],[Distance (cm)]]</f>
        <v>15.2</v>
      </c>
      <c r="I36" s="4">
        <f>ROUNDUP(Tabela359[[#This Row],[Room Common Point (cm)]]/$D$17,1)</f>
        <v>0</v>
      </c>
      <c r="J36" s="4">
        <f>ROUNDUP(Tabela359[[#This Row],[Distance (cm)]]/$D$17,1)</f>
        <v>15.6</v>
      </c>
      <c r="K36" s="4">
        <f>ROUNDUP(((Tabela359[[#This Row],[Total (cm)]]/$D$17) + ($G$5*Tabela359[[#This Row],[Height Multiplier]])) *Tabela359[[#This Row],[Cable Multiplier]],1)</f>
        <v>15.6</v>
      </c>
    </row>
    <row r="37" spans="2:11" x14ac:dyDescent="0.2">
      <c r="B37" s="31" t="s">
        <v>47</v>
      </c>
      <c r="C37" s="4" t="s">
        <v>68</v>
      </c>
      <c r="D37" s="4">
        <v>0.25</v>
      </c>
      <c r="E37" s="4">
        <v>0</v>
      </c>
      <c r="F37" s="4">
        <v>2.5</v>
      </c>
      <c r="G37" s="4">
        <v>1</v>
      </c>
      <c r="H37" s="4">
        <f>Tabela359[[#This Row],[Room Common Point (cm)]]+Tabela359[[#This Row],[Distance (cm)]]</f>
        <v>2.5</v>
      </c>
      <c r="I37" s="4">
        <f>ROUNDUP(Tabela359[[#This Row],[Room Common Point (cm)]]/$D$17,1)</f>
        <v>0</v>
      </c>
      <c r="J37" s="4">
        <f>ROUNDUP(Tabela359[[#This Row],[Distance (cm)]]/$D$17,1)</f>
        <v>2.6</v>
      </c>
      <c r="K37" s="4">
        <f>ROUNDUP(((Tabela359[[#This Row],[Total (cm)]]/$D$17) + ($G$5*Tabela359[[#This Row],[Height Multiplier]])) *Tabela359[[#This Row],[Cable Multiplier]],1)</f>
        <v>2.6</v>
      </c>
    </row>
    <row r="38" spans="2:11" x14ac:dyDescent="0.2">
      <c r="B38" s="31" t="s">
        <v>47</v>
      </c>
      <c r="C38" s="4" t="s">
        <v>55</v>
      </c>
      <c r="D38" s="4">
        <v>0.25</v>
      </c>
      <c r="E38" s="4">
        <v>0</v>
      </c>
      <c r="F38" s="4">
        <f>4.6+2.7</f>
        <v>7.3</v>
      </c>
      <c r="G38" s="4">
        <v>1</v>
      </c>
      <c r="H38" s="4">
        <f>Tabela359[[#This Row],[Room Common Point (cm)]]+Tabela359[[#This Row],[Distance (cm)]]</f>
        <v>7.3</v>
      </c>
      <c r="I38" s="4">
        <f>ROUNDUP(Tabela359[[#This Row],[Room Common Point (cm)]]/$D$17,1)</f>
        <v>0</v>
      </c>
      <c r="J38" s="4">
        <f>ROUNDUP(Tabela359[[#This Row],[Distance (cm)]]/$D$17,1)</f>
        <v>7.5</v>
      </c>
      <c r="K38" s="4">
        <f>ROUNDUP(((Tabela359[[#This Row],[Total (cm)]]/$D$17) + ($G$5*Tabela359[[#This Row],[Height Multiplier]])) *Tabela359[[#This Row],[Cable Multiplier]],1)</f>
        <v>7.5</v>
      </c>
    </row>
    <row r="39" spans="2:11" x14ac:dyDescent="0.2">
      <c r="B39" s="31" t="s">
        <v>47</v>
      </c>
      <c r="C39" s="4" t="s">
        <v>56</v>
      </c>
      <c r="D39" s="4">
        <v>0.25</v>
      </c>
      <c r="E39" s="4">
        <v>0</v>
      </c>
      <c r="F39" s="4">
        <f>7.3+3.5</f>
        <v>10.8</v>
      </c>
      <c r="G39" s="4">
        <v>1</v>
      </c>
      <c r="H39" s="4">
        <f>Tabela359[[#This Row],[Room Common Point (cm)]]+Tabela359[[#This Row],[Distance (cm)]]</f>
        <v>10.8</v>
      </c>
      <c r="I39" s="4">
        <f>ROUNDUP(Tabela359[[#This Row],[Room Common Point (cm)]]/$D$17,1)</f>
        <v>0</v>
      </c>
      <c r="J39" s="4">
        <f>ROUNDUP(Tabela359[[#This Row],[Distance (cm)]]/$D$17,1)</f>
        <v>11.1</v>
      </c>
      <c r="K39" s="4">
        <f>ROUNDUP(((Tabela359[[#This Row],[Total (cm)]]/$D$17) + ($G$5*Tabela359[[#This Row],[Height Multiplier]])) *Tabela359[[#This Row],[Cable Multiplier]],1)</f>
        <v>11.1</v>
      </c>
    </row>
    <row r="40" spans="2:11" x14ac:dyDescent="0.2">
      <c r="B40" s="31" t="s">
        <v>47</v>
      </c>
      <c r="C40" s="4" t="s">
        <v>57</v>
      </c>
      <c r="D40" s="4">
        <v>0.25</v>
      </c>
      <c r="E40" s="4">
        <v>0</v>
      </c>
      <c r="F40" s="4">
        <f>10.8 + 4.2</f>
        <v>15</v>
      </c>
      <c r="G40" s="4">
        <v>1</v>
      </c>
      <c r="H40" s="4">
        <f>Tabela359[[#This Row],[Room Common Point (cm)]]+Tabela359[[#This Row],[Distance (cm)]]</f>
        <v>15</v>
      </c>
      <c r="I40" s="4">
        <f>ROUNDUP(Tabela359[[#This Row],[Room Common Point (cm)]]/$D$17,1)</f>
        <v>0</v>
      </c>
      <c r="J40" s="4">
        <f>ROUNDUP(Tabela359[[#This Row],[Distance (cm)]]/$D$17,1)</f>
        <v>15.3</v>
      </c>
      <c r="K40" s="4">
        <f>ROUNDUP(((Tabela359[[#This Row],[Total (cm)]]/$D$17) + ($G$5*Tabela359[[#This Row],[Height Multiplier]])) *Tabela359[[#This Row],[Cable Multiplier]],1)</f>
        <v>15.3</v>
      </c>
    </row>
    <row r="41" spans="2:11" x14ac:dyDescent="0.2">
      <c r="B41" s="31" t="s">
        <v>47</v>
      </c>
      <c r="C41" s="4" t="s">
        <v>58</v>
      </c>
      <c r="D41" s="4">
        <v>0.25</v>
      </c>
      <c r="E41" s="4">
        <v>0</v>
      </c>
      <c r="F41" s="4">
        <f>0.4+2.7</f>
        <v>3.1</v>
      </c>
      <c r="G41" s="4">
        <v>1</v>
      </c>
      <c r="H41" s="4">
        <f>Tabela359[[#This Row],[Room Common Point (cm)]]+Tabela359[[#This Row],[Distance (cm)]]</f>
        <v>3.1</v>
      </c>
      <c r="I41" s="4">
        <f>ROUNDUP(Tabela359[[#This Row],[Room Common Point (cm)]]/$D$17,1)</f>
        <v>0</v>
      </c>
      <c r="J41" s="4">
        <f>ROUNDUP(Tabela359[[#This Row],[Distance (cm)]]/$D$17,1)</f>
        <v>3.2</v>
      </c>
      <c r="K41" s="4">
        <f>ROUNDUP(((Tabela359[[#This Row],[Total (cm)]]/$D$17) + ($G$5*Tabela359[[#This Row],[Height Multiplier]])) *Tabela359[[#This Row],[Cable Multiplier]],1)</f>
        <v>3.2</v>
      </c>
    </row>
    <row r="42" spans="2:11" x14ac:dyDescent="0.2">
      <c r="B42" s="31" t="s">
        <v>47</v>
      </c>
      <c r="C42" s="4" t="s">
        <v>59</v>
      </c>
      <c r="D42" s="4">
        <v>0.25</v>
      </c>
      <c r="E42" s="4">
        <v>0</v>
      </c>
      <c r="F42" s="4">
        <f>3.1+3.4</f>
        <v>6.5</v>
      </c>
      <c r="G42" s="4">
        <v>1</v>
      </c>
      <c r="H42" s="4">
        <f>Tabela359[[#This Row],[Room Common Point (cm)]]+Tabela359[[#This Row],[Distance (cm)]]</f>
        <v>6.5</v>
      </c>
      <c r="I42" s="4">
        <f>ROUNDUP(Tabela359[[#This Row],[Room Common Point (cm)]]/$D$17,1)</f>
        <v>0</v>
      </c>
      <c r="J42" s="4">
        <f>ROUNDUP(Tabela359[[#This Row],[Distance (cm)]]/$D$17,1)</f>
        <v>6.6999999999999993</v>
      </c>
      <c r="K42" s="4">
        <f>ROUNDUP(((Tabela359[[#This Row],[Total (cm)]]/$D$17) + ($G$5*Tabela359[[#This Row],[Height Multiplier]])) *Tabela359[[#This Row],[Cable Multiplier]],1)</f>
        <v>6.6999999999999993</v>
      </c>
    </row>
    <row r="43" spans="2:11" x14ac:dyDescent="0.2">
      <c r="B43" s="31" t="s">
        <v>47</v>
      </c>
      <c r="C43" s="4" t="s">
        <v>60</v>
      </c>
      <c r="D43" s="4">
        <v>0.25</v>
      </c>
      <c r="E43" s="4">
        <v>0</v>
      </c>
      <c r="F43" s="4">
        <v>10.7</v>
      </c>
      <c r="G43" s="4">
        <v>1</v>
      </c>
      <c r="H43" s="19">
        <f>Tabela359[[#This Row],[Room Common Point (cm)]]+Tabela359[[#This Row],[Distance (cm)]]</f>
        <v>10.7</v>
      </c>
      <c r="I43" s="19">
        <f>ROUNDUP(Tabela359[[#This Row],[Room Common Point (cm)]]/$D$17,1)</f>
        <v>0</v>
      </c>
      <c r="J43" s="19">
        <f>ROUNDUP(Tabela359[[#This Row],[Distance (cm)]]/$D$17,1)</f>
        <v>11</v>
      </c>
      <c r="K43" s="19">
        <f>ROUNDUP(((Tabela359[[#This Row],[Total (cm)]]/$D$17) + ($G$5*Tabela359[[#This Row],[Height Multiplier]])) *Tabela359[[#This Row],[Cable Multiplier]],1)</f>
        <v>11</v>
      </c>
    </row>
    <row r="44" spans="2:11" x14ac:dyDescent="0.2">
      <c r="B44" s="31" t="s">
        <v>47</v>
      </c>
      <c r="C44" s="4" t="s">
        <v>93</v>
      </c>
      <c r="D44" s="4">
        <v>0.25</v>
      </c>
      <c r="E44" s="4">
        <v>0</v>
      </c>
      <c r="F44" s="4">
        <v>16</v>
      </c>
      <c r="G44" s="4">
        <v>1</v>
      </c>
      <c r="H44" s="19">
        <f>Tabela359[[#This Row],[Room Common Point (cm)]]+Tabela359[[#This Row],[Distance (cm)]]</f>
        <v>16</v>
      </c>
      <c r="I44" s="19">
        <f>ROUNDUP(Tabela359[[#This Row],[Room Common Point (cm)]]/$D$17,1)</f>
        <v>0</v>
      </c>
      <c r="J44" s="19">
        <f>ROUNDUP(Tabela359[[#This Row],[Distance (cm)]]/$D$17,1)</f>
        <v>16.400000000000002</v>
      </c>
      <c r="K44" s="19">
        <f>ROUNDUP(((Tabela359[[#This Row],[Total (cm)]]/$D$17) + ($G$5*Tabela359[[#This Row],[Height Multiplier]])) *Tabela359[[#This Row],[Cable Multiplier]],1)</f>
        <v>16.400000000000002</v>
      </c>
    </row>
    <row r="45" spans="2:11" x14ac:dyDescent="0.2">
      <c r="B45" s="31" t="s">
        <v>47</v>
      </c>
      <c r="C45" s="4" t="s">
        <v>69</v>
      </c>
      <c r="D45" s="4">
        <v>0.25</v>
      </c>
      <c r="E45" s="4">
        <v>0</v>
      </c>
      <c r="F45" s="4">
        <f>5.1+2.1</f>
        <v>7.1999999999999993</v>
      </c>
      <c r="G45" s="4">
        <v>1</v>
      </c>
      <c r="H45" s="4">
        <f>Tabela359[[#This Row],[Room Common Point (cm)]]+Tabela359[[#This Row],[Distance (cm)]]</f>
        <v>7.1999999999999993</v>
      </c>
      <c r="I45" s="4">
        <f>ROUNDUP(Tabela359[[#This Row],[Room Common Point (cm)]]/$D$17,1)</f>
        <v>0</v>
      </c>
      <c r="J45" s="4">
        <f>ROUNDUP(Tabela359[[#This Row],[Distance (cm)]]/$D$17,1)</f>
        <v>7.3999999999999995</v>
      </c>
      <c r="K45" s="4">
        <f>ROUNDUP(((Tabela359[[#This Row],[Total (cm)]]/$D$17) + ($G$5*Tabela359[[#This Row],[Height Multiplier]])) *Tabela359[[#This Row],[Cable Multiplier]],1)</f>
        <v>7.3999999999999995</v>
      </c>
    </row>
    <row r="46" spans="2:11" x14ac:dyDescent="0.2">
      <c r="B46" s="31" t="s">
        <v>47</v>
      </c>
      <c r="C46" s="4" t="s">
        <v>70</v>
      </c>
      <c r="D46" s="4">
        <v>0.25</v>
      </c>
      <c r="E46" s="4">
        <v>0</v>
      </c>
      <c r="F46" s="4">
        <f>5.1+2.7</f>
        <v>7.8</v>
      </c>
      <c r="G46" s="4">
        <v>1</v>
      </c>
      <c r="H46" s="4">
        <f>Tabela359[[#This Row],[Room Common Point (cm)]]+Tabela359[[#This Row],[Distance (cm)]]</f>
        <v>7.8</v>
      </c>
      <c r="I46" s="4">
        <f>ROUNDUP(Tabela359[[#This Row],[Room Common Point (cm)]]/$D$17,1)</f>
        <v>0</v>
      </c>
      <c r="J46" s="4">
        <f>ROUNDUP(Tabela359[[#This Row],[Distance (cm)]]/$D$17,1)</f>
        <v>8</v>
      </c>
      <c r="K46" s="4">
        <f>ROUNDUP(((Tabela359[[#This Row],[Total (cm)]]/$D$17) + ($G$5*Tabela359[[#This Row],[Height Multiplier]])) *Tabela359[[#This Row],[Cable Multiplier]],1)</f>
        <v>8</v>
      </c>
    </row>
    <row r="47" spans="2:11" x14ac:dyDescent="0.2">
      <c r="B47" s="31" t="s">
        <v>47</v>
      </c>
      <c r="C47" s="4" t="s">
        <v>71</v>
      </c>
      <c r="D47" s="4">
        <v>0.25</v>
      </c>
      <c r="E47" s="4">
        <v>0</v>
      </c>
      <c r="F47" s="4">
        <f>7.8+3.5</f>
        <v>11.3</v>
      </c>
      <c r="G47" s="4">
        <v>1</v>
      </c>
      <c r="H47" s="4">
        <f>Tabela359[[#This Row],[Room Common Point (cm)]]+Tabela359[[#This Row],[Distance (cm)]]</f>
        <v>11.3</v>
      </c>
      <c r="I47" s="4">
        <f>ROUNDUP(Tabela359[[#This Row],[Room Common Point (cm)]]/$D$17,1)</f>
        <v>0</v>
      </c>
      <c r="J47" s="4">
        <f>ROUNDUP(Tabela359[[#This Row],[Distance (cm)]]/$D$17,1)</f>
        <v>11.6</v>
      </c>
      <c r="K47" s="4">
        <f>ROUNDUP(((Tabela359[[#This Row],[Total (cm)]]/$D$17) + ($G$5*Tabela359[[#This Row],[Height Multiplier]])) *Tabela359[[#This Row],[Cable Multiplier]],1)</f>
        <v>11.6</v>
      </c>
    </row>
    <row r="48" spans="2:11" x14ac:dyDescent="0.2">
      <c r="B48" s="31" t="s">
        <v>47</v>
      </c>
      <c r="C48" s="4" t="s">
        <v>72</v>
      </c>
      <c r="D48" s="4">
        <v>0.25</v>
      </c>
      <c r="E48" s="4">
        <v>0</v>
      </c>
      <c r="F48" s="4">
        <f>11.3+4.2</f>
        <v>15.5</v>
      </c>
      <c r="G48" s="4">
        <v>1</v>
      </c>
      <c r="H48" s="4">
        <f>Tabela359[[#This Row],[Room Common Point (cm)]]+Tabela359[[#This Row],[Distance (cm)]]</f>
        <v>15.5</v>
      </c>
      <c r="I48" s="4">
        <f>ROUNDUP(Tabela359[[#This Row],[Room Common Point (cm)]]/$D$17,1)</f>
        <v>0</v>
      </c>
      <c r="J48" s="4">
        <f>ROUNDUP(Tabela359[[#This Row],[Distance (cm)]]/$D$17,1)</f>
        <v>15.9</v>
      </c>
      <c r="K48" s="4">
        <f>ROUNDUP(((Tabela359[[#This Row],[Total (cm)]]/$D$17) + ($G$5*Tabela359[[#This Row],[Height Multiplier]])) *Tabela359[[#This Row],[Cable Multiplier]],1)</f>
        <v>15.9</v>
      </c>
    </row>
    <row r="49" spans="2:11" x14ac:dyDescent="0.2">
      <c r="B49" s="31" t="s">
        <v>47</v>
      </c>
      <c r="C49" s="4" t="s">
        <v>73</v>
      </c>
      <c r="D49" s="4">
        <v>0.25</v>
      </c>
      <c r="E49" s="4">
        <v>0</v>
      </c>
      <c r="F49" s="4">
        <f>5.1+4.6+2.7</f>
        <v>12.399999999999999</v>
      </c>
      <c r="G49" s="4">
        <v>1</v>
      </c>
      <c r="H49" s="4">
        <f>Tabela359[[#This Row],[Room Common Point (cm)]]+Tabela359[[#This Row],[Distance (cm)]]</f>
        <v>12.399999999999999</v>
      </c>
      <c r="I49" s="4">
        <f>ROUNDUP(Tabela359[[#This Row],[Room Common Point (cm)]]/$D$17,1)</f>
        <v>0</v>
      </c>
      <c r="J49" s="4">
        <f>ROUNDUP(Tabela359[[#This Row],[Distance (cm)]]/$D$17,1)</f>
        <v>12.7</v>
      </c>
      <c r="K49" s="4">
        <f>ROUNDUP(((Tabela359[[#This Row],[Total (cm)]]/$D$17) + ($G$5*Tabela359[[#This Row],[Height Multiplier]])) *Tabela359[[#This Row],[Cable Multiplier]],1)</f>
        <v>12.7</v>
      </c>
    </row>
    <row r="50" spans="2:11" x14ac:dyDescent="0.2">
      <c r="B50" s="31" t="s">
        <v>47</v>
      </c>
      <c r="C50" s="4" t="s">
        <v>74</v>
      </c>
      <c r="D50" s="4">
        <v>0.25</v>
      </c>
      <c r="E50" s="4">
        <v>0</v>
      </c>
      <c r="F50" s="4">
        <f>12.4+3.5</f>
        <v>15.9</v>
      </c>
      <c r="G50" s="4">
        <v>1</v>
      </c>
      <c r="H50" s="4">
        <f>Tabela359[[#This Row],[Room Common Point (cm)]]+Tabela359[[#This Row],[Distance (cm)]]</f>
        <v>15.9</v>
      </c>
      <c r="I50" s="4">
        <f>ROUNDUP(Tabela359[[#This Row],[Room Common Point (cm)]]/$D$17,1)</f>
        <v>0</v>
      </c>
      <c r="J50" s="4">
        <f>ROUNDUP(Tabela359[[#This Row],[Distance (cm)]]/$D$17,1)</f>
        <v>16.3</v>
      </c>
      <c r="K50" s="4">
        <f>ROUNDUP(((Tabela359[[#This Row],[Total (cm)]]/$D$17) + ($G$5*Tabela359[[#This Row],[Height Multiplier]])) *Tabela359[[#This Row],[Cable Multiplier]],1)</f>
        <v>16.3</v>
      </c>
    </row>
    <row r="51" spans="2:11" x14ac:dyDescent="0.2">
      <c r="B51" s="31" t="s">
        <v>47</v>
      </c>
      <c r="C51" s="4" t="s">
        <v>75</v>
      </c>
      <c r="D51" s="4">
        <v>0.25</v>
      </c>
      <c r="E51" s="4">
        <v>0</v>
      </c>
      <c r="F51" s="4">
        <f>15.9+4.2</f>
        <v>20.100000000000001</v>
      </c>
      <c r="G51" s="4">
        <v>1</v>
      </c>
      <c r="H51" s="4">
        <f>Tabela359[[#This Row],[Room Common Point (cm)]]+Tabela359[[#This Row],[Distance (cm)]]</f>
        <v>20.100000000000001</v>
      </c>
      <c r="I51" s="4">
        <f>ROUNDUP(Tabela359[[#This Row],[Room Common Point (cm)]]/$D$17,1)</f>
        <v>0</v>
      </c>
      <c r="J51" s="4">
        <f>ROUNDUP(Tabela359[[#This Row],[Distance (cm)]]/$D$17,1)</f>
        <v>20.6</v>
      </c>
      <c r="K51" s="4">
        <f>ROUNDUP(((Tabela359[[#This Row],[Total (cm)]]/$D$17) + ($G$5*Tabela359[[#This Row],[Height Multiplier]])) *Tabela359[[#This Row],[Cable Multiplier]],1)</f>
        <v>20.6</v>
      </c>
    </row>
    <row r="52" spans="2:11" x14ac:dyDescent="0.2">
      <c r="B52" s="31" t="s">
        <v>48</v>
      </c>
      <c r="C52" s="4" t="s">
        <v>76</v>
      </c>
      <c r="D52" s="4">
        <v>0.25</v>
      </c>
      <c r="E52" s="4">
        <v>0</v>
      </c>
      <c r="F52" s="4">
        <v>6.7</v>
      </c>
      <c r="G52" s="4">
        <v>1</v>
      </c>
      <c r="H52" s="4">
        <f>Tabela359[[#This Row],[Room Common Point (cm)]]+Tabela359[[#This Row],[Distance (cm)]]</f>
        <v>6.7</v>
      </c>
      <c r="I52" s="4">
        <f>ROUNDUP(Tabela359[[#This Row],[Room Common Point (cm)]]/$D$17,1)</f>
        <v>0</v>
      </c>
      <c r="J52" s="4">
        <f>ROUNDUP(Tabela359[[#This Row],[Distance (cm)]]/$D$17,1)</f>
        <v>6.8999999999999995</v>
      </c>
      <c r="K52" s="4">
        <f>ROUNDUP(((Tabela359[[#This Row],[Total (cm)]]/$D$17) + ($G$5*Tabela359[[#This Row],[Height Multiplier]])) *Tabela359[[#This Row],[Cable Multiplier]],1)</f>
        <v>6.8999999999999995</v>
      </c>
    </row>
    <row r="53" spans="2:11" x14ac:dyDescent="0.2">
      <c r="B53" s="31" t="s">
        <v>48</v>
      </c>
      <c r="C53" s="4" t="s">
        <v>77</v>
      </c>
      <c r="D53" s="4">
        <v>0.25</v>
      </c>
      <c r="E53" s="4">
        <v>0</v>
      </c>
      <c r="F53" s="4">
        <f>6.7+3.1</f>
        <v>9.8000000000000007</v>
      </c>
      <c r="G53" s="4">
        <v>1</v>
      </c>
      <c r="H53" s="4">
        <f>Tabela359[[#This Row],[Room Common Point (cm)]]+Tabela359[[#This Row],[Distance (cm)]]</f>
        <v>9.8000000000000007</v>
      </c>
      <c r="I53" s="4">
        <f>ROUNDUP(Tabela359[[#This Row],[Room Common Point (cm)]]/$D$17,1)</f>
        <v>0</v>
      </c>
      <c r="J53" s="4">
        <f>ROUNDUP(Tabela359[[#This Row],[Distance (cm)]]/$D$17,1)</f>
        <v>10</v>
      </c>
      <c r="K53" s="4">
        <f>ROUNDUP(((Tabela359[[#This Row],[Total (cm)]]/$D$17) + ($G$5*Tabela359[[#This Row],[Height Multiplier]])) *Tabela359[[#This Row],[Cable Multiplier]],1)</f>
        <v>10</v>
      </c>
    </row>
    <row r="54" spans="2:11" x14ac:dyDescent="0.2">
      <c r="B54" s="31" t="s">
        <v>48</v>
      </c>
      <c r="C54" s="4" t="s">
        <v>78</v>
      </c>
      <c r="D54" s="4">
        <v>0.25</v>
      </c>
      <c r="E54" s="4">
        <v>0</v>
      </c>
      <c r="F54" s="4">
        <v>1.5</v>
      </c>
      <c r="G54" s="4">
        <v>1</v>
      </c>
      <c r="H54" s="4">
        <f>Tabela359[[#This Row],[Room Common Point (cm)]]+Tabela359[[#This Row],[Distance (cm)]]</f>
        <v>1.5</v>
      </c>
      <c r="I54" s="4">
        <f>ROUNDUP(Tabela359[[#This Row],[Room Common Point (cm)]]/$D$17,1)</f>
        <v>0</v>
      </c>
      <c r="J54" s="4">
        <f>ROUNDUP(Tabela359[[#This Row],[Distance (cm)]]/$D$17,1)</f>
        <v>1.6</v>
      </c>
      <c r="K54" s="4">
        <f>ROUNDUP(((Tabela359[[#This Row],[Total (cm)]]/$D$17) + ($G$5*Tabela359[[#This Row],[Height Multiplier]])) *Tabela359[[#This Row],[Cable Multiplier]],1)</f>
        <v>1.6</v>
      </c>
    </row>
    <row r="55" spans="2:11" x14ac:dyDescent="0.2">
      <c r="B55" s="31" t="s">
        <v>48</v>
      </c>
      <c r="C55" s="4" t="s">
        <v>79</v>
      </c>
      <c r="D55" s="4">
        <v>0.25</v>
      </c>
      <c r="E55" s="4">
        <v>0</v>
      </c>
      <c r="F55" s="4">
        <f>1.5+3.1</f>
        <v>4.5999999999999996</v>
      </c>
      <c r="G55" s="4">
        <v>1</v>
      </c>
      <c r="H55" s="4">
        <f>Tabela359[[#This Row],[Room Common Point (cm)]]+Tabela359[[#This Row],[Distance (cm)]]</f>
        <v>4.5999999999999996</v>
      </c>
      <c r="I55" s="4">
        <f>ROUNDUP(Tabela359[[#This Row],[Room Common Point (cm)]]/$D$17,1)</f>
        <v>0</v>
      </c>
      <c r="J55" s="4">
        <f>ROUNDUP(Tabela359[[#This Row],[Distance (cm)]]/$D$17,1)</f>
        <v>4.6999999999999993</v>
      </c>
      <c r="K55" s="4">
        <f>ROUNDUP(((Tabela359[[#This Row],[Total (cm)]]/$D$17) + ($G$5*Tabela359[[#This Row],[Height Multiplier]])) *Tabela359[[#This Row],[Cable Multiplier]],1)</f>
        <v>4.6999999999999993</v>
      </c>
    </row>
    <row r="56" spans="2:11" x14ac:dyDescent="0.2">
      <c r="B56" s="31" t="s">
        <v>48</v>
      </c>
      <c r="C56" s="4" t="s">
        <v>80</v>
      </c>
      <c r="D56" s="4">
        <v>0.25</v>
      </c>
      <c r="E56" s="4">
        <v>0</v>
      </c>
      <c r="F56" s="4">
        <v>3.3</v>
      </c>
      <c r="G56" s="4">
        <v>1</v>
      </c>
      <c r="H56" s="4">
        <f>Tabela359[[#This Row],[Room Common Point (cm)]]+Tabela359[[#This Row],[Distance (cm)]]</f>
        <v>3.3</v>
      </c>
      <c r="I56" s="4">
        <f>ROUNDUP(Tabela359[[#This Row],[Room Common Point (cm)]]/$D$17,1)</f>
        <v>0</v>
      </c>
      <c r="J56" s="4">
        <f>ROUNDUP(Tabela359[[#This Row],[Distance (cm)]]/$D$17,1)</f>
        <v>3.4</v>
      </c>
      <c r="K56" s="4">
        <f>ROUNDUP(((Tabela359[[#This Row],[Total (cm)]]/$D$17) + ($G$5*Tabela359[[#This Row],[Height Multiplier]])) *Tabela359[[#This Row],[Cable Multiplier]],1)</f>
        <v>3.4</v>
      </c>
    </row>
    <row r="57" spans="2:11" x14ac:dyDescent="0.2">
      <c r="B57" s="31" t="s">
        <v>48</v>
      </c>
      <c r="C57" s="4" t="s">
        <v>81</v>
      </c>
      <c r="D57" s="4">
        <v>0.25</v>
      </c>
      <c r="E57" s="4">
        <v>0</v>
      </c>
      <c r="F57" s="4">
        <f>5.2+0.5+5.2+1.5</f>
        <v>12.4</v>
      </c>
      <c r="G57" s="4">
        <v>1</v>
      </c>
      <c r="H57" s="4">
        <f>Tabela359[[#This Row],[Room Common Point (cm)]]+Tabela359[[#This Row],[Distance (cm)]]</f>
        <v>12.4</v>
      </c>
      <c r="I57" s="4">
        <f>ROUNDUP(Tabela359[[#This Row],[Room Common Point (cm)]]/$D$17,1)</f>
        <v>0</v>
      </c>
      <c r="J57" s="4">
        <f>ROUNDUP(Tabela359[[#This Row],[Distance (cm)]]/$D$17,1)</f>
        <v>12.7</v>
      </c>
      <c r="K57" s="4">
        <f>ROUNDUP(((Tabela359[[#This Row],[Total (cm)]]/$D$17) + ($G$5*Tabela359[[#This Row],[Height Multiplier]])) *Tabela359[[#This Row],[Cable Multiplier]],1)</f>
        <v>12.7</v>
      </c>
    </row>
    <row r="58" spans="2:11" x14ac:dyDescent="0.2">
      <c r="B58" s="31" t="s">
        <v>48</v>
      </c>
      <c r="C58" s="4" t="s">
        <v>82</v>
      </c>
      <c r="D58" s="4">
        <v>0.25</v>
      </c>
      <c r="E58" s="4">
        <v>0</v>
      </c>
      <c r="F58" s="4">
        <f>12.4+3.1</f>
        <v>15.5</v>
      </c>
      <c r="G58" s="4">
        <v>1</v>
      </c>
      <c r="H58" s="4">
        <f>Tabela359[[#This Row],[Room Common Point (cm)]]+Tabela359[[#This Row],[Distance (cm)]]</f>
        <v>15.5</v>
      </c>
      <c r="I58" s="4">
        <f>ROUNDUP(Tabela359[[#This Row],[Room Common Point (cm)]]/$D$17,1)</f>
        <v>0</v>
      </c>
      <c r="J58" s="4">
        <f>ROUNDUP(Tabela359[[#This Row],[Distance (cm)]]/$D$17,1)</f>
        <v>15.9</v>
      </c>
      <c r="K58" s="4">
        <f>ROUNDUP(((Tabela359[[#This Row],[Total (cm)]]/$D$17) + ($G$5*Tabela359[[#This Row],[Height Multiplier]])) *Tabela359[[#This Row],[Cable Multiplier]],1)</f>
        <v>15.9</v>
      </c>
    </row>
    <row r="59" spans="2:11" x14ac:dyDescent="0.2">
      <c r="B59" s="31" t="s">
        <v>48</v>
      </c>
      <c r="C59" s="4" t="s">
        <v>83</v>
      </c>
      <c r="D59" s="4">
        <v>0.25</v>
      </c>
      <c r="E59" s="4">
        <v>0</v>
      </c>
      <c r="F59" s="4">
        <f>5.2+0.5+1.5</f>
        <v>7.2</v>
      </c>
      <c r="G59" s="4">
        <v>1</v>
      </c>
      <c r="H59" s="4">
        <f>Tabela359[[#This Row],[Room Common Point (cm)]]+Tabela359[[#This Row],[Distance (cm)]]</f>
        <v>7.2</v>
      </c>
      <c r="I59" s="4">
        <f>ROUNDUP(Tabela359[[#This Row],[Room Common Point (cm)]]/$D$17,1)</f>
        <v>0</v>
      </c>
      <c r="J59" s="4">
        <f>ROUNDUP(Tabela359[[#This Row],[Distance (cm)]]/$D$17,1)</f>
        <v>7.3999999999999995</v>
      </c>
      <c r="K59" s="4">
        <f>ROUNDUP(((Tabela359[[#This Row],[Total (cm)]]/$D$17) + ($G$5*Tabela359[[#This Row],[Height Multiplier]])) *Tabela359[[#This Row],[Cable Multiplier]],1)</f>
        <v>7.3999999999999995</v>
      </c>
    </row>
    <row r="60" spans="2:11" x14ac:dyDescent="0.2">
      <c r="B60" s="31" t="s">
        <v>48</v>
      </c>
      <c r="C60" s="4" t="s">
        <v>84</v>
      </c>
      <c r="D60" s="4">
        <v>0.25</v>
      </c>
      <c r="E60" s="4">
        <v>0</v>
      </c>
      <c r="F60" s="4">
        <f>7.2+3.1</f>
        <v>10.3</v>
      </c>
      <c r="G60" s="4">
        <v>1</v>
      </c>
      <c r="H60" s="4">
        <f>Tabela359[[#This Row],[Room Common Point (cm)]]+Tabela359[[#This Row],[Distance (cm)]]</f>
        <v>10.3</v>
      </c>
      <c r="I60" s="4">
        <f>ROUNDUP(Tabela359[[#This Row],[Room Common Point (cm)]]/$D$17,1)</f>
        <v>0</v>
      </c>
      <c r="J60" s="4">
        <f>ROUNDUP(Tabela359[[#This Row],[Distance (cm)]]/$D$17,1)</f>
        <v>10.6</v>
      </c>
      <c r="K60" s="4">
        <f>ROUNDUP(((Tabela359[[#This Row],[Total (cm)]]/$D$17) + ($G$5*Tabela359[[#This Row],[Height Multiplier]])) *Tabela359[[#This Row],[Cable Multiplier]],1)</f>
        <v>10.6</v>
      </c>
    </row>
    <row r="61" spans="2:11" x14ac:dyDescent="0.2">
      <c r="B61" s="31" t="s">
        <v>49</v>
      </c>
      <c r="C61" s="4" t="s">
        <v>85</v>
      </c>
      <c r="D61" s="4">
        <v>0.25</v>
      </c>
      <c r="E61" s="4">
        <v>0</v>
      </c>
      <c r="F61" s="4">
        <v>6.7</v>
      </c>
      <c r="G61" s="4">
        <v>1</v>
      </c>
      <c r="H61" s="4">
        <f>Tabela359[[#This Row],[Room Common Point (cm)]]+Tabela359[[#This Row],[Distance (cm)]]</f>
        <v>6.7</v>
      </c>
      <c r="I61" s="4">
        <f>ROUNDUP(Tabela359[[#This Row],[Room Common Point (cm)]]/$D$17,1)</f>
        <v>0</v>
      </c>
      <c r="J61" s="4">
        <f>ROUNDUP(Tabela359[[#This Row],[Distance (cm)]]/$D$17,1)</f>
        <v>6.8999999999999995</v>
      </c>
      <c r="K61" s="4">
        <f>ROUNDUP(((Tabela359[[#This Row],[Total (cm)]]/$D$17) + ($G$5*Tabela359[[#This Row],[Height Multiplier]])) *Tabela359[[#This Row],[Cable Multiplier]],1)</f>
        <v>6.8999999999999995</v>
      </c>
    </row>
    <row r="62" spans="2:11" x14ac:dyDescent="0.2">
      <c r="B62" s="31" t="s">
        <v>49</v>
      </c>
      <c r="C62" s="4" t="s">
        <v>86</v>
      </c>
      <c r="D62" s="4">
        <v>0.25</v>
      </c>
      <c r="E62" s="4">
        <v>0</v>
      </c>
      <c r="F62" s="4">
        <f>6.7+3.1</f>
        <v>9.8000000000000007</v>
      </c>
      <c r="G62" s="4">
        <v>1</v>
      </c>
      <c r="H62" s="4">
        <f>Tabela359[[#This Row],[Room Common Point (cm)]]+Tabela359[[#This Row],[Distance (cm)]]</f>
        <v>9.8000000000000007</v>
      </c>
      <c r="I62" s="4">
        <f>ROUNDUP(Tabela359[[#This Row],[Room Common Point (cm)]]/$D$17,1)</f>
        <v>0</v>
      </c>
      <c r="J62" s="4">
        <f>ROUNDUP(Tabela359[[#This Row],[Distance (cm)]]/$D$17,1)</f>
        <v>10</v>
      </c>
      <c r="K62" s="4">
        <f>ROUNDUP(((Tabela359[[#This Row],[Total (cm)]]/$D$17) + ($G$5*Tabela359[[#This Row],[Height Multiplier]])) *Tabela359[[#This Row],[Cable Multiplier]],1)</f>
        <v>10</v>
      </c>
    </row>
    <row r="63" spans="2:11" x14ac:dyDescent="0.2">
      <c r="B63" s="31" t="s">
        <v>49</v>
      </c>
      <c r="C63" s="4" t="s">
        <v>87</v>
      </c>
      <c r="D63" s="4">
        <v>0.25</v>
      </c>
      <c r="E63" s="4">
        <v>0</v>
      </c>
      <c r="F63" s="4">
        <v>1.5</v>
      </c>
      <c r="G63" s="4">
        <v>1</v>
      </c>
      <c r="H63" s="4">
        <f>Tabela359[[#This Row],[Room Common Point (cm)]]+Tabela359[[#This Row],[Distance (cm)]]</f>
        <v>1.5</v>
      </c>
      <c r="I63" s="4">
        <f>ROUNDUP(Tabela359[[#This Row],[Room Common Point (cm)]]/$D$17,1)</f>
        <v>0</v>
      </c>
      <c r="J63" s="4">
        <f>ROUNDUP(Tabela359[[#This Row],[Distance (cm)]]/$D$17,1)</f>
        <v>1.6</v>
      </c>
      <c r="K63" s="4">
        <f>ROUNDUP(((Tabela359[[#This Row],[Total (cm)]]/$D$17) + ($G$5*Tabela359[[#This Row],[Height Multiplier]])) *Tabela359[[#This Row],[Cable Multiplier]],1)</f>
        <v>1.6</v>
      </c>
    </row>
    <row r="64" spans="2:11" x14ac:dyDescent="0.2">
      <c r="B64" s="31" t="s">
        <v>49</v>
      </c>
      <c r="C64" s="4" t="s">
        <v>88</v>
      </c>
      <c r="D64" s="4">
        <v>0.25</v>
      </c>
      <c r="E64" s="4">
        <v>0</v>
      </c>
      <c r="F64" s="4">
        <f>1.5+3.1</f>
        <v>4.5999999999999996</v>
      </c>
      <c r="G64" s="4">
        <v>1</v>
      </c>
      <c r="H64" s="4">
        <f>Tabela359[[#This Row],[Room Common Point (cm)]]+Tabela359[[#This Row],[Distance (cm)]]</f>
        <v>4.5999999999999996</v>
      </c>
      <c r="I64" s="4">
        <f>ROUNDUP(Tabela359[[#This Row],[Room Common Point (cm)]]/$D$17,1)</f>
        <v>0</v>
      </c>
      <c r="J64" s="4">
        <f>ROUNDUP(Tabela359[[#This Row],[Distance (cm)]]/$D$17,1)</f>
        <v>4.6999999999999993</v>
      </c>
      <c r="K64" s="4">
        <f>ROUNDUP(((Tabela359[[#This Row],[Total (cm)]]/$D$17) + ($G$5*Tabela359[[#This Row],[Height Multiplier]])) *Tabela359[[#This Row],[Cable Multiplier]],1)</f>
        <v>4.6999999999999993</v>
      </c>
    </row>
    <row r="65" spans="2:11" x14ac:dyDescent="0.2">
      <c r="B65" s="31" t="s">
        <v>49</v>
      </c>
      <c r="C65" s="4" t="s">
        <v>89</v>
      </c>
      <c r="D65" s="4">
        <v>0.25</v>
      </c>
      <c r="E65" s="4">
        <v>0</v>
      </c>
      <c r="F65" s="4">
        <f>5.2+0.5+5.2+1.5</f>
        <v>12.4</v>
      </c>
      <c r="G65" s="4">
        <v>1</v>
      </c>
      <c r="H65" s="4">
        <f>Tabela359[[#This Row],[Room Common Point (cm)]]+Tabela359[[#This Row],[Distance (cm)]]</f>
        <v>12.4</v>
      </c>
      <c r="I65" s="4">
        <f>ROUNDUP(Tabela359[[#This Row],[Room Common Point (cm)]]/$D$17,1)</f>
        <v>0</v>
      </c>
      <c r="J65" s="4">
        <f>ROUNDUP(Tabela359[[#This Row],[Distance (cm)]]/$D$17,1)</f>
        <v>12.7</v>
      </c>
      <c r="K65" s="4">
        <f>ROUNDUP(((Tabela359[[#This Row],[Total (cm)]]/$D$17) + ($G$5*Tabela359[[#This Row],[Height Multiplier]])) *Tabela359[[#This Row],[Cable Multiplier]],1)</f>
        <v>12.7</v>
      </c>
    </row>
    <row r="66" spans="2:11" x14ac:dyDescent="0.2">
      <c r="B66" s="31" t="s">
        <v>49</v>
      </c>
      <c r="C66" s="4" t="s">
        <v>90</v>
      </c>
      <c r="D66" s="4">
        <v>0.25</v>
      </c>
      <c r="E66" s="4">
        <v>0</v>
      </c>
      <c r="F66" s="4">
        <f>12.4+3.1</f>
        <v>15.5</v>
      </c>
      <c r="G66" s="4">
        <v>1</v>
      </c>
      <c r="H66" s="4">
        <f>Tabela359[[#This Row],[Room Common Point (cm)]]+Tabela359[[#This Row],[Distance (cm)]]</f>
        <v>15.5</v>
      </c>
      <c r="I66" s="4">
        <f>ROUNDUP(Tabela359[[#This Row],[Room Common Point (cm)]]/$D$17,1)</f>
        <v>0</v>
      </c>
      <c r="J66" s="4">
        <f>ROUNDUP(Tabela359[[#This Row],[Distance (cm)]]/$D$17,1)</f>
        <v>15.9</v>
      </c>
      <c r="K66" s="4">
        <f>ROUNDUP(((Tabela359[[#This Row],[Total (cm)]]/$D$17) + ($G$5*Tabela359[[#This Row],[Height Multiplier]])) *Tabela359[[#This Row],[Cable Multiplier]],1)</f>
        <v>15.9</v>
      </c>
    </row>
    <row r="67" spans="2:11" x14ac:dyDescent="0.2">
      <c r="B67" s="31" t="s">
        <v>49</v>
      </c>
      <c r="C67" s="4" t="s">
        <v>91</v>
      </c>
      <c r="D67" s="4">
        <v>0.25</v>
      </c>
      <c r="E67" s="4">
        <v>0</v>
      </c>
      <c r="F67" s="4">
        <f>5.2+0.5+1.5</f>
        <v>7.2</v>
      </c>
      <c r="G67" s="4">
        <v>1</v>
      </c>
      <c r="H67" s="4">
        <f>Tabela359[[#This Row],[Room Common Point (cm)]]+Tabela359[[#This Row],[Distance (cm)]]</f>
        <v>7.2</v>
      </c>
      <c r="I67" s="4">
        <f>ROUNDUP(Tabela359[[#This Row],[Room Common Point (cm)]]/$D$17,1)</f>
        <v>0</v>
      </c>
      <c r="J67" s="4">
        <f>ROUNDUP(Tabela359[[#This Row],[Distance (cm)]]/$D$17,1)</f>
        <v>7.3999999999999995</v>
      </c>
      <c r="K67" s="4">
        <f>ROUNDUP(((Tabela359[[#This Row],[Total (cm)]]/$D$17) + ($G$5*Tabela359[[#This Row],[Height Multiplier]])) *Tabela359[[#This Row],[Cable Multiplier]],1)</f>
        <v>7.3999999999999995</v>
      </c>
    </row>
    <row r="68" spans="2:11" x14ac:dyDescent="0.2">
      <c r="B68" s="31" t="s">
        <v>49</v>
      </c>
      <c r="C68" s="4" t="s">
        <v>92</v>
      </c>
      <c r="D68" s="4">
        <v>0.25</v>
      </c>
      <c r="E68" s="32">
        <v>0</v>
      </c>
      <c r="F68" s="4">
        <f>7.2+3.1</f>
        <v>10.3</v>
      </c>
      <c r="G68" s="32">
        <v>1</v>
      </c>
      <c r="H68" s="33">
        <f>Tabela359[[#This Row],[Room Common Point (cm)]]+Tabela359[[#This Row],[Distance (cm)]]</f>
        <v>10.3</v>
      </c>
      <c r="I68" s="33">
        <f>ROUNDUP(Tabela359[[#This Row],[Room Common Point (cm)]]/$D$17,1)</f>
        <v>0</v>
      </c>
      <c r="J68" s="33">
        <f>ROUNDUP(Tabela359[[#This Row],[Distance (cm)]]/$D$17,1)</f>
        <v>10.6</v>
      </c>
      <c r="K68" s="33">
        <f>ROUNDUP(((Tabela359[[#This Row],[Total (cm)]]/$D$17) + ($G$5*Tabela359[[#This Row],[Height Multiplier]])) *Tabela359[[#This Row],[Cable Multiplier]],1)</f>
        <v>10.6</v>
      </c>
    </row>
    <row r="69" spans="2:11" x14ac:dyDescent="0.2">
      <c r="B69" s="34"/>
      <c r="C69" s="32"/>
      <c r="D69" s="32"/>
      <c r="E69" s="32"/>
      <c r="F69" s="32"/>
      <c r="G69" s="32"/>
      <c r="H69" s="33"/>
      <c r="I69" s="33"/>
      <c r="J69" s="33"/>
      <c r="K69" s="33">
        <f>SUM(K20:K68)</f>
        <v>770.00000000000011</v>
      </c>
    </row>
  </sheetData>
  <mergeCells count="3">
    <mergeCell ref="E15:K16"/>
    <mergeCell ref="A1:T2"/>
    <mergeCell ref="E17:K17"/>
  </mergeCell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0D55-F6F8-FC4F-BC8A-502CBE341A20}">
  <dimension ref="A3:G74"/>
  <sheetViews>
    <sheetView tabSelected="1" topLeftCell="A42" zoomScale="121" workbookViewId="0">
      <selection activeCell="B75" sqref="B75"/>
    </sheetView>
  </sheetViews>
  <sheetFormatPr baseColWidth="10" defaultRowHeight="15" x14ac:dyDescent="0.2"/>
  <cols>
    <col min="1" max="1" width="41.6640625" customWidth="1"/>
    <col min="2" max="2" width="32.5" customWidth="1"/>
    <col min="3" max="3" width="23.83203125" customWidth="1"/>
    <col min="4" max="4" width="41.1640625" customWidth="1"/>
  </cols>
  <sheetData>
    <row r="3" spans="1:3" ht="21" x14ac:dyDescent="0.25">
      <c r="A3" s="41" t="s">
        <v>157</v>
      </c>
      <c r="B3" s="82"/>
      <c r="C3" s="67"/>
    </row>
    <row r="4" spans="1:3" ht="21" x14ac:dyDescent="0.25">
      <c r="A4" s="35">
        <v>1670.1</v>
      </c>
      <c r="B4" s="35" t="s">
        <v>156</v>
      </c>
    </row>
    <row r="5" spans="1:3" ht="21" x14ac:dyDescent="0.25">
      <c r="A5" s="40" t="s">
        <v>155</v>
      </c>
      <c r="B5" s="82"/>
      <c r="C5" s="67"/>
    </row>
    <row r="6" spans="1:3" ht="21" x14ac:dyDescent="0.25">
      <c r="A6" s="35">
        <v>85.5</v>
      </c>
      <c r="B6" s="35" t="s">
        <v>156</v>
      </c>
    </row>
    <row r="10" spans="1:3" ht="19" x14ac:dyDescent="0.25">
      <c r="A10" s="36" t="s">
        <v>158</v>
      </c>
      <c r="B10" s="36" t="s">
        <v>159</v>
      </c>
      <c r="C10" s="36" t="s">
        <v>160</v>
      </c>
    </row>
    <row r="11" spans="1:3" ht="19" x14ac:dyDescent="0.25">
      <c r="A11" s="37" t="s">
        <v>161</v>
      </c>
      <c r="B11" s="37" t="s">
        <v>16</v>
      </c>
      <c r="C11" s="37">
        <v>5</v>
      </c>
    </row>
    <row r="12" spans="1:3" ht="19" x14ac:dyDescent="0.25">
      <c r="A12" s="38" t="s">
        <v>162</v>
      </c>
      <c r="B12" s="38" t="s">
        <v>18</v>
      </c>
      <c r="C12" s="38">
        <v>21</v>
      </c>
    </row>
    <row r="13" spans="1:3" ht="19" x14ac:dyDescent="0.25">
      <c r="A13" s="39" t="s">
        <v>163</v>
      </c>
      <c r="B13" s="39" t="s">
        <v>20</v>
      </c>
      <c r="C13" s="39">
        <v>9</v>
      </c>
    </row>
    <row r="14" spans="1:3" ht="19" x14ac:dyDescent="0.25">
      <c r="A14" s="38" t="s">
        <v>164</v>
      </c>
      <c r="B14" s="38" t="s">
        <v>22</v>
      </c>
      <c r="C14" s="38">
        <v>8</v>
      </c>
    </row>
    <row r="15" spans="1:3" ht="19" x14ac:dyDescent="0.25">
      <c r="A15" s="39" t="s">
        <v>165</v>
      </c>
      <c r="B15" s="39" t="s">
        <v>31</v>
      </c>
      <c r="C15" s="39">
        <v>18</v>
      </c>
    </row>
    <row r="16" spans="1:3" ht="19" x14ac:dyDescent="0.25">
      <c r="A16" s="38" t="s">
        <v>166</v>
      </c>
      <c r="B16" s="38" t="s">
        <v>28</v>
      </c>
      <c r="C16" s="38">
        <v>10</v>
      </c>
    </row>
    <row r="17" spans="1:7" ht="19" x14ac:dyDescent="0.25">
      <c r="A17" s="39" t="s">
        <v>167</v>
      </c>
      <c r="B17" s="39" t="s">
        <v>26</v>
      </c>
      <c r="C17" s="39">
        <v>10</v>
      </c>
    </row>
    <row r="18" spans="1:7" ht="19" x14ac:dyDescent="0.25">
      <c r="A18" s="38" t="s">
        <v>168</v>
      </c>
      <c r="B18" s="38" t="s">
        <v>25</v>
      </c>
      <c r="C18" s="38">
        <v>12</v>
      </c>
    </row>
    <row r="23" spans="1:7" ht="16" x14ac:dyDescent="0.2">
      <c r="A23" s="46" t="s">
        <v>169</v>
      </c>
      <c r="B23" s="47" t="s">
        <v>159</v>
      </c>
      <c r="C23" s="83" t="s">
        <v>170</v>
      </c>
      <c r="D23" s="83"/>
    </row>
    <row r="24" spans="1:7" ht="16" x14ac:dyDescent="0.2">
      <c r="A24" s="48" t="s">
        <v>184</v>
      </c>
      <c r="B24" s="48" t="s">
        <v>171</v>
      </c>
      <c r="C24" s="55" t="s">
        <v>172</v>
      </c>
      <c r="D24" s="49" t="s">
        <v>173</v>
      </c>
      <c r="F24" s="45" t="s">
        <v>186</v>
      </c>
      <c r="G24">
        <v>24</v>
      </c>
    </row>
    <row r="25" spans="1:7" ht="16" x14ac:dyDescent="0.2">
      <c r="C25" s="55" t="s">
        <v>174</v>
      </c>
      <c r="D25" s="57">
        <v>14</v>
      </c>
      <c r="F25" t="s">
        <v>187</v>
      </c>
      <c r="G25">
        <v>48</v>
      </c>
    </row>
    <row r="26" spans="1:7" ht="16" x14ac:dyDescent="0.2">
      <c r="C26" s="58" t="s">
        <v>175</v>
      </c>
    </row>
    <row r="27" spans="1:7" ht="16" x14ac:dyDescent="0.2">
      <c r="A27" s="48" t="s">
        <v>185</v>
      </c>
      <c r="B27" s="48" t="s">
        <v>176</v>
      </c>
      <c r="C27" s="55" t="s">
        <v>172</v>
      </c>
      <c r="D27" s="48" t="s">
        <v>177</v>
      </c>
    </row>
    <row r="28" spans="1:7" ht="16" x14ac:dyDescent="0.2">
      <c r="C28" s="55" t="s">
        <v>174</v>
      </c>
      <c r="D28" s="42">
        <v>12</v>
      </c>
      <c r="F28" t="s">
        <v>188</v>
      </c>
    </row>
    <row r="29" spans="1:7" ht="16" x14ac:dyDescent="0.2">
      <c r="C29" s="58" t="s">
        <v>175</v>
      </c>
      <c r="F29" t="s">
        <v>189</v>
      </c>
    </row>
    <row r="31" spans="1:7" ht="16" x14ac:dyDescent="0.2">
      <c r="A31" s="48" t="s">
        <v>161</v>
      </c>
      <c r="B31" s="48" t="s">
        <v>16</v>
      </c>
      <c r="C31" s="55" t="s">
        <v>178</v>
      </c>
      <c r="D31" s="48" t="s">
        <v>177</v>
      </c>
    </row>
    <row r="32" spans="1:7" ht="16" x14ac:dyDescent="0.2">
      <c r="C32" s="55" t="s">
        <v>179</v>
      </c>
      <c r="D32" s="43">
        <v>5</v>
      </c>
    </row>
    <row r="33" spans="1:4" ht="16" x14ac:dyDescent="0.2">
      <c r="C33" s="58" t="s">
        <v>180</v>
      </c>
    </row>
    <row r="34" spans="1:4" ht="16" x14ac:dyDescent="0.2">
      <c r="A34" s="48" t="s">
        <v>190</v>
      </c>
      <c r="B34" s="48" t="s">
        <v>18</v>
      </c>
      <c r="C34" s="55" t="s">
        <v>172</v>
      </c>
      <c r="D34" s="48" t="s">
        <v>177</v>
      </c>
    </row>
    <row r="35" spans="1:4" ht="16" x14ac:dyDescent="0.2">
      <c r="C35" s="55" t="s">
        <v>174</v>
      </c>
      <c r="D35" s="43">
        <v>21</v>
      </c>
    </row>
    <row r="36" spans="1:4" ht="16" x14ac:dyDescent="0.2">
      <c r="C36" s="58" t="s">
        <v>175</v>
      </c>
    </row>
    <row r="37" spans="1:4" ht="16" x14ac:dyDescent="0.2">
      <c r="C37" s="65"/>
    </row>
    <row r="38" spans="1:4" ht="16" x14ac:dyDescent="0.2">
      <c r="A38" s="48" t="s">
        <v>191</v>
      </c>
      <c r="B38" s="48" t="s">
        <v>20</v>
      </c>
      <c r="C38" s="55" t="s">
        <v>178</v>
      </c>
      <c r="D38" s="48" t="s">
        <v>177</v>
      </c>
    </row>
    <row r="39" spans="1:4" ht="16" x14ac:dyDescent="0.2">
      <c r="C39" s="55" t="s">
        <v>179</v>
      </c>
      <c r="D39" s="43">
        <v>9</v>
      </c>
    </row>
    <row r="40" spans="1:4" ht="16" x14ac:dyDescent="0.2">
      <c r="C40" s="58" t="s">
        <v>180</v>
      </c>
    </row>
    <row r="41" spans="1:4" ht="16" x14ac:dyDescent="0.2">
      <c r="C41" s="65"/>
    </row>
    <row r="42" spans="1:4" ht="16" x14ac:dyDescent="0.2">
      <c r="A42" s="48" t="s">
        <v>192</v>
      </c>
      <c r="B42" s="48" t="s">
        <v>22</v>
      </c>
      <c r="C42" s="55" t="s">
        <v>178</v>
      </c>
      <c r="D42" s="48" t="s">
        <v>177</v>
      </c>
    </row>
    <row r="43" spans="1:4" ht="16" x14ac:dyDescent="0.2">
      <c r="C43" s="55" t="s">
        <v>179</v>
      </c>
      <c r="D43" s="43">
        <v>8</v>
      </c>
    </row>
    <row r="44" spans="1:4" ht="16" x14ac:dyDescent="0.2">
      <c r="C44" s="59" t="s">
        <v>180</v>
      </c>
    </row>
    <row r="45" spans="1:4" ht="16" x14ac:dyDescent="0.2">
      <c r="C45" s="64"/>
    </row>
    <row r="46" spans="1:4" ht="16" x14ac:dyDescent="0.2">
      <c r="A46" s="48" t="s">
        <v>193</v>
      </c>
      <c r="B46" s="50" t="s">
        <v>31</v>
      </c>
      <c r="C46" s="56" t="s">
        <v>172</v>
      </c>
      <c r="D46" s="51" t="s">
        <v>177</v>
      </c>
    </row>
    <row r="47" spans="1:4" ht="16" x14ac:dyDescent="0.2">
      <c r="C47" s="56" t="s">
        <v>174</v>
      </c>
      <c r="D47" s="44">
        <v>18</v>
      </c>
    </row>
    <row r="48" spans="1:4" ht="16" x14ac:dyDescent="0.2">
      <c r="C48" s="60" t="s">
        <v>175</v>
      </c>
    </row>
    <row r="49" spans="1:4" ht="16" x14ac:dyDescent="0.2">
      <c r="C49" s="63"/>
    </row>
    <row r="50" spans="1:4" ht="16" x14ac:dyDescent="0.2">
      <c r="A50" s="48" t="s">
        <v>166</v>
      </c>
      <c r="B50" s="50" t="s">
        <v>28</v>
      </c>
      <c r="C50" s="56" t="s">
        <v>178</v>
      </c>
      <c r="D50" s="51" t="s">
        <v>177</v>
      </c>
    </row>
    <row r="51" spans="1:4" ht="16" x14ac:dyDescent="0.2">
      <c r="C51" s="56" t="s">
        <v>179</v>
      </c>
      <c r="D51" s="44">
        <v>10</v>
      </c>
    </row>
    <row r="52" spans="1:4" ht="16" x14ac:dyDescent="0.2">
      <c r="C52" s="60" t="s">
        <v>180</v>
      </c>
    </row>
    <row r="53" spans="1:4" ht="16" x14ac:dyDescent="0.2">
      <c r="C53" s="63"/>
    </row>
    <row r="54" spans="1:4" ht="16" x14ac:dyDescent="0.2">
      <c r="A54" s="48" t="s">
        <v>167</v>
      </c>
      <c r="B54" s="50" t="s">
        <v>26</v>
      </c>
      <c r="C54" s="56" t="s">
        <v>178</v>
      </c>
      <c r="D54" s="51" t="s">
        <v>177</v>
      </c>
    </row>
    <row r="55" spans="1:4" ht="16" x14ac:dyDescent="0.2">
      <c r="C55" s="56" t="s">
        <v>179</v>
      </c>
      <c r="D55" s="44">
        <v>10</v>
      </c>
    </row>
    <row r="56" spans="1:4" ht="16" x14ac:dyDescent="0.2">
      <c r="C56" s="60" t="s">
        <v>180</v>
      </c>
    </row>
    <row r="57" spans="1:4" ht="16" x14ac:dyDescent="0.2">
      <c r="C57" s="63"/>
    </row>
    <row r="58" spans="1:4" ht="15" customHeight="1" x14ac:dyDescent="0.2">
      <c r="A58" s="48" t="s">
        <v>168</v>
      </c>
      <c r="B58" s="50" t="s">
        <v>25</v>
      </c>
      <c r="C58" s="56" t="s">
        <v>178</v>
      </c>
      <c r="D58" s="51" t="s">
        <v>177</v>
      </c>
    </row>
    <row r="59" spans="1:4" ht="16" x14ac:dyDescent="0.2">
      <c r="C59" s="56" t="s">
        <v>179</v>
      </c>
      <c r="D59" s="44">
        <v>12</v>
      </c>
    </row>
    <row r="60" spans="1:4" ht="16" x14ac:dyDescent="0.2">
      <c r="C60" s="60" t="s">
        <v>180</v>
      </c>
    </row>
    <row r="62" spans="1:4" ht="16" x14ac:dyDescent="0.2">
      <c r="A62" s="48" t="s">
        <v>181</v>
      </c>
      <c r="B62" s="50" t="s">
        <v>194</v>
      </c>
      <c r="C62" s="56" t="s">
        <v>195</v>
      </c>
      <c r="D62" s="51" t="s">
        <v>177</v>
      </c>
    </row>
    <row r="63" spans="1:4" ht="16" x14ac:dyDescent="0.2">
      <c r="C63" s="56" t="s">
        <v>196</v>
      </c>
      <c r="D63" s="44">
        <v>2</v>
      </c>
    </row>
    <row r="64" spans="1:4" ht="16" x14ac:dyDescent="0.2">
      <c r="C64" s="60" t="s">
        <v>197</v>
      </c>
    </row>
    <row r="66" spans="3:4" ht="16" x14ac:dyDescent="0.2">
      <c r="C66" s="84" t="s">
        <v>182</v>
      </c>
      <c r="D66" s="85"/>
    </row>
    <row r="67" spans="3:4" ht="16" x14ac:dyDescent="0.2">
      <c r="C67" s="52" t="s">
        <v>172</v>
      </c>
      <c r="D67" s="61">
        <f>COUNTIF(C24:C64,"*2U Switch CAT7*")</f>
        <v>4</v>
      </c>
    </row>
    <row r="68" spans="3:4" ht="16" x14ac:dyDescent="0.2">
      <c r="C68" s="52" t="s">
        <v>178</v>
      </c>
      <c r="D68" s="61">
        <f>COUNTIF($C$24:$C$64,"*1U Switch CAT7*")</f>
        <v>6</v>
      </c>
    </row>
    <row r="69" spans="3:4" ht="16" x14ac:dyDescent="0.2">
      <c r="C69" s="52" t="s">
        <v>174</v>
      </c>
      <c r="D69" s="61">
        <f>COUNTIF($C$24:$C$64,"*2U Patch Panel CAT7*")</f>
        <v>4</v>
      </c>
    </row>
    <row r="70" spans="3:4" ht="16" x14ac:dyDescent="0.2">
      <c r="C70" s="52" t="s">
        <v>179</v>
      </c>
      <c r="D70" s="61">
        <f>COUNTIF($C$24:$C$64,"*1U Patch Panel CAT7*")</f>
        <v>6</v>
      </c>
    </row>
    <row r="71" spans="3:4" ht="16" x14ac:dyDescent="0.2">
      <c r="C71" s="53" t="s">
        <v>175</v>
      </c>
      <c r="D71" s="61">
        <v>5</v>
      </c>
    </row>
    <row r="72" spans="3:4" ht="16" x14ac:dyDescent="0.2">
      <c r="C72" s="53" t="s">
        <v>180</v>
      </c>
      <c r="D72" s="61">
        <f>COUNTIF($C$24:$C$64,"*1U Switch CAT7*")</f>
        <v>6</v>
      </c>
    </row>
    <row r="73" spans="3:4" ht="16" x14ac:dyDescent="0.2">
      <c r="C73" s="54" t="s">
        <v>177</v>
      </c>
      <c r="D73" s="62">
        <f>SUM(D25,D28,D32,D35,D39,D43,D47,D51,D55,D59,D63)</f>
        <v>121</v>
      </c>
    </row>
    <row r="74" spans="3:4" ht="16" x14ac:dyDescent="0.2">
      <c r="C74" s="54" t="s">
        <v>183</v>
      </c>
      <c r="D74" s="62">
        <f>SUM(C11:C18)</f>
        <v>93</v>
      </c>
    </row>
  </sheetData>
  <mergeCells count="4">
    <mergeCell ref="B3:C3"/>
    <mergeCell ref="B5:C5"/>
    <mergeCell ref="C23:D23"/>
    <mergeCell ref="C66:D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25D8-0F8A-D249-B857-F52B75A6CEA2}">
  <dimension ref="A1:T73"/>
  <sheetViews>
    <sheetView topLeftCell="A5" zoomScale="125" workbookViewId="0">
      <selection activeCell="G21" sqref="G21"/>
    </sheetView>
  </sheetViews>
  <sheetFormatPr baseColWidth="10" defaultColWidth="8.83203125" defaultRowHeight="15" x14ac:dyDescent="0.2"/>
  <cols>
    <col min="1" max="2" width="11.83203125" bestFit="1" customWidth="1"/>
    <col min="3" max="3" width="21.33203125" customWidth="1"/>
    <col min="4" max="4" width="10.5" bestFit="1" customWidth="1"/>
    <col min="5" max="5" width="10.1640625" bestFit="1" customWidth="1"/>
    <col min="6" max="6" width="9.6640625" bestFit="1" customWidth="1"/>
    <col min="7" max="7" width="10" bestFit="1" customWidth="1"/>
    <col min="8" max="8" width="9" bestFit="1" customWidth="1"/>
    <col min="9" max="9" width="10.5" bestFit="1" customWidth="1"/>
  </cols>
  <sheetData>
    <row r="1" spans="1:20" x14ac:dyDescent="0.2">
      <c r="A1" s="68" t="s">
        <v>154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4" spans="1:20" x14ac:dyDescent="0.2">
      <c r="A4" s="16"/>
    </row>
    <row r="14" spans="1:20" x14ac:dyDescent="0.2">
      <c r="B14" s="11" t="s">
        <v>8</v>
      </c>
      <c r="C14" s="12" t="s">
        <v>33</v>
      </c>
      <c r="D14" s="13" t="s">
        <v>9</v>
      </c>
      <c r="E14" s="76"/>
      <c r="F14" s="67"/>
      <c r="G14" s="67"/>
      <c r="H14" s="67"/>
      <c r="I14" s="67"/>
      <c r="J14" s="67"/>
      <c r="K14" s="67"/>
    </row>
    <row r="15" spans="1:20" x14ac:dyDescent="0.2">
      <c r="B15" s="8">
        <v>5</v>
      </c>
      <c r="C15" s="9" t="s">
        <v>7</v>
      </c>
      <c r="D15" s="10">
        <v>5.0999999999999996</v>
      </c>
      <c r="E15" s="77"/>
      <c r="F15" s="78"/>
      <c r="G15" s="78"/>
      <c r="H15" s="78"/>
      <c r="I15" s="78"/>
      <c r="J15" s="78"/>
      <c r="K15" s="78"/>
    </row>
    <row r="16" spans="1:20" x14ac:dyDescent="0.2">
      <c r="B16" s="5">
        <v>1</v>
      </c>
      <c r="C16" s="6" t="s">
        <v>7</v>
      </c>
      <c r="D16" s="7">
        <f>B15/D15</f>
        <v>0.98039215686274517</v>
      </c>
      <c r="E16" s="79" t="s">
        <v>34</v>
      </c>
      <c r="F16" s="80"/>
      <c r="G16" s="80"/>
      <c r="H16" s="80"/>
      <c r="I16" s="80"/>
      <c r="J16" s="80"/>
      <c r="K16" s="81"/>
    </row>
    <row r="17" spans="2:11" ht="48" x14ac:dyDescent="0.2">
      <c r="B17" s="28" t="s">
        <v>35</v>
      </c>
      <c r="C17" s="29" t="s">
        <v>36</v>
      </c>
      <c r="D17" s="29" t="s">
        <v>37</v>
      </c>
      <c r="E17" s="29" t="s">
        <v>38</v>
      </c>
      <c r="F17" s="29" t="s">
        <v>152</v>
      </c>
      <c r="G17" s="29" t="s">
        <v>39</v>
      </c>
      <c r="H17" s="29" t="s">
        <v>40</v>
      </c>
      <c r="I17" s="29" t="s">
        <v>41</v>
      </c>
      <c r="J17" s="29" t="s">
        <v>42</v>
      </c>
      <c r="K17" s="30" t="s">
        <v>43</v>
      </c>
    </row>
    <row r="18" spans="2:11" x14ac:dyDescent="0.2">
      <c r="B18" s="31" t="s">
        <v>96</v>
      </c>
      <c r="C18" s="4" t="s">
        <v>97</v>
      </c>
      <c r="D18" s="4">
        <v>2</v>
      </c>
      <c r="E18" s="4">
        <v>0</v>
      </c>
      <c r="F18" s="4">
        <v>19</v>
      </c>
      <c r="G18" s="4">
        <v>3</v>
      </c>
      <c r="H18" s="4">
        <f>Tabela35511[[#This Row],[Room Common Point (cm)]]+Tabela35511[[#This Row],[Distance (cm)]]</f>
        <v>19</v>
      </c>
      <c r="I18" s="4">
        <f>ROUNDUP(Tabela35511[[#This Row],[Room Common Point (cm)]]/$D$16,1)</f>
        <v>0</v>
      </c>
      <c r="J18" s="4">
        <f>ROUNDUP(Tabela35511[[#This Row],[Distance (cm)]]/$D$16,1)</f>
        <v>19.400000000000002</v>
      </c>
      <c r="K18" s="4">
        <f>ROUNDUP(((Tabela35511[[#This Row],[Total (cm)]]/$D$16) + ($G$5*Tabela35511[[#This Row],[Height Multiplier]])) *Tabela35511[[#This Row],[Cable Multiplier]],1)</f>
        <v>58.2</v>
      </c>
    </row>
    <row r="19" spans="2:11" x14ac:dyDescent="0.2">
      <c r="B19" s="31" t="s">
        <v>96</v>
      </c>
      <c r="C19" s="4" t="s">
        <v>98</v>
      </c>
      <c r="D19" s="4">
        <v>2</v>
      </c>
      <c r="E19" s="4">
        <v>0</v>
      </c>
      <c r="F19" s="4">
        <f>19+3.4+3.9+5.1</f>
        <v>31.4</v>
      </c>
      <c r="G19" s="4">
        <v>3</v>
      </c>
      <c r="H19" s="4">
        <f>Tabela35511[[#This Row],[Room Common Point (cm)]]+Tabela35511[[#This Row],[Distance (cm)]]</f>
        <v>31.4</v>
      </c>
      <c r="I19" s="4">
        <f>ROUNDUP(Tabela35511[[#This Row],[Room Common Point (cm)]]/$D$16,1)</f>
        <v>0</v>
      </c>
      <c r="J19" s="4">
        <f>ROUNDUP(Tabela35511[[#This Row],[Distance (cm)]]/$D$16,1)</f>
        <v>32.1</v>
      </c>
      <c r="K19" s="4">
        <f>ROUNDUP(((Tabela35511[[#This Row],[Total (cm)]]/$D$16) + ($G$5*Tabela35511[[#This Row],[Height Multiplier]])) *Tabela35511[[#This Row],[Cable Multiplier]],1)</f>
        <v>96.1</v>
      </c>
    </row>
    <row r="20" spans="2:11" x14ac:dyDescent="0.2">
      <c r="B20" s="31" t="s">
        <v>96</v>
      </c>
      <c r="C20" s="4" t="s">
        <v>99</v>
      </c>
      <c r="D20" s="4">
        <v>2</v>
      </c>
      <c r="E20" s="4">
        <v>0</v>
      </c>
      <c r="F20" s="4">
        <f>19+3.9+0.5+3</f>
        <v>26.4</v>
      </c>
      <c r="G20" s="4">
        <v>3</v>
      </c>
      <c r="H20" s="4">
        <f>Tabela35511[[#This Row],[Room Common Point (cm)]]+Tabela35511[[#This Row],[Distance (cm)]]</f>
        <v>26.4</v>
      </c>
      <c r="I20" s="4">
        <f>ROUNDUP(Tabela35511[[#This Row],[Room Common Point (cm)]]/$D$16,1)</f>
        <v>0</v>
      </c>
      <c r="J20" s="4">
        <f>ROUNDUP(Tabela35511[[#This Row],[Distance (cm)]]/$D$16,1)</f>
        <v>27</v>
      </c>
      <c r="K20" s="4">
        <f>ROUNDUP(((Tabela35511[[#This Row],[Total (cm)]]/$D$16) + ($G$5*Tabela35511[[#This Row],[Height Multiplier]])) *Tabela35511[[#This Row],[Cable Multiplier]],1)</f>
        <v>80.8</v>
      </c>
    </row>
    <row r="21" spans="2:11" x14ac:dyDescent="0.2">
      <c r="B21" s="31" t="s">
        <v>96</v>
      </c>
      <c r="C21" s="4" t="s">
        <v>100</v>
      </c>
      <c r="D21" s="4">
        <v>2</v>
      </c>
      <c r="E21" s="4">
        <v>0</v>
      </c>
      <c r="F21" s="32">
        <f>19+3.4+3.9+6.7+2+3.5</f>
        <v>38.5</v>
      </c>
      <c r="G21" s="4">
        <v>3</v>
      </c>
      <c r="H21" s="4">
        <f>Tabela35511[[#This Row],[Room Common Point (cm)]]+Tabela35511[[#This Row],[Distance (cm)]]</f>
        <v>38.5</v>
      </c>
      <c r="I21" s="4">
        <f>ROUNDUP(Tabela35511[[#This Row],[Room Common Point (cm)]]/$D$16,1)</f>
        <v>0</v>
      </c>
      <c r="J21" s="4">
        <f>ROUNDUP(Tabela35511[[#This Row],[Distance (cm)]]/$D$16,1)</f>
        <v>39.300000000000004</v>
      </c>
      <c r="K21" s="4">
        <f>ROUNDUP(((Tabela35511[[#This Row],[Total (cm)]]/$D$16) + ($G$5*Tabela35511[[#This Row],[Height Multiplier]])) *Tabela35511[[#This Row],[Cable Multiplier]],1)</f>
        <v>117.89999999999999</v>
      </c>
    </row>
    <row r="22" spans="2:11" x14ac:dyDescent="0.2">
      <c r="B22" s="4" t="s">
        <v>97</v>
      </c>
      <c r="C22" s="4" t="s">
        <v>101</v>
      </c>
      <c r="D22" s="4">
        <v>0.25</v>
      </c>
      <c r="E22" s="4">
        <v>0</v>
      </c>
      <c r="F22" s="4">
        <v>2.5</v>
      </c>
      <c r="G22" s="4">
        <v>1</v>
      </c>
      <c r="H22" s="4">
        <f>Tabela35511[[#This Row],[Room Common Point (cm)]]+Tabela35511[[#This Row],[Distance (cm)]]</f>
        <v>2.5</v>
      </c>
      <c r="I22" s="4">
        <f>ROUNDUP(Tabela35511[[#This Row],[Room Common Point (cm)]]/$D$16,1)</f>
        <v>0</v>
      </c>
      <c r="J22" s="4">
        <f>ROUNDUP(Tabela35511[[#This Row],[Distance (cm)]]/$D$16,1)</f>
        <v>2.6</v>
      </c>
      <c r="K22" s="4">
        <f>ROUNDUP(((Tabela35511[[#This Row],[Total (cm)]]/$D$16) + ($G$5*Tabela35511[[#This Row],[Height Multiplier]])) *Tabela35511[[#This Row],[Cable Multiplier]],1)</f>
        <v>2.6</v>
      </c>
    </row>
    <row r="23" spans="2:11" x14ac:dyDescent="0.2">
      <c r="B23" s="4" t="s">
        <v>97</v>
      </c>
      <c r="C23" s="4" t="s">
        <v>102</v>
      </c>
      <c r="D23" s="4">
        <v>0.25</v>
      </c>
      <c r="E23" s="4">
        <v>0</v>
      </c>
      <c r="F23" s="4">
        <v>2.8</v>
      </c>
      <c r="G23" s="4">
        <v>1</v>
      </c>
      <c r="H23" s="4">
        <f>Tabela35511[[#This Row],[Room Common Point (cm)]]+Tabela35511[[#This Row],[Distance (cm)]]</f>
        <v>2.8</v>
      </c>
      <c r="I23" s="4">
        <f>ROUNDUP(Tabela35511[[#This Row],[Room Common Point (cm)]]/$D$16,1)</f>
        <v>0</v>
      </c>
      <c r="J23" s="4">
        <f>ROUNDUP(Tabela35511[[#This Row],[Distance (cm)]]/$D$16,1)</f>
        <v>2.9</v>
      </c>
      <c r="K23" s="4">
        <f>ROUNDUP(((Tabela35511[[#This Row],[Total (cm)]]/$D$16) + ($G$5*Tabela35511[[#This Row],[Height Multiplier]])) *Tabela35511[[#This Row],[Cable Multiplier]],1)</f>
        <v>2.9</v>
      </c>
    </row>
    <row r="24" spans="2:11" x14ac:dyDescent="0.2">
      <c r="B24" s="4" t="s">
        <v>97</v>
      </c>
      <c r="C24" s="4" t="s">
        <v>103</v>
      </c>
      <c r="D24" s="4">
        <v>0.25</v>
      </c>
      <c r="E24" s="4">
        <v>0</v>
      </c>
      <c r="F24" s="4">
        <v>10.199999999999999</v>
      </c>
      <c r="G24" s="4">
        <v>1</v>
      </c>
      <c r="H24" s="4">
        <f>Tabela35511[[#This Row],[Room Common Point (cm)]]+Tabela35511[[#This Row],[Distance (cm)]]</f>
        <v>10.199999999999999</v>
      </c>
      <c r="I24" s="4">
        <f>ROUNDUP(Tabela35511[[#This Row],[Room Common Point (cm)]]/$D$16,1)</f>
        <v>0</v>
      </c>
      <c r="J24" s="4">
        <f>ROUNDUP(Tabela35511[[#This Row],[Distance (cm)]]/$D$16,1)</f>
        <v>10.5</v>
      </c>
      <c r="K24" s="4">
        <f>ROUNDUP(((Tabela35511[[#This Row],[Total (cm)]]/$D$16) + ($G$5*Tabela35511[[#This Row],[Height Multiplier]])) *Tabela35511[[#This Row],[Cable Multiplier]],1)</f>
        <v>10.5</v>
      </c>
    </row>
    <row r="25" spans="2:11" x14ac:dyDescent="0.2">
      <c r="B25" s="4" t="s">
        <v>97</v>
      </c>
      <c r="C25" s="4" t="s">
        <v>104</v>
      </c>
      <c r="D25" s="4">
        <v>0.25</v>
      </c>
      <c r="E25" s="4">
        <v>0</v>
      </c>
      <c r="F25" s="32">
        <f>10.2+2.5</f>
        <v>12.7</v>
      </c>
      <c r="G25" s="4">
        <v>1</v>
      </c>
      <c r="H25" s="4">
        <f>Tabela35511[[#This Row],[Room Common Point (cm)]]+Tabela35511[[#This Row],[Distance (cm)]]</f>
        <v>12.7</v>
      </c>
      <c r="I25" s="4">
        <f>ROUNDUP(Tabela35511[[#This Row],[Room Common Point (cm)]]/$D$16,1)</f>
        <v>0</v>
      </c>
      <c r="J25" s="4">
        <f>ROUNDUP(Tabela35511[[#This Row],[Distance (cm)]]/$D$16,1)</f>
        <v>13</v>
      </c>
      <c r="K25" s="4">
        <f>ROUNDUP(((Tabela35511[[#This Row],[Total (cm)]]/$D$16) + ($G$5*Tabela35511[[#This Row],[Height Multiplier]])) *Tabela35511[[#This Row],[Cable Multiplier]],1)</f>
        <v>13</v>
      </c>
    </row>
    <row r="26" spans="2:11" x14ac:dyDescent="0.2">
      <c r="B26" s="4" t="s">
        <v>97</v>
      </c>
      <c r="C26" s="4" t="s">
        <v>105</v>
      </c>
      <c r="D26" s="4">
        <v>0.25</v>
      </c>
      <c r="E26" s="4">
        <v>0</v>
      </c>
      <c r="F26" s="4">
        <f>12.7+1.2+2.5</f>
        <v>16.399999999999999</v>
      </c>
      <c r="G26" s="4">
        <v>1</v>
      </c>
      <c r="H26" s="4">
        <f>Tabela35511[[#This Row],[Room Common Point (cm)]]+Tabela35511[[#This Row],[Distance (cm)]]</f>
        <v>16.399999999999999</v>
      </c>
      <c r="I26" s="4">
        <f>ROUNDUP(Tabela35511[[#This Row],[Room Common Point (cm)]]/$D$16,1)</f>
        <v>0</v>
      </c>
      <c r="J26" s="4">
        <f>ROUNDUP(Tabela35511[[#This Row],[Distance (cm)]]/$D$16,1)</f>
        <v>16.8</v>
      </c>
      <c r="K26" s="4">
        <f>ROUNDUP(((Tabela35511[[#This Row],[Total (cm)]]/$D$16) + ($G$5*Tabela35511[[#This Row],[Height Multiplier]])) *Tabela35511[[#This Row],[Cable Multiplier]],1)</f>
        <v>16.8</v>
      </c>
    </row>
    <row r="27" spans="2:11" x14ac:dyDescent="0.2">
      <c r="B27" s="4" t="s">
        <v>97</v>
      </c>
      <c r="C27" s="4" t="s">
        <v>106</v>
      </c>
      <c r="D27" s="4">
        <v>0.25</v>
      </c>
      <c r="E27" s="4">
        <v>0</v>
      </c>
      <c r="F27" s="4">
        <f>16.4+4</f>
        <v>20.399999999999999</v>
      </c>
      <c r="G27" s="4">
        <v>1</v>
      </c>
      <c r="H27" s="19">
        <f>Tabela35511[[#This Row],[Room Common Point (cm)]]+Tabela35511[[#This Row],[Distance (cm)]]</f>
        <v>20.399999999999999</v>
      </c>
      <c r="I27" s="19">
        <f>ROUNDUP(Tabela35511[[#This Row],[Room Common Point (cm)]]/$D$16,1)</f>
        <v>0</v>
      </c>
      <c r="J27" s="19">
        <f>ROUNDUP(Tabela35511[[#This Row],[Distance (cm)]]/$D$16,1)</f>
        <v>20.900000000000002</v>
      </c>
      <c r="K27" s="19">
        <f>ROUNDUP(((Tabela35511[[#This Row],[Total (cm)]]/$D$16) + ($G$5*Tabela35511[[#This Row],[Height Multiplier]])) *Tabela35511[[#This Row],[Cable Multiplier]],1)</f>
        <v>20.900000000000002</v>
      </c>
    </row>
    <row r="28" spans="2:11" x14ac:dyDescent="0.2">
      <c r="B28" s="4" t="s">
        <v>97</v>
      </c>
      <c r="C28" s="4" t="s">
        <v>107</v>
      </c>
      <c r="D28" s="4">
        <v>0.25</v>
      </c>
      <c r="E28" s="4">
        <v>0</v>
      </c>
      <c r="F28" s="4">
        <f>2.8+5.8+0.3+2.7</f>
        <v>11.600000000000001</v>
      </c>
      <c r="G28" s="4">
        <v>1</v>
      </c>
      <c r="H28" s="19">
        <f>Tabela35511[[#This Row],[Room Common Point (cm)]]+Tabela35511[[#This Row],[Distance (cm)]]</f>
        <v>11.600000000000001</v>
      </c>
      <c r="I28" s="19">
        <f>ROUNDUP(Tabela35511[[#This Row],[Room Common Point (cm)]]/$D$16,1)</f>
        <v>0</v>
      </c>
      <c r="J28" s="19">
        <f>ROUNDUP(Tabela35511[[#This Row],[Distance (cm)]]/$D$16,1)</f>
        <v>11.9</v>
      </c>
      <c r="K28" s="19">
        <f>ROUNDUP(((Tabela35511[[#This Row],[Total (cm)]]/$D$16) + ($G$5*Tabela35511[[#This Row],[Height Multiplier]])) *Tabela35511[[#This Row],[Cable Multiplier]],1)</f>
        <v>11.9</v>
      </c>
    </row>
    <row r="29" spans="2:11" x14ac:dyDescent="0.2">
      <c r="B29" s="4" t="s">
        <v>97</v>
      </c>
      <c r="C29" s="4" t="s">
        <v>108</v>
      </c>
      <c r="D29" s="4">
        <v>0.25</v>
      </c>
      <c r="E29" s="4">
        <v>0</v>
      </c>
      <c r="F29" s="32">
        <f>F28+3.2+1.8</f>
        <v>16.600000000000001</v>
      </c>
      <c r="G29" s="4">
        <v>1</v>
      </c>
      <c r="H29" s="4">
        <f>Tabela35511[[#This Row],[Room Common Point (cm)]]+Tabela35511[[#This Row],[Distance (cm)]]</f>
        <v>16.600000000000001</v>
      </c>
      <c r="I29" s="4">
        <f>ROUNDUP(Tabela35511[[#This Row],[Room Common Point (cm)]]/$D$16,1)</f>
        <v>0</v>
      </c>
      <c r="J29" s="4">
        <f>ROUNDUP(Tabela35511[[#This Row],[Distance (cm)]]/$D$16,1)</f>
        <v>17</v>
      </c>
      <c r="K29" s="4">
        <f>ROUNDUP(((Tabela35511[[#This Row],[Total (cm)]]/$D$16) + ($G$5*Tabela35511[[#This Row],[Height Multiplier]])) *Tabela35511[[#This Row],[Cable Multiplier]],1)</f>
        <v>17</v>
      </c>
    </row>
    <row r="30" spans="2:11" x14ac:dyDescent="0.2">
      <c r="B30" s="4" t="s">
        <v>97</v>
      </c>
      <c r="C30" s="4" t="s">
        <v>109</v>
      </c>
      <c r="D30" s="4">
        <v>0.25</v>
      </c>
      <c r="E30" s="4">
        <v>0</v>
      </c>
      <c r="F30" s="4">
        <f>16.6+3.6</f>
        <v>20.200000000000003</v>
      </c>
      <c r="G30" s="4">
        <v>1</v>
      </c>
      <c r="H30" s="4">
        <f>Tabela35511[[#This Row],[Room Common Point (cm)]]+Tabela35511[[#This Row],[Distance (cm)]]</f>
        <v>20.200000000000003</v>
      </c>
      <c r="I30" s="4">
        <f>ROUNDUP(Tabela35511[[#This Row],[Room Common Point (cm)]]/$D$16,1)</f>
        <v>0</v>
      </c>
      <c r="J30" s="4">
        <f>ROUNDUP(Tabela35511[[#This Row],[Distance (cm)]]/$D$16,1)</f>
        <v>20.700000000000003</v>
      </c>
      <c r="K30" s="4">
        <f>ROUNDUP(((Tabela35511[[#This Row],[Total (cm)]]/$D$16) + ($G$5*Tabela35511[[#This Row],[Height Multiplier]])) *Tabela35511[[#This Row],[Cable Multiplier]],1)</f>
        <v>20.700000000000003</v>
      </c>
    </row>
    <row r="31" spans="2:11" x14ac:dyDescent="0.2">
      <c r="B31" s="4" t="s">
        <v>97</v>
      </c>
      <c r="C31" s="4" t="s">
        <v>114</v>
      </c>
      <c r="D31" s="4">
        <v>0.25</v>
      </c>
      <c r="E31" s="4">
        <v>0</v>
      </c>
      <c r="F31" s="4">
        <f>2.8+5.8+0.3+5.7+3+1.4+2.5</f>
        <v>21.5</v>
      </c>
      <c r="G31" s="4">
        <v>1</v>
      </c>
      <c r="H31" s="4">
        <f>Tabela35511[[#This Row],[Room Common Point (cm)]]+Tabela35511[[#This Row],[Distance (cm)]]</f>
        <v>21.5</v>
      </c>
      <c r="I31" s="4">
        <f>ROUNDUP(Tabela35511[[#This Row],[Room Common Point (cm)]]/$D$16,1)</f>
        <v>0</v>
      </c>
      <c r="J31" s="4">
        <f>ROUNDUP(Tabela35511[[#This Row],[Distance (cm)]]/$D$16,1)</f>
        <v>22</v>
      </c>
      <c r="K31" s="4">
        <f>ROUNDUP(((Tabela35511[[#This Row],[Total (cm)]]/$D$16) + ($G$5*Tabela35511[[#This Row],[Height Multiplier]])) *Tabela35511[[#This Row],[Cable Multiplier]],1)</f>
        <v>22</v>
      </c>
    </row>
    <row r="32" spans="2:11" x14ac:dyDescent="0.2">
      <c r="B32" s="4" t="s">
        <v>97</v>
      </c>
      <c r="C32" s="4" t="s">
        <v>110</v>
      </c>
      <c r="D32" s="4">
        <v>0.25</v>
      </c>
      <c r="E32" s="4">
        <v>0</v>
      </c>
      <c r="F32" s="4">
        <f>21.5-2.5</f>
        <v>19</v>
      </c>
      <c r="G32" s="4">
        <v>1</v>
      </c>
      <c r="H32" s="4">
        <f>Tabela35511[[#This Row],[Room Common Point (cm)]]+Tabela35511[[#This Row],[Distance (cm)]]</f>
        <v>19</v>
      </c>
      <c r="I32" s="4">
        <f>ROUNDUP(Tabela35511[[#This Row],[Room Common Point (cm)]]/$D$16,1)</f>
        <v>0</v>
      </c>
      <c r="J32" s="4">
        <f>ROUNDUP(Tabela35511[[#This Row],[Distance (cm)]]/$D$16,1)</f>
        <v>19.400000000000002</v>
      </c>
      <c r="K32" s="4">
        <f>ROUNDUP(((Tabela35511[[#This Row],[Total (cm)]]/$D$16) + ($G$5*Tabela35511[[#This Row],[Height Multiplier]])) *Tabela35511[[#This Row],[Cable Multiplier]],1)</f>
        <v>19.400000000000002</v>
      </c>
    </row>
    <row r="33" spans="2:11" x14ac:dyDescent="0.2">
      <c r="B33" s="4" t="s">
        <v>97</v>
      </c>
      <c r="C33" s="4" t="s">
        <v>115</v>
      </c>
      <c r="D33" s="4">
        <v>0.25</v>
      </c>
      <c r="E33" s="4">
        <v>0</v>
      </c>
      <c r="F33" s="32">
        <f>19-1.4-3</f>
        <v>14.600000000000001</v>
      </c>
      <c r="G33" s="4">
        <v>1</v>
      </c>
      <c r="H33" s="4">
        <f>Tabela35511[[#This Row],[Room Common Point (cm)]]+Tabela35511[[#This Row],[Distance (cm)]]</f>
        <v>14.600000000000001</v>
      </c>
      <c r="I33" s="4">
        <f>ROUNDUP(Tabela35511[[#This Row],[Room Common Point (cm)]]/$D$16,1)</f>
        <v>0</v>
      </c>
      <c r="J33" s="4">
        <f>ROUNDUP(Tabela35511[[#This Row],[Distance (cm)]]/$D$16,1)</f>
        <v>14.9</v>
      </c>
      <c r="K33" s="4">
        <f>ROUNDUP(((Tabela35511[[#This Row],[Total (cm)]]/$D$16) + ($G$5*Tabela35511[[#This Row],[Height Multiplier]])) *Tabela35511[[#This Row],[Cable Multiplier]],1)</f>
        <v>14.9</v>
      </c>
    </row>
    <row r="34" spans="2:11" x14ac:dyDescent="0.2">
      <c r="B34" s="4" t="s">
        <v>97</v>
      </c>
      <c r="C34" s="4" t="s">
        <v>111</v>
      </c>
      <c r="D34" s="4">
        <v>0.25</v>
      </c>
      <c r="E34" s="4">
        <v>0</v>
      </c>
      <c r="F34" s="4">
        <f>0.3+1.6</f>
        <v>1.9000000000000001</v>
      </c>
      <c r="G34" s="4">
        <v>1</v>
      </c>
      <c r="H34" s="4">
        <f>Tabela35511[[#This Row],[Room Common Point (cm)]]+Tabela35511[[#This Row],[Distance (cm)]]</f>
        <v>1.9000000000000001</v>
      </c>
      <c r="I34" s="4">
        <f>ROUNDUP(Tabela35511[[#This Row],[Room Common Point (cm)]]/$D$16,1)</f>
        <v>0</v>
      </c>
      <c r="J34" s="4">
        <f>ROUNDUP(Tabela35511[[#This Row],[Distance (cm)]]/$D$16,1)</f>
        <v>2</v>
      </c>
      <c r="K34" s="4">
        <f>ROUNDUP(((Tabela35511[[#This Row],[Total (cm)]]/$D$16) + ($G$5*Tabela35511[[#This Row],[Height Multiplier]])) *Tabela35511[[#This Row],[Cable Multiplier]],1)</f>
        <v>2</v>
      </c>
    </row>
    <row r="35" spans="2:11" x14ac:dyDescent="0.2">
      <c r="B35" s="4" t="s">
        <v>97</v>
      </c>
      <c r="C35" s="4" t="s">
        <v>112</v>
      </c>
      <c r="D35" s="4">
        <v>0.25</v>
      </c>
      <c r="E35" s="4">
        <v>0</v>
      </c>
      <c r="F35" s="4">
        <f>F34+2.5</f>
        <v>4.4000000000000004</v>
      </c>
      <c r="G35" s="4">
        <v>1</v>
      </c>
      <c r="H35" s="4">
        <f>Tabela35511[[#This Row],[Room Common Point (cm)]]+Tabela35511[[#This Row],[Distance (cm)]]</f>
        <v>4.4000000000000004</v>
      </c>
      <c r="I35" s="4">
        <f>ROUNDUP(Tabela35511[[#This Row],[Room Common Point (cm)]]/$D$16,1)</f>
        <v>0</v>
      </c>
      <c r="J35" s="4">
        <f>ROUNDUP(Tabela35511[[#This Row],[Distance (cm)]]/$D$16,1)</f>
        <v>4.5</v>
      </c>
      <c r="K35" s="4">
        <f>ROUNDUP(((Tabela35511[[#This Row],[Total (cm)]]/$D$16) + ($G$5*Tabela35511[[#This Row],[Height Multiplier]])) *Tabela35511[[#This Row],[Cable Multiplier]],1)</f>
        <v>4.5</v>
      </c>
    </row>
    <row r="36" spans="2:11" x14ac:dyDescent="0.2">
      <c r="B36" s="4" t="s">
        <v>97</v>
      </c>
      <c r="C36" s="4" t="s">
        <v>113</v>
      </c>
      <c r="D36" s="4">
        <v>0.25</v>
      </c>
      <c r="E36" s="4">
        <v>0</v>
      </c>
      <c r="F36" s="4">
        <f>4.4+1.8+2.5</f>
        <v>8.6999999999999993</v>
      </c>
      <c r="G36" s="4">
        <v>1</v>
      </c>
      <c r="H36" s="4">
        <f>Tabela35511[[#This Row],[Room Common Point (cm)]]+Tabela35511[[#This Row],[Distance (cm)]]</f>
        <v>8.6999999999999993</v>
      </c>
      <c r="I36" s="4">
        <f>ROUNDUP(Tabela35511[[#This Row],[Room Common Point (cm)]]/$D$16,1)</f>
        <v>0</v>
      </c>
      <c r="J36" s="4">
        <f>ROUNDUP(Tabela35511[[#This Row],[Distance (cm)]]/$D$16,1)</f>
        <v>8.9</v>
      </c>
      <c r="K36" s="4">
        <f>ROUNDUP(((Tabela35511[[#This Row],[Total (cm)]]/$D$16) + ($G$5*Tabela35511[[#This Row],[Height Multiplier]])) *Tabela35511[[#This Row],[Cable Multiplier]],1)</f>
        <v>8.9</v>
      </c>
    </row>
    <row r="37" spans="2:11" x14ac:dyDescent="0.2">
      <c r="B37" s="4" t="s">
        <v>97</v>
      </c>
      <c r="C37" s="4" t="s">
        <v>116</v>
      </c>
      <c r="D37" s="4">
        <v>0.25</v>
      </c>
      <c r="E37" s="4">
        <v>0</v>
      </c>
      <c r="F37" s="32">
        <f>8.7+4</f>
        <v>12.7</v>
      </c>
      <c r="G37" s="4">
        <v>1</v>
      </c>
      <c r="H37" s="4">
        <f>Tabela35511[[#This Row],[Room Common Point (cm)]]+Tabela35511[[#This Row],[Distance (cm)]]</f>
        <v>12.7</v>
      </c>
      <c r="I37" s="4">
        <f>ROUNDUP(Tabela35511[[#This Row],[Room Common Point (cm)]]/$D$16,1)</f>
        <v>0</v>
      </c>
      <c r="J37" s="4">
        <f>ROUNDUP(Tabela35511[[#This Row],[Distance (cm)]]/$D$16,1)</f>
        <v>13</v>
      </c>
      <c r="K37" s="4">
        <f>ROUNDUP(((Tabela35511[[#This Row],[Total (cm)]]/$D$16) + ($G$5*Tabela35511[[#This Row],[Height Multiplier]])) *Tabela35511[[#This Row],[Cable Multiplier]],1)</f>
        <v>13</v>
      </c>
    </row>
    <row r="38" spans="2:11" x14ac:dyDescent="0.2">
      <c r="B38" s="4" t="s">
        <v>97</v>
      </c>
      <c r="C38" s="4" t="s">
        <v>117</v>
      </c>
      <c r="D38" s="4">
        <v>0.25</v>
      </c>
      <c r="E38" s="4">
        <v>0</v>
      </c>
      <c r="F38" s="4">
        <f>0.3+5.2</f>
        <v>5.5</v>
      </c>
      <c r="G38" s="4">
        <v>1</v>
      </c>
      <c r="H38" s="4">
        <f>Tabela35511[[#This Row],[Room Common Point (cm)]]+Tabela35511[[#This Row],[Distance (cm)]]</f>
        <v>5.5</v>
      </c>
      <c r="I38" s="4">
        <f>ROUNDUP(Tabela35511[[#This Row],[Room Common Point (cm)]]/$D$16,1)</f>
        <v>0</v>
      </c>
      <c r="J38" s="4">
        <f>ROUNDUP(Tabela35511[[#This Row],[Distance (cm)]]/$D$16,1)</f>
        <v>5.6999999999999993</v>
      </c>
      <c r="K38" s="4">
        <f>ROUNDUP(((Tabela35511[[#This Row],[Total (cm)]]/$D$16) + ($G$5*Tabela35511[[#This Row],[Height Multiplier]])) *Tabela35511[[#This Row],[Cable Multiplier]],1)</f>
        <v>5.6999999999999993</v>
      </c>
    </row>
    <row r="39" spans="2:11" x14ac:dyDescent="0.2">
      <c r="B39" s="4" t="s">
        <v>97</v>
      </c>
      <c r="C39" s="4" t="s">
        <v>118</v>
      </c>
      <c r="D39" s="4">
        <v>0.25</v>
      </c>
      <c r="E39" s="4">
        <v>0</v>
      </c>
      <c r="F39" s="4">
        <f>5.5+3.6+2.5</f>
        <v>11.6</v>
      </c>
      <c r="G39" s="4">
        <v>1</v>
      </c>
      <c r="H39" s="4">
        <f>Tabela35511[[#This Row],[Room Common Point (cm)]]+Tabela35511[[#This Row],[Distance (cm)]]</f>
        <v>11.6</v>
      </c>
      <c r="I39" s="4">
        <f>ROUNDUP(Tabela35511[[#This Row],[Room Common Point (cm)]]/$D$16,1)</f>
        <v>0</v>
      </c>
      <c r="J39" s="4">
        <f>ROUNDUP(Tabela35511[[#This Row],[Distance (cm)]]/$D$16,1)</f>
        <v>11.9</v>
      </c>
      <c r="K39" s="4">
        <f>ROUNDUP(((Tabela35511[[#This Row],[Total (cm)]]/$D$16) + ($G$5*Tabela35511[[#This Row],[Height Multiplier]])) *Tabela35511[[#This Row],[Cable Multiplier]],1)</f>
        <v>11.9</v>
      </c>
    </row>
    <row r="40" spans="2:11" x14ac:dyDescent="0.2">
      <c r="B40" s="31" t="s">
        <v>98</v>
      </c>
      <c r="C40" s="4" t="s">
        <v>119</v>
      </c>
      <c r="D40" s="4">
        <v>0.25</v>
      </c>
      <c r="E40" s="4">
        <v>0</v>
      </c>
      <c r="F40" s="4">
        <v>2.2000000000000002</v>
      </c>
      <c r="G40" s="4">
        <v>1</v>
      </c>
      <c r="H40" s="4">
        <f>Tabela35511[[#This Row],[Room Common Point (cm)]]+Tabela35511[[#This Row],[Distance (cm)]]</f>
        <v>2.2000000000000002</v>
      </c>
      <c r="I40" s="4">
        <f>ROUNDUP(Tabela35511[[#This Row],[Room Common Point (cm)]]/$D$16,1)</f>
        <v>0</v>
      </c>
      <c r="J40" s="4">
        <f>ROUNDUP(Tabela35511[[#This Row],[Distance (cm)]]/$D$16,1)</f>
        <v>2.3000000000000003</v>
      </c>
      <c r="K40" s="4">
        <f>ROUNDUP(((Tabela35511[[#This Row],[Total (cm)]]/$D$16) + ($G$5*Tabela35511[[#This Row],[Height Multiplier]])) *Tabela35511[[#This Row],[Cable Multiplier]],1)</f>
        <v>2.3000000000000003</v>
      </c>
    </row>
    <row r="41" spans="2:11" x14ac:dyDescent="0.2">
      <c r="B41" s="31" t="s">
        <v>98</v>
      </c>
      <c r="C41" s="4" t="s">
        <v>120</v>
      </c>
      <c r="D41" s="4">
        <v>0.25</v>
      </c>
      <c r="E41" s="4">
        <v>0</v>
      </c>
      <c r="F41" s="32">
        <f>2.2+2.9</f>
        <v>5.0999999999999996</v>
      </c>
      <c r="G41" s="4">
        <v>1</v>
      </c>
      <c r="H41" s="4">
        <f>Tabela35511[[#This Row],[Room Common Point (cm)]]+Tabela35511[[#This Row],[Distance (cm)]]</f>
        <v>5.0999999999999996</v>
      </c>
      <c r="I41" s="4">
        <f>ROUNDUP(Tabela35511[[#This Row],[Room Common Point (cm)]]/$D$16,1)</f>
        <v>0</v>
      </c>
      <c r="J41" s="4">
        <f>ROUNDUP(Tabela35511[[#This Row],[Distance (cm)]]/$D$16,1)</f>
        <v>5.3</v>
      </c>
      <c r="K41" s="4">
        <f>ROUNDUP(((Tabela35511[[#This Row],[Total (cm)]]/$D$16) + ($G$5*Tabela35511[[#This Row],[Height Multiplier]])) *Tabela35511[[#This Row],[Cable Multiplier]],1)</f>
        <v>5.3</v>
      </c>
    </row>
    <row r="42" spans="2:11" x14ac:dyDescent="0.2">
      <c r="B42" s="31" t="s">
        <v>98</v>
      </c>
      <c r="C42" s="4" t="s">
        <v>121</v>
      </c>
      <c r="D42" s="4">
        <v>0.25</v>
      </c>
      <c r="E42" s="4">
        <v>0</v>
      </c>
      <c r="F42" s="4">
        <f>5.1+1.3+2.5</f>
        <v>8.8999999999999986</v>
      </c>
      <c r="G42" s="4">
        <v>1</v>
      </c>
      <c r="H42" s="19">
        <f>Tabela35511[[#This Row],[Room Common Point (cm)]]+Tabela35511[[#This Row],[Distance (cm)]]</f>
        <v>8.8999999999999986</v>
      </c>
      <c r="I42" s="19">
        <f>ROUNDUP(Tabela35511[[#This Row],[Room Common Point (cm)]]/$D$16,1)</f>
        <v>0</v>
      </c>
      <c r="J42" s="19">
        <f>ROUNDUP(Tabela35511[[#This Row],[Distance (cm)]]/$D$16,1)</f>
        <v>9.1</v>
      </c>
      <c r="K42" s="19">
        <f>ROUNDUP(((Tabela35511[[#This Row],[Total (cm)]]/$D$16) + ($G$5*Tabela35511[[#This Row],[Height Multiplier]])) *Tabela35511[[#This Row],[Cable Multiplier]],1)</f>
        <v>9.1</v>
      </c>
    </row>
    <row r="43" spans="2:11" x14ac:dyDescent="0.2">
      <c r="B43" s="31" t="s">
        <v>98</v>
      </c>
      <c r="C43" s="4" t="s">
        <v>122</v>
      </c>
      <c r="D43" s="4">
        <v>0.25</v>
      </c>
      <c r="E43" s="4">
        <v>0</v>
      </c>
      <c r="F43" s="4">
        <f>5.7+2.2+2.9</f>
        <v>10.8</v>
      </c>
      <c r="G43" s="4">
        <v>1</v>
      </c>
      <c r="H43" s="19">
        <f>Tabela35511[[#This Row],[Room Common Point (cm)]]+Tabela35511[[#This Row],[Distance (cm)]]</f>
        <v>10.8</v>
      </c>
      <c r="I43" s="19">
        <f>ROUNDUP(Tabela35511[[#This Row],[Room Common Point (cm)]]/$D$16,1)</f>
        <v>0</v>
      </c>
      <c r="J43" s="19">
        <f>ROUNDUP(Tabela35511[[#This Row],[Distance (cm)]]/$D$16,1)</f>
        <v>11.1</v>
      </c>
      <c r="K43" s="19">
        <f>ROUNDUP(((Tabela35511[[#This Row],[Total (cm)]]/$D$16) + ($G$5*Tabela35511[[#This Row],[Height Multiplier]])) *Tabela35511[[#This Row],[Cable Multiplier]],1)</f>
        <v>11.1</v>
      </c>
    </row>
    <row r="44" spans="2:11" x14ac:dyDescent="0.2">
      <c r="B44" s="31" t="s">
        <v>98</v>
      </c>
      <c r="C44" s="4" t="s">
        <v>123</v>
      </c>
      <c r="D44" s="4">
        <v>0.25</v>
      </c>
      <c r="E44" s="4">
        <v>0</v>
      </c>
      <c r="F44" s="4">
        <f>10.8-2.9</f>
        <v>7.9</v>
      </c>
      <c r="G44" s="4">
        <v>1</v>
      </c>
      <c r="H44" s="4">
        <f>Tabela35511[[#This Row],[Room Common Point (cm)]]+Tabela35511[[#This Row],[Distance (cm)]]</f>
        <v>7.9</v>
      </c>
      <c r="I44" s="4">
        <f>ROUNDUP(Tabela35511[[#This Row],[Room Common Point (cm)]]/$D$16,1)</f>
        <v>0</v>
      </c>
      <c r="J44" s="4">
        <f>ROUNDUP(Tabela35511[[#This Row],[Distance (cm)]]/$D$16,1)</f>
        <v>8.1</v>
      </c>
      <c r="K44" s="4">
        <f>ROUNDUP(((Tabela35511[[#This Row],[Total (cm)]]/$D$16) + ($G$5*Tabela35511[[#This Row],[Height Multiplier]])) *Tabela35511[[#This Row],[Cable Multiplier]],1)</f>
        <v>8.1</v>
      </c>
    </row>
    <row r="45" spans="2:11" x14ac:dyDescent="0.2">
      <c r="B45" s="31" t="s">
        <v>98</v>
      </c>
      <c r="C45" s="4" t="s">
        <v>124</v>
      </c>
      <c r="D45" s="4">
        <v>0.25</v>
      </c>
      <c r="E45" s="4">
        <v>0</v>
      </c>
      <c r="F45" s="32">
        <f>0.3+2.2+2.9</f>
        <v>5.4</v>
      </c>
      <c r="G45" s="4">
        <v>1</v>
      </c>
      <c r="H45" s="4">
        <f>Tabela35511[[#This Row],[Room Common Point (cm)]]+Tabela35511[[#This Row],[Distance (cm)]]</f>
        <v>5.4</v>
      </c>
      <c r="I45" s="4">
        <f>ROUNDUP(Tabela35511[[#This Row],[Room Common Point (cm)]]/$D$16,1)</f>
        <v>0</v>
      </c>
      <c r="J45" s="4">
        <f>ROUNDUP(Tabela35511[[#This Row],[Distance (cm)]]/$D$16,1)</f>
        <v>5.6</v>
      </c>
      <c r="K45" s="4">
        <f>ROUNDUP(((Tabela35511[[#This Row],[Total (cm)]]/$D$16) + ($G$5*Tabela35511[[#This Row],[Height Multiplier]])) *Tabela35511[[#This Row],[Cable Multiplier]],1)</f>
        <v>5.6</v>
      </c>
    </row>
    <row r="46" spans="2:11" x14ac:dyDescent="0.2">
      <c r="B46" s="31" t="s">
        <v>98</v>
      </c>
      <c r="C46" s="4" t="s">
        <v>125</v>
      </c>
      <c r="D46" s="4">
        <v>0.25</v>
      </c>
      <c r="E46" s="4">
        <v>0</v>
      </c>
      <c r="F46" s="4">
        <f>0.3+2.2</f>
        <v>2.5</v>
      </c>
      <c r="G46" s="4">
        <v>1</v>
      </c>
      <c r="H46" s="4">
        <f>Tabela35511[[#This Row],[Room Common Point (cm)]]+Tabela35511[[#This Row],[Distance (cm)]]</f>
        <v>2.5</v>
      </c>
      <c r="I46" s="4">
        <f>ROUNDUP(Tabela35511[[#This Row],[Room Common Point (cm)]]/$D$16,1)</f>
        <v>0</v>
      </c>
      <c r="J46" s="4">
        <f>ROUNDUP(Tabela35511[[#This Row],[Distance (cm)]]/$D$16,1)</f>
        <v>2.6</v>
      </c>
      <c r="K46" s="4">
        <f>ROUNDUP(((Tabela35511[[#This Row],[Total (cm)]]/$D$16) + ($G$5*Tabela35511[[#This Row],[Height Multiplier]])) *Tabela35511[[#This Row],[Cable Multiplier]],1)</f>
        <v>2.6</v>
      </c>
    </row>
    <row r="47" spans="2:11" x14ac:dyDescent="0.2">
      <c r="B47" s="31" t="s">
        <v>98</v>
      </c>
      <c r="C47" s="4" t="s">
        <v>126</v>
      </c>
      <c r="D47" s="4">
        <v>0.25</v>
      </c>
      <c r="E47" s="4">
        <v>0</v>
      </c>
      <c r="F47" s="4">
        <f>0.3+2.2+2.9+1.3+2.5</f>
        <v>9.1999999999999993</v>
      </c>
      <c r="G47" s="4">
        <v>1</v>
      </c>
      <c r="H47" s="4">
        <f>Tabela35511[[#This Row],[Room Common Point (cm)]]+Tabela35511[[#This Row],[Distance (cm)]]</f>
        <v>9.1999999999999993</v>
      </c>
      <c r="I47" s="4">
        <f>ROUNDUP(Tabela35511[[#This Row],[Room Common Point (cm)]]/$D$16,1)</f>
        <v>0</v>
      </c>
      <c r="J47" s="4">
        <f>ROUNDUP(Tabela35511[[#This Row],[Distance (cm)]]/$D$16,1)</f>
        <v>9.4</v>
      </c>
      <c r="K47" s="4">
        <f>ROUNDUP(((Tabela35511[[#This Row],[Total (cm)]]/$D$16) + ($G$5*Tabela35511[[#This Row],[Height Multiplier]])) *Tabela35511[[#This Row],[Cable Multiplier]],1)</f>
        <v>9.4</v>
      </c>
    </row>
    <row r="48" spans="2:11" x14ac:dyDescent="0.2">
      <c r="B48" s="31" t="s">
        <v>98</v>
      </c>
      <c r="C48" s="4" t="s">
        <v>127</v>
      </c>
      <c r="D48" s="4">
        <v>0.25</v>
      </c>
      <c r="E48" s="4">
        <v>0</v>
      </c>
      <c r="F48" s="4">
        <f>0.3+5.7+2.2+2.9</f>
        <v>11.1</v>
      </c>
      <c r="G48" s="4">
        <v>1</v>
      </c>
      <c r="H48" s="4">
        <f>Tabela35511[[#This Row],[Room Common Point (cm)]]+Tabela35511[[#This Row],[Distance (cm)]]</f>
        <v>11.1</v>
      </c>
      <c r="I48" s="4">
        <f>ROUNDUP(Tabela35511[[#This Row],[Room Common Point (cm)]]/$D$16,1)</f>
        <v>0</v>
      </c>
      <c r="J48" s="4">
        <f>ROUNDUP(Tabela35511[[#This Row],[Distance (cm)]]/$D$16,1)</f>
        <v>11.4</v>
      </c>
      <c r="K48" s="4">
        <f>ROUNDUP(((Tabela35511[[#This Row],[Total (cm)]]/$D$16) + ($G$5*Tabela35511[[#This Row],[Height Multiplier]])) *Tabela35511[[#This Row],[Cable Multiplier]],1)</f>
        <v>11.4</v>
      </c>
    </row>
    <row r="49" spans="2:11" x14ac:dyDescent="0.2">
      <c r="B49" s="31" t="s">
        <v>98</v>
      </c>
      <c r="C49" s="4" t="s">
        <v>128</v>
      </c>
      <c r="D49" s="4">
        <v>0.25</v>
      </c>
      <c r="E49" s="4">
        <v>0</v>
      </c>
      <c r="F49" s="32">
        <f>11.1-2.9</f>
        <v>8.1999999999999993</v>
      </c>
      <c r="G49" s="4">
        <v>1</v>
      </c>
      <c r="H49" s="4">
        <f>Tabela35511[[#This Row],[Room Common Point (cm)]]+Tabela35511[[#This Row],[Distance (cm)]]</f>
        <v>8.1999999999999993</v>
      </c>
      <c r="I49" s="4">
        <f>ROUNDUP(Tabela35511[[#This Row],[Room Common Point (cm)]]/$D$16,1)</f>
        <v>0</v>
      </c>
      <c r="J49" s="4">
        <f>ROUNDUP(Tabela35511[[#This Row],[Distance (cm)]]/$D$16,1)</f>
        <v>8.4</v>
      </c>
      <c r="K49" s="4">
        <f>ROUNDUP(((Tabela35511[[#This Row],[Total (cm)]]/$D$16) + ($G$5*Tabela35511[[#This Row],[Height Multiplier]])) *Tabela35511[[#This Row],[Cable Multiplier]],1)</f>
        <v>8.4</v>
      </c>
    </row>
    <row r="50" spans="2:11" x14ac:dyDescent="0.2">
      <c r="B50" s="31" t="s">
        <v>98</v>
      </c>
      <c r="C50" s="4" t="s">
        <v>151</v>
      </c>
      <c r="D50" s="4">
        <v>0.25</v>
      </c>
      <c r="E50" s="4">
        <v>0</v>
      </c>
      <c r="F50" s="4">
        <f>0.3+2.2+2.9+1.3</f>
        <v>6.7</v>
      </c>
      <c r="G50" s="4">
        <v>1</v>
      </c>
      <c r="H50" s="19">
        <f>Tabela35511[[#This Row],[Room Common Point (cm)]]+Tabela35511[[#This Row],[Distance (cm)]]</f>
        <v>6.7</v>
      </c>
      <c r="I50" s="19">
        <f>ROUNDUP(Tabela35511[[#This Row],[Room Common Point (cm)]]/$D$16,1)</f>
        <v>0</v>
      </c>
      <c r="J50" s="19">
        <f>ROUNDUP(Tabela35511[[#This Row],[Distance (cm)]]/$D$16,1)</f>
        <v>6.8999999999999995</v>
      </c>
      <c r="K50" s="19">
        <f>ROUNDUP(((Tabela35511[[#This Row],[Total (cm)]]/$D$16) + ($G$5*Tabela35511[[#This Row],[Height Multiplier]])) *Tabela35511[[#This Row],[Cable Multiplier]],1)</f>
        <v>6.8999999999999995</v>
      </c>
    </row>
    <row r="51" spans="2:11" x14ac:dyDescent="0.2">
      <c r="B51" s="31" t="s">
        <v>99</v>
      </c>
      <c r="C51" s="4" t="s">
        <v>129</v>
      </c>
      <c r="D51" s="4">
        <v>0.25</v>
      </c>
      <c r="E51" s="4">
        <v>0</v>
      </c>
      <c r="F51" s="4">
        <v>2.2999999999999998</v>
      </c>
      <c r="G51" s="4">
        <v>1</v>
      </c>
      <c r="H51" s="4">
        <f>Tabela35511[[#This Row],[Room Common Point (cm)]]+Tabela35511[[#This Row],[Distance (cm)]]</f>
        <v>2.2999999999999998</v>
      </c>
      <c r="I51" s="4">
        <f>ROUNDUP(Tabela35511[[#This Row],[Room Common Point (cm)]]/$D$16,1)</f>
        <v>0</v>
      </c>
      <c r="J51" s="4">
        <f>ROUNDUP(Tabela35511[[#This Row],[Distance (cm)]]/$D$16,1)</f>
        <v>2.4</v>
      </c>
      <c r="K51" s="4">
        <f>ROUNDUP(((Tabela35511[[#This Row],[Total (cm)]]/$D$16) + ($G$5*Tabela35511[[#This Row],[Height Multiplier]])) *Tabela35511[[#This Row],[Cable Multiplier]],1)</f>
        <v>2.4</v>
      </c>
    </row>
    <row r="52" spans="2:11" x14ac:dyDescent="0.2">
      <c r="B52" s="31" t="s">
        <v>99</v>
      </c>
      <c r="C52" s="4" t="s">
        <v>130</v>
      </c>
      <c r="D52" s="4">
        <v>0.25</v>
      </c>
      <c r="E52" s="4">
        <v>0</v>
      </c>
      <c r="F52" s="4">
        <f>3.1+2.5+2.3+2.9+1.6+2.5</f>
        <v>14.899999999999999</v>
      </c>
      <c r="G52" s="4">
        <v>1</v>
      </c>
      <c r="H52" s="4">
        <f>Tabela35511[[#This Row],[Room Common Point (cm)]]+Tabela35511[[#This Row],[Distance (cm)]]</f>
        <v>14.899999999999999</v>
      </c>
      <c r="I52" s="4">
        <f>ROUNDUP(Tabela35511[[#This Row],[Room Common Point (cm)]]/$D$16,1)</f>
        <v>0</v>
      </c>
      <c r="J52" s="4">
        <f>ROUNDUP(Tabela35511[[#This Row],[Distance (cm)]]/$D$16,1)</f>
        <v>15.2</v>
      </c>
      <c r="K52" s="4">
        <f>ROUNDUP(((Tabela35511[[#This Row],[Total (cm)]]/$D$16) + ($G$5*Tabela35511[[#This Row],[Height Multiplier]])) *Tabela35511[[#This Row],[Cable Multiplier]],1)</f>
        <v>15.2</v>
      </c>
    </row>
    <row r="53" spans="2:11" x14ac:dyDescent="0.2">
      <c r="B53" s="31" t="s">
        <v>99</v>
      </c>
      <c r="C53" s="4" t="s">
        <v>131</v>
      </c>
      <c r="D53" s="4">
        <v>0.25</v>
      </c>
      <c r="E53" s="4">
        <v>0</v>
      </c>
      <c r="F53" s="4">
        <f>14.9-2.5</f>
        <v>12.4</v>
      </c>
      <c r="G53" s="4">
        <v>1</v>
      </c>
      <c r="H53" s="4">
        <f>Tabela35511[[#This Row],[Room Common Point (cm)]]+Tabela35511[[#This Row],[Distance (cm)]]</f>
        <v>12.4</v>
      </c>
      <c r="I53" s="4">
        <f>ROUNDUP(Tabela35511[[#This Row],[Room Common Point (cm)]]/$D$16,1)</f>
        <v>0</v>
      </c>
      <c r="J53" s="4">
        <f>ROUNDUP(Tabela35511[[#This Row],[Distance (cm)]]/$D$16,1)</f>
        <v>12.7</v>
      </c>
      <c r="K53" s="4">
        <f>ROUNDUP(((Tabela35511[[#This Row],[Total (cm)]]/$D$16) + ($G$5*Tabela35511[[#This Row],[Height Multiplier]])) *Tabela35511[[#This Row],[Cable Multiplier]],1)</f>
        <v>12.7</v>
      </c>
    </row>
    <row r="54" spans="2:11" x14ac:dyDescent="0.2">
      <c r="B54" s="31" t="s">
        <v>99</v>
      </c>
      <c r="C54" s="4" t="s">
        <v>132</v>
      </c>
      <c r="D54" s="4">
        <v>0.25</v>
      </c>
      <c r="E54" s="4">
        <v>0</v>
      </c>
      <c r="F54" s="32">
        <f>12.4-2.9</f>
        <v>9.5</v>
      </c>
      <c r="G54" s="4">
        <v>1</v>
      </c>
      <c r="H54" s="4">
        <f>Tabela35511[[#This Row],[Room Common Point (cm)]]+Tabela35511[[#This Row],[Distance (cm)]]</f>
        <v>9.5</v>
      </c>
      <c r="I54" s="4">
        <f>ROUNDUP(Tabela35511[[#This Row],[Room Common Point (cm)]]/$D$16,1)</f>
        <v>0</v>
      </c>
      <c r="J54" s="4">
        <f>ROUNDUP(Tabela35511[[#This Row],[Distance (cm)]]/$D$16,1)</f>
        <v>9.6999999999999993</v>
      </c>
      <c r="K54" s="4">
        <f>ROUNDUP(((Tabela35511[[#This Row],[Total (cm)]]/$D$16) + ($G$5*Tabela35511[[#This Row],[Height Multiplier]])) *Tabela35511[[#This Row],[Cable Multiplier]],1)</f>
        <v>9.6999999999999993</v>
      </c>
    </row>
    <row r="55" spans="2:11" x14ac:dyDescent="0.2">
      <c r="B55" s="31" t="s">
        <v>99</v>
      </c>
      <c r="C55" s="4" t="s">
        <v>133</v>
      </c>
      <c r="D55" s="4">
        <v>0.25</v>
      </c>
      <c r="E55" s="4">
        <v>0</v>
      </c>
      <c r="F55" s="4">
        <f>9.5-2.3-2.5</f>
        <v>4.7</v>
      </c>
      <c r="G55" s="4">
        <v>1</v>
      </c>
      <c r="H55" s="4">
        <f>Tabela35511[[#This Row],[Room Common Point (cm)]]+Tabela35511[[#This Row],[Distance (cm)]]</f>
        <v>4.7</v>
      </c>
      <c r="I55" s="4">
        <f>ROUNDUP(Tabela35511[[#This Row],[Room Common Point (cm)]]/$D$16,1)</f>
        <v>0</v>
      </c>
      <c r="J55" s="4">
        <f>ROUNDUP(Tabela35511[[#This Row],[Distance (cm)]]/$D$16,1)</f>
        <v>4.8</v>
      </c>
      <c r="K55" s="4">
        <f>ROUNDUP(((Tabela35511[[#This Row],[Total (cm)]]/$D$16) + ($G$5*Tabela35511[[#This Row],[Height Multiplier]])) *Tabela35511[[#This Row],[Cable Multiplier]],1)</f>
        <v>4.8</v>
      </c>
    </row>
    <row r="56" spans="2:11" x14ac:dyDescent="0.2">
      <c r="B56" s="31" t="s">
        <v>99</v>
      </c>
      <c r="C56" s="4" t="s">
        <v>134</v>
      </c>
      <c r="D56" s="4">
        <v>0.25</v>
      </c>
      <c r="E56" s="4">
        <v>0</v>
      </c>
      <c r="F56" s="4">
        <f>0.3+1.6</f>
        <v>1.9000000000000001</v>
      </c>
      <c r="G56" s="4">
        <v>1</v>
      </c>
      <c r="H56" s="4">
        <f>Tabela35511[[#This Row],[Room Common Point (cm)]]+Tabela35511[[#This Row],[Distance (cm)]]</f>
        <v>1.9000000000000001</v>
      </c>
      <c r="I56" s="4">
        <f>ROUNDUP(Tabela35511[[#This Row],[Room Common Point (cm)]]/$D$16,1)</f>
        <v>0</v>
      </c>
      <c r="J56" s="4">
        <f>ROUNDUP(Tabela35511[[#This Row],[Distance (cm)]]/$D$16,1)</f>
        <v>2</v>
      </c>
      <c r="K56" s="4">
        <f>ROUNDUP(((Tabela35511[[#This Row],[Total (cm)]]/$D$16) + ($G$5*Tabela35511[[#This Row],[Height Multiplier]])) *Tabela35511[[#This Row],[Cable Multiplier]],1)</f>
        <v>2</v>
      </c>
    </row>
    <row r="57" spans="2:11" x14ac:dyDescent="0.2">
      <c r="B57" s="31" t="s">
        <v>99</v>
      </c>
      <c r="C57" s="4" t="s">
        <v>135</v>
      </c>
      <c r="D57" s="4">
        <v>0.25</v>
      </c>
      <c r="E57" s="4">
        <v>0</v>
      </c>
      <c r="F57" s="4">
        <f>0.3+3.1</f>
        <v>3.4</v>
      </c>
      <c r="G57" s="4">
        <v>1</v>
      </c>
      <c r="H57" s="4">
        <f>Tabela35511[[#This Row],[Room Common Point (cm)]]+Tabela35511[[#This Row],[Distance (cm)]]</f>
        <v>3.4</v>
      </c>
      <c r="I57" s="4">
        <f>ROUNDUP(Tabela35511[[#This Row],[Room Common Point (cm)]]/$D$16,1)</f>
        <v>0</v>
      </c>
      <c r="J57" s="4">
        <f>ROUNDUP(Tabela35511[[#This Row],[Distance (cm)]]/$D$16,1)</f>
        <v>3.5</v>
      </c>
      <c r="K57" s="4">
        <f>ROUNDUP(((Tabela35511[[#This Row],[Total (cm)]]/$D$16) + ($G$5*Tabela35511[[#This Row],[Height Multiplier]])) *Tabela35511[[#This Row],[Cable Multiplier]],1)</f>
        <v>3.5</v>
      </c>
    </row>
    <row r="58" spans="2:11" x14ac:dyDescent="0.2">
      <c r="B58" s="31" t="s">
        <v>99</v>
      </c>
      <c r="C58" s="4" t="s">
        <v>136</v>
      </c>
      <c r="D58" s="4">
        <v>0.25</v>
      </c>
      <c r="E58" s="4">
        <v>0</v>
      </c>
      <c r="F58" s="32">
        <f>3.4+2.5+1.6</f>
        <v>7.5</v>
      </c>
      <c r="G58" s="4">
        <v>1</v>
      </c>
      <c r="H58" s="4">
        <f>Tabela35511[[#This Row],[Room Common Point (cm)]]+Tabela35511[[#This Row],[Distance (cm)]]</f>
        <v>7.5</v>
      </c>
      <c r="I58" s="4">
        <f>ROUNDUP(Tabela35511[[#This Row],[Room Common Point (cm)]]/$D$16,1)</f>
        <v>0</v>
      </c>
      <c r="J58" s="4">
        <f>ROUNDUP(Tabela35511[[#This Row],[Distance (cm)]]/$D$16,1)</f>
        <v>7.6999999999999993</v>
      </c>
      <c r="K58" s="4">
        <f>ROUNDUP(((Tabela35511[[#This Row],[Total (cm)]]/$D$16) + ($G$5*Tabela35511[[#This Row],[Height Multiplier]])) *Tabela35511[[#This Row],[Cable Multiplier]],1)</f>
        <v>7.6999999999999993</v>
      </c>
    </row>
    <row r="59" spans="2:11" x14ac:dyDescent="0.2">
      <c r="B59" s="31" t="s">
        <v>99</v>
      </c>
      <c r="C59" s="4" t="s">
        <v>137</v>
      </c>
      <c r="D59" s="4">
        <v>0.25</v>
      </c>
      <c r="E59" s="4">
        <v>0</v>
      </c>
      <c r="F59" s="4">
        <f>7.5+2.9</f>
        <v>10.4</v>
      </c>
      <c r="G59" s="4">
        <v>1</v>
      </c>
      <c r="H59" s="4">
        <f>Tabela35511[[#This Row],[Room Common Point (cm)]]+Tabela35511[[#This Row],[Distance (cm)]]</f>
        <v>10.4</v>
      </c>
      <c r="I59" s="4">
        <f>ROUNDUP(Tabela35511[[#This Row],[Room Common Point (cm)]]/$D$16,1)</f>
        <v>0</v>
      </c>
      <c r="J59" s="4">
        <f>ROUNDUP(Tabela35511[[#This Row],[Distance (cm)]]/$D$16,1)</f>
        <v>10.7</v>
      </c>
      <c r="K59" s="4">
        <f>ROUNDUP(((Tabela35511[[#This Row],[Total (cm)]]/$D$16) + ($G$5*Tabela35511[[#This Row],[Height Multiplier]])) *Tabela35511[[#This Row],[Cable Multiplier]],1)</f>
        <v>10.7</v>
      </c>
    </row>
    <row r="60" spans="2:11" x14ac:dyDescent="0.2">
      <c r="B60" s="31" t="s">
        <v>99</v>
      </c>
      <c r="C60" s="4" t="s">
        <v>138</v>
      </c>
      <c r="D60" s="4">
        <v>0.25</v>
      </c>
      <c r="E60" s="4">
        <v>0</v>
      </c>
      <c r="F60" s="4">
        <f>10.4+2.3+2.5</f>
        <v>15.2</v>
      </c>
      <c r="G60" s="4">
        <v>1</v>
      </c>
      <c r="H60" s="4">
        <f>Tabela35511[[#This Row],[Room Common Point (cm)]]+Tabela35511[[#This Row],[Distance (cm)]]</f>
        <v>15.2</v>
      </c>
      <c r="I60" s="4">
        <f>ROUNDUP(Tabela35511[[#This Row],[Room Common Point (cm)]]/$D$16,1)</f>
        <v>0</v>
      </c>
      <c r="J60" s="4">
        <f>ROUNDUP(Tabela35511[[#This Row],[Distance (cm)]]/$D$16,1)</f>
        <v>15.6</v>
      </c>
      <c r="K60" s="4">
        <f>ROUNDUP(((Tabela35511[[#This Row],[Total (cm)]]/$D$16) + ($G$5*Tabela35511[[#This Row],[Height Multiplier]])) *Tabela35511[[#This Row],[Cable Multiplier]],1)</f>
        <v>15.6</v>
      </c>
    </row>
    <row r="61" spans="2:11" x14ac:dyDescent="0.2">
      <c r="B61" s="31" t="s">
        <v>100</v>
      </c>
      <c r="C61" s="4" t="s">
        <v>139</v>
      </c>
      <c r="D61" s="4">
        <v>0.25</v>
      </c>
      <c r="E61" s="4">
        <v>0</v>
      </c>
      <c r="F61" s="4">
        <v>2.6</v>
      </c>
      <c r="G61" s="4">
        <v>1</v>
      </c>
      <c r="H61" s="4">
        <f>Tabela35511[[#This Row],[Room Common Point (cm)]]+Tabela35511[[#This Row],[Distance (cm)]]</f>
        <v>2.6</v>
      </c>
      <c r="I61" s="4">
        <f>ROUNDUP(Tabela35511[[#This Row],[Room Common Point (cm)]]/$D$16,1)</f>
        <v>0</v>
      </c>
      <c r="J61" s="4">
        <f>ROUNDUP(Tabela35511[[#This Row],[Distance (cm)]]/$D$16,1)</f>
        <v>2.7</v>
      </c>
      <c r="K61" s="4">
        <f>ROUNDUP(((Tabela35511[[#This Row],[Total (cm)]]/$D$16) + ($G$5*Tabela35511[[#This Row],[Height Multiplier]])) *Tabela35511[[#This Row],[Cable Multiplier]],1)</f>
        <v>2.7</v>
      </c>
    </row>
    <row r="62" spans="2:11" x14ac:dyDescent="0.2">
      <c r="B62" s="31" t="s">
        <v>100</v>
      </c>
      <c r="C62" s="4" t="s">
        <v>140</v>
      </c>
      <c r="D62" s="4">
        <v>0.25</v>
      </c>
      <c r="E62" s="4">
        <v>0</v>
      </c>
      <c r="F62" s="32">
        <f>2.6+2.5</f>
        <v>5.0999999999999996</v>
      </c>
      <c r="G62" s="4">
        <v>1</v>
      </c>
      <c r="H62" s="4">
        <f>Tabela35511[[#This Row],[Room Common Point (cm)]]+Tabela35511[[#This Row],[Distance (cm)]]</f>
        <v>5.0999999999999996</v>
      </c>
      <c r="I62" s="4">
        <f>ROUNDUP(Tabela35511[[#This Row],[Room Common Point (cm)]]/$D$16,1)</f>
        <v>0</v>
      </c>
      <c r="J62" s="4">
        <f>ROUNDUP(Tabela35511[[#This Row],[Distance (cm)]]/$D$16,1)</f>
        <v>5.3</v>
      </c>
      <c r="K62" s="4">
        <f>ROUNDUP(((Tabela35511[[#This Row],[Total (cm)]]/$D$16) + ($G$5*Tabela35511[[#This Row],[Height Multiplier]])) *Tabela35511[[#This Row],[Cable Multiplier]],1)</f>
        <v>5.3</v>
      </c>
    </row>
    <row r="63" spans="2:11" x14ac:dyDescent="0.2">
      <c r="B63" s="31" t="s">
        <v>100</v>
      </c>
      <c r="C63" s="4" t="s">
        <v>141</v>
      </c>
      <c r="D63" s="4">
        <v>0.25</v>
      </c>
      <c r="E63" s="4">
        <v>0</v>
      </c>
      <c r="F63" s="4">
        <f>5.1+1.3+2.6</f>
        <v>9</v>
      </c>
      <c r="G63" s="4">
        <v>1</v>
      </c>
      <c r="H63" s="4">
        <f>Tabela35511[[#This Row],[Room Common Point (cm)]]+Tabela35511[[#This Row],[Distance (cm)]]</f>
        <v>9</v>
      </c>
      <c r="I63" s="4">
        <f>ROUNDUP(Tabela35511[[#This Row],[Room Common Point (cm)]]/$D$16,1)</f>
        <v>0</v>
      </c>
      <c r="J63" s="4">
        <f>ROUNDUP(Tabela35511[[#This Row],[Distance (cm)]]/$D$16,1)</f>
        <v>9.1999999999999993</v>
      </c>
      <c r="K63" s="4">
        <f>ROUNDUP(((Tabela35511[[#This Row],[Total (cm)]]/$D$16) + ($G$5*Tabela35511[[#This Row],[Height Multiplier]])) *Tabela35511[[#This Row],[Cable Multiplier]],1)</f>
        <v>9.1999999999999993</v>
      </c>
    </row>
    <row r="64" spans="2:11" x14ac:dyDescent="0.2">
      <c r="B64" s="31" t="s">
        <v>100</v>
      </c>
      <c r="C64" s="4" t="s">
        <v>142</v>
      </c>
      <c r="D64" s="4">
        <v>0.25</v>
      </c>
      <c r="E64" s="4">
        <v>0</v>
      </c>
      <c r="F64" s="4">
        <f>9+3.2</f>
        <v>12.2</v>
      </c>
      <c r="G64" s="4">
        <v>1</v>
      </c>
      <c r="H64" s="4">
        <f>Tabela35511[[#This Row],[Room Common Point (cm)]]+Tabela35511[[#This Row],[Distance (cm)]]</f>
        <v>12.2</v>
      </c>
      <c r="I64" s="4">
        <f>ROUNDUP(Tabela35511[[#This Row],[Room Common Point (cm)]]/$D$16,1)</f>
        <v>0</v>
      </c>
      <c r="J64" s="4">
        <f>ROUNDUP(Tabela35511[[#This Row],[Distance (cm)]]/$D$16,1)</f>
        <v>12.5</v>
      </c>
      <c r="K64" s="4">
        <f>ROUNDUP(((Tabela35511[[#This Row],[Total (cm)]]/$D$16) + ($G$5*Tabela35511[[#This Row],[Height Multiplier]])) *Tabela35511[[#This Row],[Cable Multiplier]],1)</f>
        <v>12.5</v>
      </c>
    </row>
    <row r="65" spans="2:11" x14ac:dyDescent="0.2">
      <c r="B65" s="31" t="s">
        <v>100</v>
      </c>
      <c r="C65" s="4" t="s">
        <v>143</v>
      </c>
      <c r="D65" s="4">
        <v>0.25</v>
      </c>
      <c r="E65" s="4">
        <v>0</v>
      </c>
      <c r="F65" s="4">
        <f>12.2+2.7+2.7</f>
        <v>17.599999999999998</v>
      </c>
      <c r="G65" s="4">
        <v>1</v>
      </c>
      <c r="H65" s="4">
        <f>Tabela35511[[#This Row],[Room Common Point (cm)]]+Tabela35511[[#This Row],[Distance (cm)]]</f>
        <v>17.599999999999998</v>
      </c>
      <c r="I65" s="4">
        <f>ROUNDUP(Tabela35511[[#This Row],[Room Common Point (cm)]]/$D$16,1)</f>
        <v>0</v>
      </c>
      <c r="J65" s="4">
        <f>ROUNDUP(Tabela35511[[#This Row],[Distance (cm)]]/$D$16,1)</f>
        <v>18</v>
      </c>
      <c r="K65" s="4">
        <f>ROUNDUP(((Tabela35511[[#This Row],[Total (cm)]]/$D$16) + ($G$5*Tabela35511[[#This Row],[Height Multiplier]])) *Tabela35511[[#This Row],[Cable Multiplier]],1)</f>
        <v>18</v>
      </c>
    </row>
    <row r="66" spans="2:11" x14ac:dyDescent="0.2">
      <c r="B66" s="31" t="s">
        <v>100</v>
      </c>
      <c r="C66" s="4" t="s">
        <v>144</v>
      </c>
      <c r="D66" s="4">
        <v>0.25</v>
      </c>
      <c r="E66" s="4">
        <v>0</v>
      </c>
      <c r="F66" s="32">
        <f>17.6+3.7+3.3</f>
        <v>24.6</v>
      </c>
      <c r="G66" s="4">
        <v>1</v>
      </c>
      <c r="H66" s="4">
        <f>Tabela35511[[#This Row],[Room Common Point (cm)]]+Tabela35511[[#This Row],[Distance (cm)]]</f>
        <v>24.6</v>
      </c>
      <c r="I66" s="4">
        <f>ROUNDUP(Tabela35511[[#This Row],[Room Common Point (cm)]]/$D$16,1)</f>
        <v>0</v>
      </c>
      <c r="J66" s="4">
        <f>ROUNDUP(Tabela35511[[#This Row],[Distance (cm)]]/$D$16,1)</f>
        <v>25.1</v>
      </c>
      <c r="K66" s="4">
        <f>ROUNDUP(((Tabela35511[[#This Row],[Total (cm)]]/$D$16) + ($G$5*Tabela35511[[#This Row],[Height Multiplier]])) *Tabela35511[[#This Row],[Cable Multiplier]],1)</f>
        <v>25.1</v>
      </c>
    </row>
    <row r="67" spans="2:11" x14ac:dyDescent="0.2">
      <c r="B67" s="31" t="s">
        <v>100</v>
      </c>
      <c r="C67" s="4" t="s">
        <v>145</v>
      </c>
      <c r="D67" s="4">
        <v>0.25</v>
      </c>
      <c r="E67" s="4">
        <v>0</v>
      </c>
      <c r="F67" s="4">
        <f>0.3+3.9+2.5+2.7+3.2+2.6+1.3+2.55+2.6+2.8</f>
        <v>24.450000000000003</v>
      </c>
      <c r="G67" s="4">
        <v>1</v>
      </c>
      <c r="H67" s="4">
        <f>Tabela35511[[#This Row],[Room Common Point (cm)]]+Tabela35511[[#This Row],[Distance (cm)]]</f>
        <v>24.450000000000003</v>
      </c>
      <c r="I67" s="4">
        <f>ROUNDUP(Tabela35511[[#This Row],[Room Common Point (cm)]]/$D$16,1)</f>
        <v>0</v>
      </c>
      <c r="J67" s="4">
        <f>ROUNDUP(Tabela35511[[#This Row],[Distance (cm)]]/$D$16,1)</f>
        <v>25</v>
      </c>
      <c r="K67" s="4">
        <f>ROUNDUP(((Tabela35511[[#This Row],[Total (cm)]]/$D$16) + ($G$5*Tabela35511[[#This Row],[Height Multiplier]])) *Tabela35511[[#This Row],[Cable Multiplier]],1)</f>
        <v>25</v>
      </c>
    </row>
    <row r="68" spans="2:11" x14ac:dyDescent="0.2">
      <c r="B68" s="31" t="s">
        <v>100</v>
      </c>
      <c r="C68" s="4" t="s">
        <v>146</v>
      </c>
      <c r="D68" s="4">
        <v>0.25</v>
      </c>
      <c r="E68" s="32">
        <v>0</v>
      </c>
      <c r="F68" s="32">
        <f>24.45-2.8-2.6</f>
        <v>19.049999999999997</v>
      </c>
      <c r="G68" s="32">
        <v>1</v>
      </c>
      <c r="H68" s="33">
        <f>Tabela35511[[#This Row],[Room Common Point (cm)]]+Tabela35511[[#This Row],[Distance (cm)]]</f>
        <v>19.049999999999997</v>
      </c>
      <c r="I68" s="33">
        <f>ROUNDUP(Tabela35511[[#This Row],[Room Common Point (cm)]]/$D$16,1)</f>
        <v>0</v>
      </c>
      <c r="J68" s="33">
        <f>ROUNDUP(Tabela35511[[#This Row],[Distance (cm)]]/$D$16,1)</f>
        <v>19.5</v>
      </c>
      <c r="K68" s="33">
        <f>ROUNDUP(((Tabela35511[[#This Row],[Total (cm)]]/$D$16) + ($G$5*Tabela35511[[#This Row],[Height Multiplier]])) *Tabela35511[[#This Row],[Cable Multiplier]],1)</f>
        <v>19.5</v>
      </c>
    </row>
    <row r="69" spans="2:11" x14ac:dyDescent="0.2">
      <c r="B69" s="31" t="s">
        <v>100</v>
      </c>
      <c r="C69" s="4" t="s">
        <v>147</v>
      </c>
      <c r="D69" s="4">
        <v>0.25</v>
      </c>
      <c r="E69" s="4">
        <v>0</v>
      </c>
      <c r="F69" s="4">
        <f>19.05-2.5</f>
        <v>16.55</v>
      </c>
      <c r="G69" s="4">
        <v>1</v>
      </c>
      <c r="H69" s="19">
        <f>Tabela35511[[#This Row],[Room Common Point (cm)]]+Tabela35511[[#This Row],[Distance (cm)]]</f>
        <v>16.55</v>
      </c>
      <c r="I69" s="19">
        <f>ROUNDUP(Tabela35511[[#This Row],[Room Common Point (cm)]]/$D$16,1)</f>
        <v>0</v>
      </c>
      <c r="J69" s="19">
        <f>ROUNDUP(Tabela35511[[#This Row],[Distance (cm)]]/$D$16,1)</f>
        <v>16.900000000000002</v>
      </c>
      <c r="K69" s="19">
        <f>ROUNDUP(((Tabela35511[[#This Row],[Total (cm)]]/$D$16) + ($G$5*Tabela35511[[#This Row],[Height Multiplier]])) *Tabela35511[[#This Row],[Cable Multiplier]],1)</f>
        <v>16.900000000000002</v>
      </c>
    </row>
    <row r="70" spans="2:11" x14ac:dyDescent="0.2">
      <c r="B70" s="31" t="s">
        <v>100</v>
      </c>
      <c r="C70" s="4" t="s">
        <v>148</v>
      </c>
      <c r="D70" s="4">
        <v>0.25</v>
      </c>
      <c r="E70" s="4">
        <v>0</v>
      </c>
      <c r="F70" s="4">
        <f>16.55-1.3-2.6</f>
        <v>12.65</v>
      </c>
      <c r="G70" s="4">
        <v>1</v>
      </c>
      <c r="H70" s="19">
        <f>Tabela35511[[#This Row],[Room Common Point (cm)]]+Tabela35511[[#This Row],[Distance (cm)]]</f>
        <v>12.65</v>
      </c>
      <c r="I70" s="19">
        <f>ROUNDUP(Tabela35511[[#This Row],[Room Common Point (cm)]]/$D$16,1)</f>
        <v>0</v>
      </c>
      <c r="J70" s="19">
        <f>ROUNDUP(Tabela35511[[#This Row],[Distance (cm)]]/$D$16,1)</f>
        <v>13</v>
      </c>
      <c r="K70" s="19">
        <f>ROUNDUP(((Tabela35511[[#This Row],[Total (cm)]]/$D$16) + ($G$5*Tabela35511[[#This Row],[Height Multiplier]])) *Tabela35511[[#This Row],[Cable Multiplier]],1)</f>
        <v>13</v>
      </c>
    </row>
    <row r="71" spans="2:11" x14ac:dyDescent="0.2">
      <c r="B71" s="31" t="s">
        <v>100</v>
      </c>
      <c r="C71" s="4" t="s">
        <v>149</v>
      </c>
      <c r="D71" s="4">
        <v>0.25</v>
      </c>
      <c r="E71" s="4">
        <v>0</v>
      </c>
      <c r="F71" s="4">
        <f>12.65-3.2</f>
        <v>9.4499999999999993</v>
      </c>
      <c r="G71" s="4">
        <v>1</v>
      </c>
      <c r="H71" s="19">
        <f>Tabela35511[[#This Row],[Room Common Point (cm)]]+Tabela35511[[#This Row],[Distance (cm)]]</f>
        <v>9.4499999999999993</v>
      </c>
      <c r="I71" s="19">
        <f>ROUNDUP(Tabela35511[[#This Row],[Room Common Point (cm)]]/$D$16,1)</f>
        <v>0</v>
      </c>
      <c r="J71" s="19">
        <f>ROUNDUP(Tabela35511[[#This Row],[Distance (cm)]]/$D$16,1)</f>
        <v>9.6999999999999993</v>
      </c>
      <c r="K71" s="19">
        <f>ROUNDUP(((Tabela35511[[#This Row],[Total (cm)]]/$D$16) + ($G$5*Tabela35511[[#This Row],[Height Multiplier]])) *Tabela35511[[#This Row],[Cable Multiplier]],1)</f>
        <v>9.6999999999999993</v>
      </c>
    </row>
    <row r="72" spans="2:11" x14ac:dyDescent="0.2">
      <c r="B72" s="31" t="s">
        <v>100</v>
      </c>
      <c r="C72" s="4" t="s">
        <v>150</v>
      </c>
      <c r="D72" s="4">
        <v>0.25</v>
      </c>
      <c r="E72" s="4">
        <v>0</v>
      </c>
      <c r="F72" s="32">
        <f>9.45-2.5</f>
        <v>6.9499999999999993</v>
      </c>
      <c r="G72" s="4">
        <v>1</v>
      </c>
      <c r="H72" s="33">
        <f>Tabela35511[[#This Row],[Room Common Point (cm)]]+Tabela35511[[#This Row],[Distance (cm)]]</f>
        <v>6.9499999999999993</v>
      </c>
      <c r="I72" s="33">
        <f>ROUNDUP(Tabela35511[[#This Row],[Room Common Point (cm)]]/$D$16,1)</f>
        <v>0</v>
      </c>
      <c r="J72" s="33">
        <f>ROUNDUP(Tabela35511[[#This Row],[Distance (cm)]]/$D$16,1)</f>
        <v>7.1</v>
      </c>
      <c r="K72" s="33">
        <f>ROUNDUP(((Tabela35511[[#This Row],[Total (cm)]]/$D$16) + ($G$5*Tabela35511[[#This Row],[Height Multiplier]])) *Tabela35511[[#This Row],[Cable Multiplier]],1)</f>
        <v>7.1</v>
      </c>
    </row>
    <row r="73" spans="2:11" x14ac:dyDescent="0.2">
      <c r="B73" s="34"/>
      <c r="C73" s="32"/>
      <c r="D73" s="32"/>
      <c r="E73" s="32"/>
      <c r="F73" s="32"/>
      <c r="G73" s="32"/>
      <c r="H73" s="33"/>
      <c r="I73" s="33"/>
      <c r="J73" s="33"/>
      <c r="K73" s="33">
        <f>SUM(Tabela35511[Total (m)])</f>
        <v>900.10000000000014</v>
      </c>
    </row>
  </sheetData>
  <mergeCells count="3">
    <mergeCell ref="A1:T2"/>
    <mergeCell ref="E16:K16"/>
    <mergeCell ref="E14:K15"/>
  </mergeCells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Floor_0</vt:lpstr>
      <vt:lpstr>Floor_1</vt:lpstr>
      <vt:lpstr>Floor0_CableCalculations</vt:lpstr>
      <vt:lpstr>Totals</vt:lpstr>
      <vt:lpstr>Floor1_CableCalculations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Microsoft Office User</cp:lastModifiedBy>
  <dcterms:created xsi:type="dcterms:W3CDTF">2022-03-10T14:21:50Z</dcterms:created>
  <dcterms:modified xsi:type="dcterms:W3CDTF">2022-03-20T18:15:33Z</dcterms:modified>
</cp:coreProperties>
</file>