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_EverythingCoding\_ISEP\2oAno2Semestre\rcomp-21-22-na-g2\doc\sprint1\1181544\"/>
    </mc:Choice>
  </mc:AlternateContent>
  <xr:revisionPtr revIDLastSave="0" documentId="13_ncr:1_{8FCBB489-C916-4491-B868-B6E8A871C6B8}" xr6:coauthVersionLast="47" xr6:coauthVersionMax="47" xr10:uidLastSave="{00000000-0000-0000-0000-000000000000}"/>
  <bookViews>
    <workbookView xWindow="-120" yWindow="-120" windowWidth="29040" windowHeight="15720" xr2:uid="{F0B87229-AAC6-4CC1-AD48-68662DB2AA3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6" i="1" l="1"/>
  <c r="N33" i="1"/>
  <c r="N30" i="1"/>
  <c r="F37" i="1"/>
  <c r="F31" i="1"/>
  <c r="F45" i="1"/>
  <c r="B38" i="1"/>
  <c r="N63" i="1"/>
  <c r="N62" i="1"/>
  <c r="N61" i="1"/>
  <c r="N60" i="1"/>
  <c r="N59" i="1"/>
  <c r="N58" i="1"/>
  <c r="L50" i="1"/>
  <c r="L47" i="1"/>
  <c r="L44" i="1"/>
  <c r="L41" i="1"/>
  <c r="L38" i="1"/>
  <c r="L35" i="1"/>
  <c r="B53" i="1"/>
  <c r="B50" i="1"/>
  <c r="B47" i="1"/>
  <c r="F51" i="1"/>
  <c r="G51" i="1" s="1"/>
  <c r="F54" i="1"/>
  <c r="F36" i="1"/>
  <c r="F48" i="1"/>
  <c r="B41" i="1"/>
  <c r="B57" i="1"/>
  <c r="L6" i="1"/>
  <c r="P6" i="1" s="1"/>
  <c r="C47" i="1" l="1"/>
  <c r="C50" i="1"/>
  <c r="G54" i="1"/>
  <c r="D9" i="1"/>
  <c r="C53" i="1"/>
  <c r="G36" i="1"/>
  <c r="G37" i="1"/>
  <c r="G48" i="1"/>
  <c r="G45" i="1"/>
  <c r="C57" i="1"/>
  <c r="E63" i="1" s="1"/>
  <c r="C38" i="1"/>
  <c r="G31" i="1"/>
  <c r="C41" i="1"/>
  <c r="D16" i="1"/>
  <c r="D17" i="1"/>
  <c r="D10" i="1"/>
  <c r="E24" i="1"/>
  <c r="D21" i="1"/>
  <c r="E5" i="1"/>
  <c r="E16" i="1"/>
  <c r="E20" i="1"/>
  <c r="D5" i="1"/>
  <c r="E9" i="1"/>
  <c r="E21" i="1"/>
  <c r="D6" i="1"/>
  <c r="E17" i="1"/>
  <c r="D20" i="1"/>
  <c r="E4" i="1"/>
  <c r="E23" i="1"/>
  <c r="E19" i="1"/>
  <c r="E3" i="1"/>
  <c r="D8" i="1"/>
  <c r="D4" i="1"/>
  <c r="D3" i="1"/>
  <c r="D23" i="1"/>
  <c r="D19" i="1"/>
  <c r="E11" i="1"/>
  <c r="E7" i="1"/>
  <c r="D24" i="1"/>
  <c r="E8" i="1"/>
  <c r="E22" i="1"/>
  <c r="E18" i="1"/>
  <c r="D11" i="1"/>
  <c r="D7" i="1"/>
  <c r="P5" i="1"/>
  <c r="D22" i="1"/>
  <c r="D18" i="1"/>
  <c r="E10" i="1"/>
  <c r="E6" i="1"/>
  <c r="G6" i="1" l="1"/>
  <c r="H6" i="1" s="1"/>
  <c r="B36" i="1" s="1"/>
  <c r="C36" i="1" s="1"/>
  <c r="G3" i="1"/>
  <c r="H3" i="1" s="1"/>
  <c r="G21" i="1"/>
  <c r="G10" i="1"/>
  <c r="G24" i="1"/>
  <c r="G9" i="1"/>
  <c r="H9" i="1" s="1"/>
  <c r="B34" i="1" s="1"/>
  <c r="C34" i="1" s="1"/>
  <c r="G16" i="1"/>
  <c r="F44" i="1" s="1"/>
  <c r="G44" i="1" s="1"/>
  <c r="H45" i="1" s="1"/>
  <c r="G4" i="1"/>
  <c r="H4" i="1" s="1"/>
  <c r="G20" i="1"/>
  <c r="H20" i="1" s="1"/>
  <c r="F40" i="1" s="1"/>
  <c r="G40" i="1" s="1"/>
  <c r="G7" i="1"/>
  <c r="G5" i="1"/>
  <c r="H5" i="1" s="1"/>
  <c r="B39" i="1" s="1"/>
  <c r="C39" i="1" s="1"/>
  <c r="G17" i="1"/>
  <c r="H17" i="1" s="1"/>
  <c r="G22" i="1"/>
  <c r="H22" i="1" s="1"/>
  <c r="F38" i="1" s="1"/>
  <c r="G38" i="1" s="1"/>
  <c r="H38" i="1" s="1"/>
  <c r="G18" i="1"/>
  <c r="H18" i="1" s="1"/>
  <c r="G19" i="1"/>
  <c r="H19" i="1" s="1"/>
  <c r="G8" i="1"/>
  <c r="H8" i="1" s="1"/>
  <c r="G11" i="1"/>
  <c r="G23" i="1"/>
  <c r="M25" i="1" l="1"/>
  <c r="F42" i="1"/>
  <c r="G42" i="1" s="1"/>
  <c r="H25" i="1"/>
  <c r="F34" i="1"/>
  <c r="G34" i="1" s="1"/>
  <c r="B44" i="1"/>
  <c r="C44" i="1" s="1"/>
  <c r="M22" i="1"/>
  <c r="N42" i="1" s="1"/>
  <c r="B32" i="1"/>
  <c r="C32" i="1" s="1"/>
  <c r="B31" i="1"/>
  <c r="B56" i="1" s="1"/>
  <c r="C56" i="1" s="1"/>
  <c r="B42" i="1"/>
  <c r="C42" i="1" s="1"/>
  <c r="M21" i="1"/>
  <c r="N39" i="1" s="1"/>
  <c r="M23" i="1"/>
  <c r="N45" i="1" s="1"/>
  <c r="F32" i="1"/>
  <c r="M24" i="1"/>
  <c r="N48" i="1" s="1"/>
  <c r="M20" i="1"/>
  <c r="N36" i="1" s="1"/>
  <c r="H12" i="1"/>
  <c r="N51" i="1" l="1"/>
  <c r="N64" i="1" s="1"/>
  <c r="N65" i="1"/>
  <c r="G32" i="1"/>
  <c r="F56" i="1"/>
  <c r="G56" i="1" s="1"/>
  <c r="E61" i="1" s="1"/>
  <c r="C31" i="1"/>
</calcChain>
</file>

<file path=xl/sharedStrings.xml><?xml version="1.0" encoding="utf-8"?>
<sst xmlns="http://schemas.openxmlformats.org/spreadsheetml/2006/main" count="194" uniqueCount="104">
  <si>
    <t>Building 4 - Ground Floor</t>
  </si>
  <si>
    <t>Room List</t>
  </si>
  <si>
    <t>4.0.1</t>
  </si>
  <si>
    <t>4.0.2</t>
  </si>
  <si>
    <t>4.0.3</t>
  </si>
  <si>
    <t>4.0.4</t>
  </si>
  <si>
    <t>4.0.6</t>
  </si>
  <si>
    <t>4.0.7</t>
  </si>
  <si>
    <t>WC</t>
  </si>
  <si>
    <t>Building 4 - Floor One</t>
  </si>
  <si>
    <t>4.1.1</t>
  </si>
  <si>
    <t>4.1.2</t>
  </si>
  <si>
    <t>4.1.3</t>
  </si>
  <si>
    <t>4.1.4</t>
  </si>
  <si>
    <t>4.1.7</t>
  </si>
  <si>
    <t>Length(cm)</t>
  </si>
  <si>
    <t>Width(cm)</t>
  </si>
  <si>
    <t>Length(m)</t>
  </si>
  <si>
    <t>Width(m)</t>
  </si>
  <si>
    <t>Height(m)</t>
  </si>
  <si>
    <t>Centimeter (cm)</t>
  </si>
  <si>
    <t>Meter(m)</t>
  </si>
  <si>
    <t>Area(m²)</t>
  </si>
  <si>
    <t>4.1.5</t>
  </si>
  <si>
    <t>Inner Total Size (cm)</t>
  </si>
  <si>
    <t>width</t>
  </si>
  <si>
    <t>Inner Total Size (m)</t>
  </si>
  <si>
    <t>Tool Used for measurements</t>
  </si>
  <si>
    <t>Height(m)*</t>
  </si>
  <si>
    <t>*There's a removable ceilling with the height of 0.5 meters</t>
  </si>
  <si>
    <t>4.1.6 (Storage)</t>
  </si>
  <si>
    <t>4.0.5 (Storage)</t>
  </si>
  <si>
    <t>Nº Outlets p/Room</t>
  </si>
  <si>
    <t>Outlets p/m²</t>
  </si>
  <si>
    <t>m²</t>
  </si>
  <si>
    <t>-</t>
  </si>
  <si>
    <t>length</t>
  </si>
  <si>
    <t>CP1</t>
  </si>
  <si>
    <t>Consolidation Points</t>
  </si>
  <si>
    <t>Location</t>
  </si>
  <si>
    <t>Number of Connections</t>
  </si>
  <si>
    <t>CP2</t>
  </si>
  <si>
    <t>Cable Calculation</t>
  </si>
  <si>
    <t>Redundancy cable Fiber</t>
  </si>
  <si>
    <t>Redundancy cable CAT7</t>
  </si>
  <si>
    <t>Room 4.0.7</t>
  </si>
  <si>
    <t>Room 4.0.6</t>
  </si>
  <si>
    <t>CAT7 (Floor Passageway)</t>
  </si>
  <si>
    <t>Redundancy to CP</t>
  </si>
  <si>
    <t>Total Fiber</t>
  </si>
  <si>
    <t>Room 4.0.4</t>
  </si>
  <si>
    <t>Room 4.0.3</t>
  </si>
  <si>
    <t>Room 4.0.2</t>
  </si>
  <si>
    <t>Room 4.0.1</t>
  </si>
  <si>
    <t xml:space="preserve">Total CAT7 </t>
  </si>
  <si>
    <t>Building 4 - Ground Floor - Cable Calculation</t>
  </si>
  <si>
    <t>Room 4.1.4</t>
  </si>
  <si>
    <t>Ceilling Cable CAT7</t>
  </si>
  <si>
    <t>Room 4.1.2</t>
  </si>
  <si>
    <t>CP3</t>
  </si>
  <si>
    <t>Room 4.1.7</t>
  </si>
  <si>
    <t>Total Room CAT7</t>
  </si>
  <si>
    <t>Centimeters</t>
  </si>
  <si>
    <t>Meters</t>
  </si>
  <si>
    <t>Room 4.1.5</t>
  </si>
  <si>
    <t>Wall CAT7</t>
  </si>
  <si>
    <t>Room 4.1.3</t>
  </si>
  <si>
    <t>Room 4.1.1</t>
  </si>
  <si>
    <t>Floor CAT7</t>
  </si>
  <si>
    <t>Floor  CAT7</t>
  </si>
  <si>
    <t>Building 4 - Floor One - Cable Calculation</t>
  </si>
  <si>
    <t>Floor Passageway CAT7</t>
  </si>
  <si>
    <t>Equipment Needed</t>
  </si>
  <si>
    <t>Structure</t>
  </si>
  <si>
    <t>HC1</t>
  </si>
  <si>
    <t>4.0.5</t>
  </si>
  <si>
    <t>6U Rack</t>
  </si>
  <si>
    <t>Patch Cord number</t>
  </si>
  <si>
    <t>HC2</t>
  </si>
  <si>
    <t>4.1.6</t>
  </si>
  <si>
    <t>Patch Cord Number</t>
  </si>
  <si>
    <t>12U Rack</t>
  </si>
  <si>
    <t>IC</t>
  </si>
  <si>
    <t>CP4</t>
  </si>
  <si>
    <t>CP5</t>
  </si>
  <si>
    <t>Connection between HC1 and CP1</t>
  </si>
  <si>
    <t>Connection between HC1 and CP2</t>
  </si>
  <si>
    <t>Connection between HC2 and CP4</t>
  </si>
  <si>
    <t>Connection between HC2 and CP5</t>
  </si>
  <si>
    <t>Connection between HC1 and CP3</t>
  </si>
  <si>
    <t>Connection between HC2 and CP6</t>
  </si>
  <si>
    <t>CP6</t>
  </si>
  <si>
    <t>Total CAT7 Cable for building4</t>
  </si>
  <si>
    <t>Ceilling height to wall raceway</t>
  </si>
  <si>
    <t>Total Fiber Cable for building4</t>
  </si>
  <si>
    <t>2U Switch CAT7</t>
  </si>
  <si>
    <t>2U Patch Panel CAT7</t>
  </si>
  <si>
    <t>1U Switch CAT7</t>
  </si>
  <si>
    <t>1U Patch Panel CAT7</t>
  </si>
  <si>
    <t>2U Switch Fiber</t>
  </si>
  <si>
    <t>2U Patch Panel Fiber</t>
  </si>
  <si>
    <t>Floor cable height to wall raceway</t>
  </si>
  <si>
    <t>Total Building Equipment</t>
  </si>
  <si>
    <t>Female RJ45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</si>
</sst>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000"/>
    <numFmt numFmtId="165" formatCode="_(* #,##0_);_(* \(#,##0\);_(* &quot;-&quot;??_);_(@_)"/>
    <numFmt numFmtId="166" formatCode="_(* #,##0.0_);_(* \(#,##0.0\);_(* &quot;-&quot;??_);_(@_)"/>
    <numFmt numFmtId="167" formatCode="0.0"/>
  </numFmts>
  <fonts count="8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/>
      </patternFill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5"/>
      </patternFill>
    </fill>
  </fills>
  <borders count="1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0" fontId="1" fillId="2" borderId="2" applyNumberFormat="0" applyAlignment="0" applyProtection="0"/>
    <xf numFmtId="0" fontId="2" fillId="2" borderId="1" applyNumberFormat="0" applyAlignment="0" applyProtection="0"/>
    <xf numFmtId="0" fontId="3" fillId="0" borderId="0" applyNumberFormat="0" applyFill="0" applyBorder="0" applyAlignment="0" applyProtection="0"/>
    <xf numFmtId="0" fontId="4" fillId="6" borderId="0" applyNumberFormat="0" applyBorder="0" applyAlignment="0" applyProtection="0"/>
    <xf numFmtId="0" fontId="6" fillId="7" borderId="1" applyNumberFormat="0" applyAlignment="0" applyProtection="0"/>
    <xf numFmtId="0" fontId="5" fillId="8" borderId="5" applyNumberFormat="0" applyFont="0" applyAlignment="0" applyProtection="0"/>
    <xf numFmtId="0" fontId="5" fillId="9" borderId="0" applyNumberFormat="0" applyBorder="0" applyAlignment="0" applyProtection="0"/>
    <xf numFmtId="0" fontId="4" fillId="10" borderId="0" applyNumberFormat="0" applyBorder="0" applyAlignment="0" applyProtection="0"/>
    <xf numFmtId="0" fontId="5" fillId="11" borderId="0" applyNumberFormat="0" applyBorder="0" applyAlignment="0" applyProtection="0"/>
    <xf numFmtId="43" fontId="5" fillId="0" borderId="0" applyFont="0" applyFill="0" applyBorder="0" applyAlignment="0" applyProtection="0"/>
    <xf numFmtId="0" fontId="5" fillId="14" borderId="0" applyNumberFormat="0" applyBorder="0" applyAlignment="0" applyProtection="0"/>
  </cellStyleXfs>
  <cellXfs count="54">
    <xf numFmtId="0" fontId="0" fillId="0" borderId="0" xfId="0"/>
    <xf numFmtId="0" fontId="1" fillId="2" borderId="2" xfId="1"/>
    <xf numFmtId="0" fontId="2" fillId="2" borderId="1" xfId="2"/>
    <xf numFmtId="0" fontId="2" fillId="2" borderId="1" xfId="2" applyAlignment="1">
      <alignment horizontal="center"/>
    </xf>
    <xf numFmtId="164" fontId="2" fillId="2" borderId="1" xfId="2" applyNumberFormat="1" applyAlignment="1">
      <alignment horizontal="center"/>
    </xf>
    <xf numFmtId="2" fontId="1" fillId="2" borderId="2" xfId="1" applyNumberFormat="1"/>
    <xf numFmtId="2" fontId="2" fillId="2" borderId="1" xfId="2" applyNumberFormat="1"/>
    <xf numFmtId="0" fontId="1" fillId="2" borderId="2" xfId="1" applyAlignment="1">
      <alignment horizontal="center"/>
    </xf>
    <xf numFmtId="2" fontId="1" fillId="2" borderId="4" xfId="1" applyNumberFormat="1" applyBorder="1"/>
    <xf numFmtId="0" fontId="1" fillId="2" borderId="4" xfId="1" applyBorder="1"/>
    <xf numFmtId="2" fontId="1" fillId="2" borderId="2" xfId="1" applyNumberFormat="1" applyAlignment="1">
      <alignment horizontal="center"/>
    </xf>
    <xf numFmtId="1" fontId="1" fillId="2" borderId="2" xfId="1" applyNumberFormat="1"/>
    <xf numFmtId="1" fontId="1" fillId="2" borderId="2" xfId="1" applyNumberFormat="1" applyAlignment="1">
      <alignment horizontal="center"/>
    </xf>
    <xf numFmtId="0" fontId="4" fillId="6" borderId="2" xfId="4" applyBorder="1"/>
    <xf numFmtId="2" fontId="4" fillId="6" borderId="2" xfId="4" applyNumberFormat="1" applyBorder="1"/>
    <xf numFmtId="1" fontId="4" fillId="6" borderId="2" xfId="4" applyNumberFormat="1" applyBorder="1" applyAlignment="1">
      <alignment horizontal="center"/>
    </xf>
    <xf numFmtId="0" fontId="4" fillId="6" borderId="2" xfId="4" applyBorder="1" applyAlignment="1">
      <alignment horizontal="center"/>
    </xf>
    <xf numFmtId="0" fontId="0" fillId="0" borderId="0" xfId="0" applyAlignment="1">
      <alignment horizontal="center"/>
    </xf>
    <xf numFmtId="0" fontId="1" fillId="12" borderId="2" xfId="1" applyFill="1"/>
    <xf numFmtId="1" fontId="1" fillId="12" borderId="2" xfId="1" applyNumberFormat="1" applyFill="1"/>
    <xf numFmtId="1" fontId="2" fillId="2" borderId="1" xfId="2" applyNumberFormat="1"/>
    <xf numFmtId="0" fontId="5" fillId="8" borderId="5" xfId="6"/>
    <xf numFmtId="0" fontId="5" fillId="9" borderId="2" xfId="7" applyBorder="1"/>
    <xf numFmtId="0" fontId="6" fillId="7" borderId="1" xfId="5"/>
    <xf numFmtId="0" fontId="5" fillId="9" borderId="4" xfId="7" applyBorder="1"/>
    <xf numFmtId="0" fontId="1" fillId="2" borderId="8" xfId="1" applyBorder="1"/>
    <xf numFmtId="165" fontId="1" fillId="2" borderId="2" xfId="10" applyNumberFormat="1" applyFont="1" applyFill="1" applyBorder="1" applyAlignment="1">
      <alignment horizontal="center" vertical="center"/>
    </xf>
    <xf numFmtId="0" fontId="1" fillId="2" borderId="3" xfId="1" applyBorder="1" applyAlignment="1">
      <alignment horizontal="center"/>
    </xf>
    <xf numFmtId="0" fontId="7" fillId="14" borderId="9" xfId="11" applyFont="1" applyBorder="1"/>
    <xf numFmtId="0" fontId="7" fillId="14" borderId="3" xfId="11" applyFont="1" applyBorder="1"/>
    <xf numFmtId="0" fontId="5" fillId="14" borderId="3" xfId="11" applyBorder="1"/>
    <xf numFmtId="0" fontId="1" fillId="2" borderId="6" xfId="1" applyBorder="1"/>
    <xf numFmtId="1" fontId="1" fillId="2" borderId="6" xfId="1" applyNumberFormat="1" applyBorder="1"/>
    <xf numFmtId="0" fontId="6" fillId="7" borderId="10" xfId="5" applyBorder="1"/>
    <xf numFmtId="0" fontId="5" fillId="8" borderId="3" xfId="6" applyBorder="1"/>
    <xf numFmtId="0" fontId="6" fillId="7" borderId="3" xfId="5" applyBorder="1"/>
    <xf numFmtId="0" fontId="2" fillId="2" borderId="3" xfId="2" applyBorder="1"/>
    <xf numFmtId="0" fontId="1" fillId="2" borderId="3" xfId="1" applyBorder="1"/>
    <xf numFmtId="1" fontId="2" fillId="2" borderId="3" xfId="2" applyNumberFormat="1" applyBorder="1"/>
    <xf numFmtId="166" fontId="1" fillId="2" borderId="2" xfId="1" applyNumberFormat="1"/>
    <xf numFmtId="167" fontId="1" fillId="2" borderId="2" xfId="1" applyNumberFormat="1"/>
    <xf numFmtId="0" fontId="4" fillId="10" borderId="11" xfId="8" applyBorder="1" applyAlignment="1">
      <alignment horizontal="center"/>
    </xf>
    <xf numFmtId="0" fontId="4" fillId="10" borderId="12" xfId="8" applyBorder="1" applyAlignment="1">
      <alignment horizontal="center"/>
    </xf>
    <xf numFmtId="0" fontId="1" fillId="13" borderId="4" xfId="1" applyFont="1" applyFill="1" applyBorder="1" applyAlignment="1">
      <alignment horizontal="center"/>
    </xf>
    <xf numFmtId="0" fontId="1" fillId="13" borderId="7" xfId="1" applyFont="1" applyFill="1" applyBorder="1" applyAlignment="1">
      <alignment horizontal="center"/>
    </xf>
    <xf numFmtId="0" fontId="1" fillId="13" borderId="6" xfId="1" applyFont="1" applyFill="1" applyBorder="1" applyAlignment="1">
      <alignment horizontal="center"/>
    </xf>
    <xf numFmtId="0" fontId="7" fillId="11" borderId="2" xfId="9" applyFont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5" fillId="9" borderId="3" xfId="7" applyBorder="1" applyAlignment="1">
      <alignment horizontal="center"/>
    </xf>
    <xf numFmtId="0" fontId="4" fillId="10" borderId="4" xfId="8" applyBorder="1" applyAlignment="1">
      <alignment horizontal="center"/>
    </xf>
    <xf numFmtId="0" fontId="4" fillId="10" borderId="7" xfId="8" applyBorder="1" applyAlignment="1">
      <alignment horizontal="center"/>
    </xf>
    <xf numFmtId="0" fontId="4" fillId="10" borderId="6" xfId="8" applyBorder="1" applyAlignment="1">
      <alignment horizontal="center"/>
    </xf>
    <xf numFmtId="0" fontId="3" fillId="4" borderId="0" xfId="3" applyFill="1" applyBorder="1" applyAlignment="1">
      <alignment horizontal="center"/>
    </xf>
    <xf numFmtId="0" fontId="0" fillId="3" borderId="0" xfId="0" applyFill="1" applyAlignment="1">
      <alignment horizontal="center"/>
    </xf>
  </cellXfs>
  <cellStyles count="12">
    <cellStyle name="20% - Accent6" xfId="9" builtinId="50"/>
    <cellStyle name="60% - Accent1" xfId="11" builtinId="32"/>
    <cellStyle name="60% - Accent3" xfId="7" builtinId="40"/>
    <cellStyle name="Accent3" xfId="4" builtinId="37"/>
    <cellStyle name="Accent6" xfId="8" builtinId="49"/>
    <cellStyle name="Calculation" xfId="2" builtinId="22"/>
    <cellStyle name="Comma" xfId="10" builtinId="3"/>
    <cellStyle name="Hyperlink" xfId="3" builtinId="8"/>
    <cellStyle name="Input" xfId="5" builtinId="20"/>
    <cellStyle name="Normal" xfId="0" builtinId="0"/>
    <cellStyle name="Note" xfId="6" builtinId="1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ginifab.com/feeds/cm_to_inch/virtual_ruler_on_your_image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49D92-92FC-4E8E-8D3A-61F14328FAC5}">
  <dimension ref="A1:P65"/>
  <sheetViews>
    <sheetView tabSelected="1" zoomScale="80" zoomScaleNormal="80" workbookViewId="0">
      <selection activeCell="K32" sqref="K32"/>
    </sheetView>
  </sheetViews>
  <sheetFormatPr defaultRowHeight="15" x14ac:dyDescent="0.25"/>
  <cols>
    <col min="1" max="1" width="28.28515625" bestFit="1" customWidth="1"/>
    <col min="2" max="2" width="12" bestFit="1" customWidth="1"/>
    <col min="3" max="3" width="10.5703125" bestFit="1" customWidth="1"/>
    <col min="4" max="4" width="10.140625" bestFit="1" customWidth="1"/>
    <col min="5" max="5" width="27.85546875" customWidth="1"/>
    <col min="6" max="6" width="12" bestFit="1" customWidth="1"/>
    <col min="7" max="7" width="9" bestFit="1" customWidth="1"/>
    <col min="8" max="8" width="18.42578125" bestFit="1" customWidth="1"/>
    <col min="9" max="9" width="7.42578125" bestFit="1" customWidth="1"/>
    <col min="10" max="10" width="35.85546875" bestFit="1" customWidth="1"/>
    <col min="11" max="11" width="23.28515625" bestFit="1" customWidth="1"/>
    <col min="12" max="12" width="9.140625" bestFit="1" customWidth="1"/>
    <col min="13" max="13" width="21.28515625" bestFit="1" customWidth="1"/>
    <col min="14" max="14" width="31.85546875" bestFit="1" customWidth="1"/>
    <col min="15" max="15" width="22.42578125" bestFit="1" customWidth="1"/>
    <col min="16" max="16" width="28.5703125" bestFit="1" customWidth="1"/>
    <col min="17" max="17" width="22.42578125" bestFit="1" customWidth="1"/>
    <col min="18" max="18" width="18.42578125" bestFit="1" customWidth="1"/>
  </cols>
  <sheetData>
    <row r="1" spans="1:16" x14ac:dyDescent="0.25">
      <c r="A1" s="53" t="s">
        <v>0</v>
      </c>
      <c r="B1" s="53"/>
      <c r="C1" s="53"/>
    </row>
    <row r="2" spans="1:16" x14ac:dyDescent="0.25">
      <c r="A2" s="1" t="s">
        <v>1</v>
      </c>
      <c r="B2" s="1" t="s">
        <v>15</v>
      </c>
      <c r="C2" s="1" t="s">
        <v>16</v>
      </c>
      <c r="D2" s="1" t="s">
        <v>17</v>
      </c>
      <c r="E2" s="1" t="s">
        <v>18</v>
      </c>
      <c r="F2" s="1" t="s">
        <v>19</v>
      </c>
      <c r="G2" s="1" t="s">
        <v>22</v>
      </c>
      <c r="H2" s="1" t="s">
        <v>32</v>
      </c>
      <c r="K2" s="52" t="s">
        <v>27</v>
      </c>
      <c r="L2" s="52"/>
    </row>
    <row r="3" spans="1:16" x14ac:dyDescent="0.25">
      <c r="A3" s="1" t="s">
        <v>2</v>
      </c>
      <c r="B3" s="1">
        <v>7.4</v>
      </c>
      <c r="C3" s="1">
        <v>5.5</v>
      </c>
      <c r="D3" s="5">
        <f t="shared" ref="D3:D11" si="0">B3*$L$6</f>
        <v>7.4</v>
      </c>
      <c r="E3" s="5">
        <f t="shared" ref="E3:E11" si="1">C3*$L$6</f>
        <v>5.5</v>
      </c>
      <c r="F3" s="7">
        <v>4</v>
      </c>
      <c r="G3" s="5">
        <f>D3*E3</f>
        <v>40.700000000000003</v>
      </c>
      <c r="H3" s="12">
        <f>ROUNDUP(G3/$L$12,1)</f>
        <v>8.1999999999999993</v>
      </c>
    </row>
    <row r="4" spans="1:16" x14ac:dyDescent="0.25">
      <c r="A4" s="1" t="s">
        <v>3</v>
      </c>
      <c r="B4" s="1">
        <v>8.5</v>
      </c>
      <c r="C4" s="1">
        <v>3.3</v>
      </c>
      <c r="D4" s="5">
        <f t="shared" si="0"/>
        <v>8.5</v>
      </c>
      <c r="E4" s="5">
        <f t="shared" si="1"/>
        <v>3.3</v>
      </c>
      <c r="F4" s="7">
        <v>4</v>
      </c>
      <c r="G4" s="5">
        <f t="shared" ref="G4:G11" si="2">D4*E4</f>
        <v>28.049999999999997</v>
      </c>
      <c r="H4" s="12">
        <f>ROUNDUP(G4/$L$12,1)</f>
        <v>5.6999999999999993</v>
      </c>
      <c r="K4" s="2" t="s">
        <v>20</v>
      </c>
      <c r="L4" s="2" t="s">
        <v>21</v>
      </c>
      <c r="O4" s="2" t="s">
        <v>24</v>
      </c>
      <c r="P4" s="2" t="s">
        <v>26</v>
      </c>
    </row>
    <row r="5" spans="1:16" x14ac:dyDescent="0.25">
      <c r="A5" s="1" t="s">
        <v>4</v>
      </c>
      <c r="B5" s="1">
        <v>8.5</v>
      </c>
      <c r="C5" s="1">
        <v>3.3</v>
      </c>
      <c r="D5" s="5">
        <f t="shared" si="0"/>
        <v>8.5</v>
      </c>
      <c r="E5" s="5">
        <f t="shared" si="1"/>
        <v>3.3</v>
      </c>
      <c r="F5" s="7">
        <v>4</v>
      </c>
      <c r="G5" s="5">
        <f t="shared" si="2"/>
        <v>28.049999999999997</v>
      </c>
      <c r="H5" s="12">
        <f>ROUNDUP(G5/$L$12,1)</f>
        <v>5.6999999999999993</v>
      </c>
      <c r="K5" s="3">
        <v>5</v>
      </c>
      <c r="L5" s="3">
        <v>5</v>
      </c>
      <c r="N5" s="2" t="s">
        <v>25</v>
      </c>
      <c r="O5" s="2">
        <v>19.5</v>
      </c>
      <c r="P5" s="6">
        <f>O5*$L$6</f>
        <v>19.5</v>
      </c>
    </row>
    <row r="6" spans="1:16" x14ac:dyDescent="0.25">
      <c r="A6" s="1" t="s">
        <v>5</v>
      </c>
      <c r="B6" s="1">
        <v>8.5</v>
      </c>
      <c r="C6" s="1">
        <v>6.3</v>
      </c>
      <c r="D6" s="5">
        <f t="shared" si="0"/>
        <v>8.5</v>
      </c>
      <c r="E6" s="5">
        <f t="shared" si="1"/>
        <v>6.3</v>
      </c>
      <c r="F6" s="7">
        <v>4</v>
      </c>
      <c r="G6" s="5">
        <f t="shared" si="2"/>
        <v>53.55</v>
      </c>
      <c r="H6" s="12">
        <f>ROUNDUP(G6/$L$12,1)+1</f>
        <v>11.799999999999999</v>
      </c>
      <c r="K6" s="3">
        <v>1</v>
      </c>
      <c r="L6" s="4">
        <f>L5/K5</f>
        <v>1</v>
      </c>
      <c r="N6" s="2" t="s">
        <v>36</v>
      </c>
      <c r="O6" s="2">
        <v>19.5</v>
      </c>
      <c r="P6" s="6">
        <f>O6*$L$6</f>
        <v>19.5</v>
      </c>
    </row>
    <row r="7" spans="1:16" x14ac:dyDescent="0.25">
      <c r="A7" s="13" t="s">
        <v>31</v>
      </c>
      <c r="B7" s="13">
        <v>3.3</v>
      </c>
      <c r="C7" s="13">
        <v>1.5</v>
      </c>
      <c r="D7" s="14">
        <f t="shared" si="0"/>
        <v>3.3</v>
      </c>
      <c r="E7" s="14">
        <f t="shared" si="1"/>
        <v>1.5</v>
      </c>
      <c r="F7" s="16">
        <v>4</v>
      </c>
      <c r="G7" s="14">
        <f t="shared" si="2"/>
        <v>4.9499999999999993</v>
      </c>
      <c r="H7" s="15" t="s">
        <v>35</v>
      </c>
    </row>
    <row r="8" spans="1:16" x14ac:dyDescent="0.25">
      <c r="A8" s="1" t="s">
        <v>6</v>
      </c>
      <c r="B8" s="1">
        <v>3.3</v>
      </c>
      <c r="C8" s="1">
        <v>4.0999999999999996</v>
      </c>
      <c r="D8" s="5">
        <f t="shared" si="0"/>
        <v>3.3</v>
      </c>
      <c r="E8" s="5">
        <f t="shared" si="1"/>
        <v>4.0999999999999996</v>
      </c>
      <c r="F8" s="7">
        <v>4</v>
      </c>
      <c r="G8" s="5">
        <f t="shared" si="2"/>
        <v>13.529999999999998</v>
      </c>
      <c r="H8" s="12">
        <f>ROUNDUP(G8/$L$12,1)+1</f>
        <v>3.8000000000000003</v>
      </c>
      <c r="K8" s="47" t="s">
        <v>29</v>
      </c>
      <c r="L8" s="47"/>
      <c r="M8" s="47"/>
      <c r="N8" s="47"/>
      <c r="O8" s="47"/>
    </row>
    <row r="9" spans="1:16" x14ac:dyDescent="0.25">
      <c r="A9" s="1" t="s">
        <v>7</v>
      </c>
      <c r="B9" s="1">
        <v>3.3</v>
      </c>
      <c r="C9" s="1">
        <v>3.8</v>
      </c>
      <c r="D9" s="5">
        <f t="shared" si="0"/>
        <v>3.3</v>
      </c>
      <c r="E9" s="5">
        <f t="shared" si="1"/>
        <v>3.8</v>
      </c>
      <c r="F9" s="7">
        <v>4</v>
      </c>
      <c r="G9" s="5">
        <f t="shared" si="2"/>
        <v>12.54</v>
      </c>
      <c r="H9" s="12">
        <f>ROUNDUP(G9/$L$12,1)+1</f>
        <v>3.6</v>
      </c>
      <c r="K9" s="47">
        <v>0.5</v>
      </c>
      <c r="L9" s="47"/>
      <c r="M9" s="47"/>
      <c r="N9" s="47"/>
      <c r="O9" s="47"/>
    </row>
    <row r="10" spans="1:16" x14ac:dyDescent="0.25">
      <c r="A10" s="1" t="s">
        <v>8</v>
      </c>
      <c r="B10" s="1">
        <v>3.3</v>
      </c>
      <c r="C10" s="1">
        <v>2.5</v>
      </c>
      <c r="D10" s="5">
        <f t="shared" si="0"/>
        <v>3.3</v>
      </c>
      <c r="E10" s="5">
        <f t="shared" si="1"/>
        <v>2.5</v>
      </c>
      <c r="F10" s="7">
        <v>4</v>
      </c>
      <c r="G10" s="5">
        <f t="shared" si="2"/>
        <v>8.25</v>
      </c>
      <c r="H10" s="10" t="s">
        <v>35</v>
      </c>
    </row>
    <row r="11" spans="1:16" x14ac:dyDescent="0.25">
      <c r="A11" s="1" t="s">
        <v>8</v>
      </c>
      <c r="B11" s="1">
        <v>3.3</v>
      </c>
      <c r="C11" s="1">
        <v>2.5</v>
      </c>
      <c r="D11" s="5">
        <f t="shared" si="0"/>
        <v>3.3</v>
      </c>
      <c r="E11" s="5">
        <f t="shared" si="1"/>
        <v>2.5</v>
      </c>
      <c r="F11" s="7">
        <v>4</v>
      </c>
      <c r="G11" s="5">
        <f t="shared" si="2"/>
        <v>8.25</v>
      </c>
      <c r="H11" s="10" t="s">
        <v>35</v>
      </c>
      <c r="K11" s="2" t="s">
        <v>33</v>
      </c>
      <c r="L11" s="2" t="s">
        <v>34</v>
      </c>
      <c r="N11" s="7" t="s">
        <v>101</v>
      </c>
      <c r="P11" s="27" t="s">
        <v>93</v>
      </c>
    </row>
    <row r="12" spans="1:16" x14ac:dyDescent="0.25">
      <c r="H12" s="11">
        <f>SUM(H3:H9)</f>
        <v>38.799999999999997</v>
      </c>
      <c r="K12" s="3">
        <v>1</v>
      </c>
      <c r="L12" s="3">
        <v>5</v>
      </c>
      <c r="N12" s="7">
        <v>1</v>
      </c>
      <c r="P12" s="27">
        <v>1.5</v>
      </c>
    </row>
    <row r="13" spans="1:16" x14ac:dyDescent="0.25">
      <c r="K13" s="3">
        <v>2</v>
      </c>
      <c r="L13" s="3">
        <v>10</v>
      </c>
    </row>
    <row r="14" spans="1:16" x14ac:dyDescent="0.25">
      <c r="A14" s="53" t="s">
        <v>9</v>
      </c>
      <c r="B14" s="53"/>
      <c r="C14" s="53"/>
    </row>
    <row r="15" spans="1:16" x14ac:dyDescent="0.25">
      <c r="A15" s="1" t="s">
        <v>1</v>
      </c>
      <c r="B15" s="1" t="s">
        <v>15</v>
      </c>
      <c r="C15" s="1" t="s">
        <v>16</v>
      </c>
      <c r="D15" s="1" t="s">
        <v>17</v>
      </c>
      <c r="E15" s="1" t="s">
        <v>18</v>
      </c>
      <c r="F15" s="1" t="s">
        <v>28</v>
      </c>
      <c r="G15" s="9" t="s">
        <v>22</v>
      </c>
      <c r="H15" s="1" t="s">
        <v>32</v>
      </c>
      <c r="K15" s="1" t="s">
        <v>44</v>
      </c>
      <c r="M15" s="7" t="s">
        <v>48</v>
      </c>
      <c r="O15" s="1" t="s">
        <v>43</v>
      </c>
    </row>
    <row r="16" spans="1:16" x14ac:dyDescent="0.25">
      <c r="A16" s="1" t="s">
        <v>10</v>
      </c>
      <c r="B16" s="1">
        <v>15.9</v>
      </c>
      <c r="C16" s="1">
        <v>5.5</v>
      </c>
      <c r="D16" s="5">
        <f t="shared" ref="D16:D24" si="3">B16*$L$6</f>
        <v>15.9</v>
      </c>
      <c r="E16" s="5">
        <f t="shared" ref="E16:E24" si="4">C16*$L$6</f>
        <v>5.5</v>
      </c>
      <c r="F16" s="1">
        <v>3</v>
      </c>
      <c r="G16" s="8">
        <f>D16*E16</f>
        <v>87.45</v>
      </c>
      <c r="H16" s="12">
        <f>ROUNDUP(G16/$L$12,1)+0.5</f>
        <v>18</v>
      </c>
      <c r="K16" s="7">
        <v>1</v>
      </c>
      <c r="M16" s="7">
        <v>4</v>
      </c>
      <c r="O16" s="7">
        <v>2</v>
      </c>
    </row>
    <row r="17" spans="1:14" x14ac:dyDescent="0.25">
      <c r="A17" s="1" t="s">
        <v>11</v>
      </c>
      <c r="B17" s="1">
        <v>8.1</v>
      </c>
      <c r="C17" s="1">
        <v>4.4000000000000004</v>
      </c>
      <c r="D17" s="5">
        <f t="shared" si="3"/>
        <v>8.1</v>
      </c>
      <c r="E17" s="5">
        <f t="shared" si="4"/>
        <v>4.4000000000000004</v>
      </c>
      <c r="F17" s="1">
        <v>3</v>
      </c>
      <c r="G17" s="5">
        <f t="shared" ref="G17:G24" si="5">D17*E17</f>
        <v>35.64</v>
      </c>
      <c r="H17" s="26">
        <f>ROUNDUP(G17/$L$12,1)+1</f>
        <v>8.1999999999999993</v>
      </c>
    </row>
    <row r="18" spans="1:14" x14ac:dyDescent="0.25">
      <c r="A18" s="1" t="s">
        <v>12</v>
      </c>
      <c r="B18" s="1">
        <v>8.6</v>
      </c>
      <c r="C18" s="1">
        <v>3.4</v>
      </c>
      <c r="D18" s="5">
        <f t="shared" si="3"/>
        <v>8.6</v>
      </c>
      <c r="E18" s="5">
        <f t="shared" si="4"/>
        <v>3.4</v>
      </c>
      <c r="F18" s="1">
        <v>3</v>
      </c>
      <c r="G18" s="5">
        <f t="shared" si="5"/>
        <v>29.24</v>
      </c>
      <c r="H18" s="12">
        <f>ROUNDUP(G18/$L$12,1)</f>
        <v>5.8999999999999995</v>
      </c>
    </row>
    <row r="19" spans="1:14" x14ac:dyDescent="0.25">
      <c r="A19" s="1" t="s">
        <v>13</v>
      </c>
      <c r="B19" s="1">
        <v>8.1</v>
      </c>
      <c r="C19" s="1">
        <v>2.6</v>
      </c>
      <c r="D19" s="5">
        <f t="shared" si="3"/>
        <v>8.1</v>
      </c>
      <c r="E19" s="5">
        <f t="shared" si="4"/>
        <v>2.6</v>
      </c>
      <c r="F19" s="1">
        <v>3</v>
      </c>
      <c r="G19" s="5">
        <f t="shared" si="5"/>
        <v>21.06</v>
      </c>
      <c r="H19" s="12">
        <f>ROUNDUP(G19/$L$12,1)</f>
        <v>4.3</v>
      </c>
      <c r="K19" s="1" t="s">
        <v>38</v>
      </c>
      <c r="L19" s="1" t="s">
        <v>39</v>
      </c>
      <c r="M19" s="1" t="s">
        <v>40</v>
      </c>
    </row>
    <row r="20" spans="1:14" x14ac:dyDescent="0.25">
      <c r="A20" s="1" t="s">
        <v>23</v>
      </c>
      <c r="B20" s="1">
        <v>8.6</v>
      </c>
      <c r="C20" s="1">
        <v>3.4</v>
      </c>
      <c r="D20" s="5">
        <f t="shared" si="3"/>
        <v>8.6</v>
      </c>
      <c r="E20" s="5">
        <f t="shared" si="4"/>
        <v>3.4</v>
      </c>
      <c r="F20" s="1">
        <v>3</v>
      </c>
      <c r="G20" s="5">
        <f t="shared" si="5"/>
        <v>29.24</v>
      </c>
      <c r="H20" s="12">
        <f>ROUNDUP(G20/$L$12,1)</f>
        <v>5.8999999999999995</v>
      </c>
      <c r="K20" s="1" t="s">
        <v>37</v>
      </c>
      <c r="L20" s="1" t="s">
        <v>6</v>
      </c>
      <c r="M20" s="11">
        <f>SUM(H8:H9)+1</f>
        <v>8.4</v>
      </c>
    </row>
    <row r="21" spans="1:14" x14ac:dyDescent="0.25">
      <c r="A21" s="13" t="s">
        <v>30</v>
      </c>
      <c r="B21" s="13">
        <v>3.3</v>
      </c>
      <c r="C21" s="13">
        <v>2.2000000000000002</v>
      </c>
      <c r="D21" s="14">
        <f t="shared" si="3"/>
        <v>3.3</v>
      </c>
      <c r="E21" s="14">
        <f t="shared" si="4"/>
        <v>2.2000000000000002</v>
      </c>
      <c r="F21" s="13">
        <v>3</v>
      </c>
      <c r="G21" s="14">
        <f t="shared" si="5"/>
        <v>7.26</v>
      </c>
      <c r="H21" s="15" t="s">
        <v>35</v>
      </c>
      <c r="K21" s="1" t="s">
        <v>41</v>
      </c>
      <c r="L21" s="1" t="s">
        <v>4</v>
      </c>
      <c r="M21" s="11">
        <f>SUM(H4:H6)</f>
        <v>23.199999999999996</v>
      </c>
    </row>
    <row r="22" spans="1:14" x14ac:dyDescent="0.25">
      <c r="A22" s="1" t="s">
        <v>14</v>
      </c>
      <c r="B22" s="1">
        <v>8.6</v>
      </c>
      <c r="C22" s="1">
        <v>6.4</v>
      </c>
      <c r="D22" s="5">
        <f t="shared" si="3"/>
        <v>8.6</v>
      </c>
      <c r="E22" s="5">
        <f t="shared" si="4"/>
        <v>6.4</v>
      </c>
      <c r="F22" s="1">
        <v>3</v>
      </c>
      <c r="G22" s="5">
        <f t="shared" si="5"/>
        <v>55.04</v>
      </c>
      <c r="H22" s="12">
        <f>ROUNDUP(G22/$L$12,1)+1</f>
        <v>12.1</v>
      </c>
      <c r="K22" s="1" t="s">
        <v>59</v>
      </c>
      <c r="L22" s="1" t="s">
        <v>2</v>
      </c>
      <c r="M22" s="11">
        <f>SUM(H3)</f>
        <v>8.1999999999999993</v>
      </c>
    </row>
    <row r="23" spans="1:14" x14ac:dyDescent="0.25">
      <c r="A23" s="1" t="s">
        <v>8</v>
      </c>
      <c r="B23" s="1">
        <v>2.2000000000000002</v>
      </c>
      <c r="C23" s="1">
        <v>1.7</v>
      </c>
      <c r="D23" s="5">
        <f t="shared" si="3"/>
        <v>2.2000000000000002</v>
      </c>
      <c r="E23" s="5">
        <f t="shared" si="4"/>
        <v>1.7</v>
      </c>
      <c r="F23" s="1">
        <v>3</v>
      </c>
      <c r="G23" s="5">
        <f t="shared" si="5"/>
        <v>3.74</v>
      </c>
      <c r="H23" s="10" t="s">
        <v>35</v>
      </c>
      <c r="K23" s="1" t="s">
        <v>83</v>
      </c>
      <c r="L23" s="1" t="s">
        <v>13</v>
      </c>
      <c r="M23" s="11">
        <f>SUM(H19,H17)</f>
        <v>12.5</v>
      </c>
    </row>
    <row r="24" spans="1:14" x14ac:dyDescent="0.25">
      <c r="A24" s="1" t="s">
        <v>8</v>
      </c>
      <c r="B24" s="1">
        <v>2.2000000000000002</v>
      </c>
      <c r="C24" s="1">
        <v>1.7</v>
      </c>
      <c r="D24" s="5">
        <f t="shared" si="3"/>
        <v>2.2000000000000002</v>
      </c>
      <c r="E24" s="5">
        <f t="shared" si="4"/>
        <v>1.7</v>
      </c>
      <c r="F24" s="1">
        <v>3</v>
      </c>
      <c r="G24" s="5">
        <f t="shared" si="5"/>
        <v>3.74</v>
      </c>
      <c r="H24" s="10" t="s">
        <v>35</v>
      </c>
      <c r="K24" s="1" t="s">
        <v>84</v>
      </c>
      <c r="L24" s="1" t="s">
        <v>23</v>
      </c>
      <c r="M24" s="11">
        <f>SUM(H20,H22)</f>
        <v>18</v>
      </c>
    </row>
    <row r="25" spans="1:14" x14ac:dyDescent="0.25">
      <c r="H25" s="11">
        <f>SUM(H16:H22)+1</f>
        <v>55.4</v>
      </c>
      <c r="K25" s="1" t="s">
        <v>91</v>
      </c>
      <c r="L25" s="1" t="s">
        <v>10</v>
      </c>
      <c r="M25" s="11">
        <f>SUM(H18,H16)</f>
        <v>23.9</v>
      </c>
    </row>
    <row r="28" spans="1:14" x14ac:dyDescent="0.25">
      <c r="A28" s="53" t="s">
        <v>55</v>
      </c>
      <c r="B28" s="53"/>
      <c r="C28" s="53"/>
      <c r="E28" s="53" t="s">
        <v>70</v>
      </c>
      <c r="F28" s="53"/>
      <c r="G28" s="53"/>
      <c r="K28" s="22" t="s">
        <v>73</v>
      </c>
      <c r="L28" s="24" t="s">
        <v>39</v>
      </c>
      <c r="M28" s="48" t="s">
        <v>72</v>
      </c>
      <c r="N28" s="48"/>
    </row>
    <row r="29" spans="1:14" x14ac:dyDescent="0.25">
      <c r="A29" s="1" t="s">
        <v>39</v>
      </c>
      <c r="B29" s="1" t="s">
        <v>62</v>
      </c>
      <c r="C29" s="1" t="s">
        <v>63</v>
      </c>
      <c r="E29" s="1" t="s">
        <v>42</v>
      </c>
      <c r="F29" s="1" t="s">
        <v>62</v>
      </c>
      <c r="G29" s="1" t="s">
        <v>63</v>
      </c>
      <c r="K29" s="1" t="s">
        <v>74</v>
      </c>
      <c r="L29" s="1" t="s">
        <v>75</v>
      </c>
      <c r="M29" s="21" t="s">
        <v>95</v>
      </c>
      <c r="N29" s="25" t="s">
        <v>77</v>
      </c>
    </row>
    <row r="30" spans="1:14" x14ac:dyDescent="0.25">
      <c r="A30" s="49" t="s">
        <v>46</v>
      </c>
      <c r="B30" s="50"/>
      <c r="C30" s="51"/>
      <c r="E30" s="49" t="s">
        <v>56</v>
      </c>
      <c r="F30" s="50"/>
      <c r="G30" s="51"/>
      <c r="M30" s="21" t="s">
        <v>96</v>
      </c>
      <c r="N30" s="1">
        <f>(2*$K16)+(3*M16)</f>
        <v>14</v>
      </c>
    </row>
    <row r="31" spans="1:14" x14ac:dyDescent="0.25">
      <c r="A31" s="1" t="s">
        <v>47</v>
      </c>
      <c r="B31" s="11">
        <f>((1.5*H8)+(4.5*H9))*$K$16</f>
        <v>21.9</v>
      </c>
      <c r="C31" s="1">
        <f>ROUNDUP(B31*$L$6,0)</f>
        <v>22</v>
      </c>
      <c r="E31" s="1" t="s">
        <v>57</v>
      </c>
      <c r="F31" s="1">
        <f>(((1.7+0.5)*15)+(3.4*7))*$K$16</f>
        <v>56.8</v>
      </c>
      <c r="G31" s="1">
        <f>ROUNDUP(F31*$L$6,0)</f>
        <v>57</v>
      </c>
      <c r="M31" s="23" t="s">
        <v>81</v>
      </c>
    </row>
    <row r="32" spans="1:14" x14ac:dyDescent="0.25">
      <c r="A32" s="1" t="s">
        <v>65</v>
      </c>
      <c r="B32" s="11">
        <f>(((1.5*4)+(1.2+1.5*3)+((1.8+1.2)*2))+2.1+(H8*$N$12))*$K$16</f>
        <v>23.6</v>
      </c>
      <c r="C32" s="1">
        <f>ROUNDUP(B32*$L$6,0)</f>
        <v>24</v>
      </c>
      <c r="E32" s="1" t="s">
        <v>65</v>
      </c>
      <c r="F32" s="40">
        <f>(((1.4*4)+(2.1*3)+(1.7*2)+(2.7))+((1*4)+(1.4*3)+(3.1*2)+(2.5))+(H19*P12))*$K$16</f>
        <v>41.349999999999994</v>
      </c>
      <c r="G32" s="1">
        <f>ROUNDUP(F32*$L$6,0)</f>
        <v>42</v>
      </c>
      <c r="K32" s="1" t="s">
        <v>78</v>
      </c>
      <c r="L32" s="1" t="s">
        <v>79</v>
      </c>
      <c r="M32" s="21" t="s">
        <v>95</v>
      </c>
      <c r="N32" s="1" t="s">
        <v>80</v>
      </c>
    </row>
    <row r="33" spans="1:14" x14ac:dyDescent="0.25">
      <c r="A33" s="49" t="s">
        <v>45</v>
      </c>
      <c r="B33" s="50"/>
      <c r="C33" s="51"/>
      <c r="E33" s="49" t="s">
        <v>58</v>
      </c>
      <c r="F33" s="50"/>
      <c r="G33" s="51"/>
      <c r="M33" s="21" t="s">
        <v>96</v>
      </c>
      <c r="N33" s="1">
        <f>(2*$K16)+(3*M16)</f>
        <v>14</v>
      </c>
    </row>
    <row r="34" spans="1:14" x14ac:dyDescent="0.25">
      <c r="A34" s="1" t="s">
        <v>65</v>
      </c>
      <c r="B34" s="11">
        <f>(((1.5*4)+(1.2+1.5*3)+((1.8+1.2)*2))+2.1+(H9*$N$12))*$K$16</f>
        <v>23.400000000000002</v>
      </c>
      <c r="C34" s="1">
        <f>ROUNDUP(B34*$L$6,0)</f>
        <v>24</v>
      </c>
      <c r="E34" s="1" t="s">
        <v>65</v>
      </c>
      <c r="F34" s="39">
        <f>(((1.9*2)+(2.3))+(1*6)+(1.5*5)+((0.8+1.6)*4)+(2.3*3)+((2.5+1.8)*2)+((0.8+1.4))+(H17*P12))*$K$16</f>
        <v>59.2</v>
      </c>
      <c r="G34" s="1">
        <f>ROUNDUP(F34*$L$6,0)</f>
        <v>60</v>
      </c>
      <c r="M34" s="23" t="s">
        <v>81</v>
      </c>
    </row>
    <row r="35" spans="1:14" x14ac:dyDescent="0.25">
      <c r="A35" s="49" t="s">
        <v>50</v>
      </c>
      <c r="B35" s="50"/>
      <c r="C35" s="51"/>
      <c r="E35" s="49" t="s">
        <v>60</v>
      </c>
      <c r="F35" s="50"/>
      <c r="G35" s="51"/>
      <c r="K35" s="1" t="s">
        <v>37</v>
      </c>
      <c r="L35" s="1" t="str">
        <f>L20</f>
        <v>4.0.6</v>
      </c>
      <c r="M35" s="21" t="s">
        <v>97</v>
      </c>
      <c r="N35" s="1" t="s">
        <v>80</v>
      </c>
    </row>
    <row r="36" spans="1:14" x14ac:dyDescent="0.25">
      <c r="A36" s="1" t="s">
        <v>65</v>
      </c>
      <c r="B36" s="11">
        <f>((12*1.5)+(2.1*3)+(2.1*2)+3.9+(1*9)+(1*9)+(1.5*8)+(1.6*7)+((1.2+1.9)*6)+(1.5*5)+(1.5*4)+(2.5*3)+(1.5*2)+(1.5*1)+(H6*$N$12))*$K$16</f>
        <v>129.5</v>
      </c>
      <c r="C36" s="1">
        <f>ROUNDUP(B36*$L$6,0)</f>
        <v>130</v>
      </c>
      <c r="E36" s="1" t="s">
        <v>57</v>
      </c>
      <c r="F36" s="1">
        <f>(1*11)*$K$16</f>
        <v>11</v>
      </c>
      <c r="G36" s="1">
        <f>ROUNDUP(F36*$L$6,0)</f>
        <v>11</v>
      </c>
      <c r="M36" s="21" t="s">
        <v>98</v>
      </c>
      <c r="N36" s="11">
        <f>(SUM(M20)*$K16)</f>
        <v>8.4</v>
      </c>
    </row>
    <row r="37" spans="1:14" x14ac:dyDescent="0.25">
      <c r="A37" s="49" t="s">
        <v>51</v>
      </c>
      <c r="B37" s="50"/>
      <c r="C37" s="51"/>
      <c r="E37" s="1" t="s">
        <v>69</v>
      </c>
      <c r="F37" s="1">
        <f>((1.8*2)+(1.5))*$K$16</f>
        <v>5.0999999999999996</v>
      </c>
      <c r="G37" s="1">
        <f>ROUNDUP(F37*$L$6,0)</f>
        <v>6</v>
      </c>
      <c r="H37" s="7" t="s">
        <v>61</v>
      </c>
      <c r="I37" s="17"/>
      <c r="M37" s="23" t="s">
        <v>76</v>
      </c>
    </row>
    <row r="38" spans="1:14" x14ac:dyDescent="0.25">
      <c r="A38" s="1" t="s">
        <v>47</v>
      </c>
      <c r="B38" s="1">
        <f>(14*3)*$K$16</f>
        <v>42</v>
      </c>
      <c r="C38" s="1">
        <f>ROUNDUP(B38*$L$6,0)</f>
        <v>42</v>
      </c>
      <c r="E38" s="1" t="s">
        <v>65</v>
      </c>
      <c r="F38" s="1">
        <f>((2)+(1*10)+(1.7*10)+(1.5*9)+((0.7+1.8)*8)+(1.8*7)+(2*4)+((1.2+1.3)*3)+((1.6*2))+(1.5)+(H22*P12))*$K$16</f>
        <v>113.44999999999999</v>
      </c>
      <c r="G38" s="1">
        <f>ROUNDUP(F38*$L$6,0)</f>
        <v>114</v>
      </c>
      <c r="H38" s="1">
        <f>SUM(G37:G38)</f>
        <v>120</v>
      </c>
      <c r="I38" s="1" t="s">
        <v>63</v>
      </c>
      <c r="K38" s="1" t="s">
        <v>41</v>
      </c>
      <c r="L38" s="1" t="str">
        <f>L21</f>
        <v>4.0.3</v>
      </c>
      <c r="M38" s="21" t="s">
        <v>95</v>
      </c>
      <c r="N38" s="1" t="s">
        <v>80</v>
      </c>
    </row>
    <row r="39" spans="1:14" x14ac:dyDescent="0.25">
      <c r="A39" s="1" t="s">
        <v>65</v>
      </c>
      <c r="B39" s="11">
        <f>((2.3*2)+(2)+(3*4)+(3.1*3)+(1.7*2)+(2)+(H5*N12))*$K$16</f>
        <v>39</v>
      </c>
      <c r="C39" s="1">
        <f>ROUNDUP(B39*$L$6,0)</f>
        <v>39</v>
      </c>
      <c r="E39" s="49" t="s">
        <v>64</v>
      </c>
      <c r="F39" s="50"/>
      <c r="G39" s="51"/>
      <c r="M39" s="21" t="s">
        <v>96</v>
      </c>
      <c r="N39" s="11">
        <f>SUM(M21)*$K16</f>
        <v>23.199999999999996</v>
      </c>
    </row>
    <row r="40" spans="1:14" x14ac:dyDescent="0.25">
      <c r="A40" s="49" t="s">
        <v>52</v>
      </c>
      <c r="B40" s="50"/>
      <c r="C40" s="51"/>
      <c r="E40" s="1" t="s">
        <v>65</v>
      </c>
      <c r="F40" s="1">
        <f>(((3*1)+(2.1*2)+(2.1))+(2.6*3)+(1.1*3)+(2.1*2)+(2.1)+(H20*P12))*$K$16</f>
        <v>35.550000000000004</v>
      </c>
      <c r="G40" s="1">
        <f>ROUNDUP(F40*$L$6,0)</f>
        <v>36</v>
      </c>
      <c r="M40" s="23" t="s">
        <v>81</v>
      </c>
    </row>
    <row r="41" spans="1:14" x14ac:dyDescent="0.25">
      <c r="A41" s="1" t="s">
        <v>47</v>
      </c>
      <c r="B41" s="1">
        <f>(3*8)*$K$16</f>
        <v>24</v>
      </c>
      <c r="C41" s="1">
        <f>ROUNDUP(B41*$L$6,0)</f>
        <v>24</v>
      </c>
      <c r="E41" s="49" t="s">
        <v>66</v>
      </c>
      <c r="F41" s="50"/>
      <c r="G41" s="51"/>
      <c r="K41" s="1" t="s">
        <v>59</v>
      </c>
      <c r="L41" s="1" t="str">
        <f>L22</f>
        <v>4.0.1</v>
      </c>
      <c r="M41" s="21" t="s">
        <v>97</v>
      </c>
      <c r="N41" s="1" t="s">
        <v>80</v>
      </c>
    </row>
    <row r="42" spans="1:14" x14ac:dyDescent="0.25">
      <c r="A42" s="1" t="s">
        <v>65</v>
      </c>
      <c r="B42" s="11">
        <f>((3)+(1.8*2)+(2)+((1+2.7+1.6)*3)+(1.8*2)+(2)+(H4*N12))*$K$16</f>
        <v>35.799999999999997</v>
      </c>
      <c r="C42" s="1">
        <f>ROUNDUP(B42*$L$6,0)</f>
        <v>36</v>
      </c>
      <c r="E42" s="1" t="s">
        <v>65</v>
      </c>
      <c r="F42" s="1">
        <f>(((3*1)+(2.1*2)+(2.1))+(2.6*3)+(1.1*3)+(2.1*2)+(2.1)+(H18*P12))*$K$16</f>
        <v>35.550000000000004</v>
      </c>
      <c r="G42" s="1">
        <f>ROUNDUP(F42*$L$6,0)</f>
        <v>36</v>
      </c>
      <c r="M42" s="21" t="s">
        <v>98</v>
      </c>
      <c r="N42" s="11">
        <f>SUM(M22)</f>
        <v>8.1999999999999993</v>
      </c>
    </row>
    <row r="43" spans="1:14" x14ac:dyDescent="0.25">
      <c r="A43" s="49" t="s">
        <v>53</v>
      </c>
      <c r="B43" s="50"/>
      <c r="C43" s="51"/>
      <c r="E43" s="49" t="s">
        <v>67</v>
      </c>
      <c r="F43" s="50"/>
      <c r="G43" s="51"/>
      <c r="M43" s="23" t="s">
        <v>76</v>
      </c>
    </row>
    <row r="44" spans="1:14" x14ac:dyDescent="0.25">
      <c r="A44" s="1" t="s">
        <v>65</v>
      </c>
      <c r="B44" s="11">
        <f>((0.6*3)+(1.8*2)+(1.8))+((0.8*5)+(1.4*5)+(2*4)+(2.5*3)+(1.7*2)+(1.9)+(H3*N12))*$K$16</f>
        <v>47.2</v>
      </c>
      <c r="C44" s="1">
        <f>ROUNDUP(B44*$L$6,0)</f>
        <v>48</v>
      </c>
      <c r="E44" s="1" t="s">
        <v>65</v>
      </c>
      <c r="F44" s="1">
        <f>(((1.4*4)+(1.5*3)+(1.5*2)+(1.5))+((1.4*14)+(1.2*13)+(1.3*7)+((0.6+1.4)*6)+(1.8*5)+(1.9*4)+(2.1*3)+(2.1*2)+(1.7))+(H16*P12))*$K$16</f>
        <v>126.69999999999999</v>
      </c>
      <c r="G44" s="1">
        <f>ROUNDUP(F44*$L$6,0)</f>
        <v>127</v>
      </c>
      <c r="H44" s="7" t="s">
        <v>61</v>
      </c>
      <c r="K44" s="1" t="s">
        <v>83</v>
      </c>
      <c r="L44" s="1" t="str">
        <f>L23</f>
        <v>4.1.4</v>
      </c>
      <c r="M44" s="21" t="s">
        <v>95</v>
      </c>
      <c r="N44" s="1" t="s">
        <v>80</v>
      </c>
    </row>
    <row r="45" spans="1:14" x14ac:dyDescent="0.25">
      <c r="E45" s="1" t="s">
        <v>68</v>
      </c>
      <c r="F45" s="1">
        <f>((2.5*5)+(2.3*4)+(2.9*3)+((2.5*2))+(2))*$K$16</f>
        <v>37.4</v>
      </c>
      <c r="G45" s="1">
        <f>ROUNDUP(F45*$L$6,0)</f>
        <v>38</v>
      </c>
      <c r="H45" s="1">
        <f>SUM(G44:G45)</f>
        <v>165</v>
      </c>
      <c r="I45" s="1" t="s">
        <v>63</v>
      </c>
      <c r="M45" s="21" t="s">
        <v>96</v>
      </c>
      <c r="N45" s="11">
        <f>SUM(M23)</f>
        <v>12.5</v>
      </c>
    </row>
    <row r="46" spans="1:14" x14ac:dyDescent="0.25">
      <c r="A46" s="43" t="s">
        <v>85</v>
      </c>
      <c r="B46" s="44"/>
      <c r="C46" s="45"/>
      <c r="M46" s="33" t="s">
        <v>81</v>
      </c>
    </row>
    <row r="47" spans="1:14" x14ac:dyDescent="0.25">
      <c r="A47" s="1" t="s">
        <v>71</v>
      </c>
      <c r="B47" s="1">
        <f>(3*$M$16)</f>
        <v>12</v>
      </c>
      <c r="C47" s="1">
        <f>ROUNDUP(B47*$L$6,0)</f>
        <v>12</v>
      </c>
      <c r="E47" s="46" t="s">
        <v>87</v>
      </c>
      <c r="F47" s="46"/>
      <c r="G47" s="46"/>
      <c r="K47" s="1" t="s">
        <v>84</v>
      </c>
      <c r="L47" s="9" t="str">
        <f>L24</f>
        <v>4.1.5</v>
      </c>
      <c r="M47" s="34" t="s">
        <v>95</v>
      </c>
      <c r="N47" s="31" t="s">
        <v>80</v>
      </c>
    </row>
    <row r="48" spans="1:14" x14ac:dyDescent="0.25">
      <c r="E48" s="1" t="s">
        <v>57</v>
      </c>
      <c r="F48" s="1">
        <f>((13.7+1.3)*($M$16))</f>
        <v>60</v>
      </c>
      <c r="G48" s="1">
        <f>ROUNDUP(F48*$L$6,0)</f>
        <v>60</v>
      </c>
      <c r="M48" s="34" t="s">
        <v>96</v>
      </c>
      <c r="N48" s="32">
        <f>SUM(M24)</f>
        <v>18</v>
      </c>
    </row>
    <row r="49" spans="1:14" x14ac:dyDescent="0.25">
      <c r="A49" s="43" t="s">
        <v>86</v>
      </c>
      <c r="B49" s="44"/>
      <c r="C49" s="45"/>
      <c r="M49" s="35" t="s">
        <v>81</v>
      </c>
    </row>
    <row r="50" spans="1:14" x14ac:dyDescent="0.25">
      <c r="A50" s="1" t="s">
        <v>71</v>
      </c>
      <c r="B50" s="1">
        <f>(14*$M$16)</f>
        <v>56</v>
      </c>
      <c r="C50" s="1">
        <f>ROUNDUP(B50*$L$6,0)</f>
        <v>56</v>
      </c>
      <c r="E50" s="46" t="s">
        <v>88</v>
      </c>
      <c r="F50" s="46"/>
      <c r="G50" s="46"/>
      <c r="K50" s="1" t="s">
        <v>91</v>
      </c>
      <c r="L50" s="9" t="str">
        <f>L25</f>
        <v>4.1.1</v>
      </c>
      <c r="M50" s="34" t="s">
        <v>95</v>
      </c>
      <c r="N50" s="31" t="s">
        <v>80</v>
      </c>
    </row>
    <row r="51" spans="1:14" x14ac:dyDescent="0.25">
      <c r="E51" s="1" t="s">
        <v>57</v>
      </c>
      <c r="F51" s="1">
        <f>((13.7+7.3)*($M$16))</f>
        <v>84</v>
      </c>
      <c r="G51" s="1">
        <f>ROUNDUP(F51*$L$6,0)</f>
        <v>84</v>
      </c>
      <c r="M51" s="34" t="s">
        <v>96</v>
      </c>
      <c r="N51" s="32">
        <f>SUM(M25)</f>
        <v>23.9</v>
      </c>
    </row>
    <row r="52" spans="1:14" x14ac:dyDescent="0.25">
      <c r="A52" s="43" t="s">
        <v>89</v>
      </c>
      <c r="B52" s="44"/>
      <c r="C52" s="45"/>
      <c r="M52" s="35" t="s">
        <v>81</v>
      </c>
    </row>
    <row r="53" spans="1:14" x14ac:dyDescent="0.25">
      <c r="A53" s="1" t="s">
        <v>71</v>
      </c>
      <c r="B53" s="1">
        <f>(18.5*$M$16)</f>
        <v>74</v>
      </c>
      <c r="C53" s="1">
        <f>ROUNDUP(B53*$L$6,0)</f>
        <v>74</v>
      </c>
      <c r="E53" s="46" t="s">
        <v>90</v>
      </c>
      <c r="F53" s="46"/>
      <c r="G53" s="46"/>
      <c r="K53" s="1" t="s">
        <v>82</v>
      </c>
      <c r="L53" s="9" t="s">
        <v>75</v>
      </c>
      <c r="M53" s="34" t="s">
        <v>99</v>
      </c>
      <c r="N53" s="31" t="s">
        <v>80</v>
      </c>
    </row>
    <row r="54" spans="1:14" x14ac:dyDescent="0.25">
      <c r="E54" s="1" t="s">
        <v>57</v>
      </c>
      <c r="F54" s="1">
        <f>((13.7+7.3)*($M$16))</f>
        <v>84</v>
      </c>
      <c r="G54" s="1">
        <f>ROUNDUP(F54*$L$6,0)</f>
        <v>84</v>
      </c>
      <c r="M54" s="34" t="s">
        <v>100</v>
      </c>
      <c r="N54" s="32">
        <v>4</v>
      </c>
    </row>
    <row r="55" spans="1:14" x14ac:dyDescent="0.25">
      <c r="M55" s="35" t="s">
        <v>81</v>
      </c>
    </row>
    <row r="56" spans="1:14" x14ac:dyDescent="0.25">
      <c r="A56" s="2" t="s">
        <v>54</v>
      </c>
      <c r="B56" s="20">
        <f>SUM(B31:B32,B34,B36,B38:B39,B41:B42,B44,B47,B50,B53)</f>
        <v>528.4</v>
      </c>
      <c r="C56" s="2">
        <f>ROUNDUP(B56*$L$6,0)</f>
        <v>529</v>
      </c>
      <c r="E56" s="2" t="s">
        <v>54</v>
      </c>
      <c r="F56" s="2">
        <f>SUM(F31:F32,F34,F36:F38,F40,F42,F44:F45,F48,F51,F54)</f>
        <v>750.1</v>
      </c>
      <c r="G56" s="2">
        <f>ROUNDUP(F56*$L$6,0)</f>
        <v>751</v>
      </c>
    </row>
    <row r="57" spans="1:14" x14ac:dyDescent="0.25">
      <c r="A57" s="18" t="s">
        <v>49</v>
      </c>
      <c r="B57" s="19">
        <f>(12.7+5+1)*O16</f>
        <v>37.4</v>
      </c>
      <c r="C57" s="18">
        <f>ROUNDUP(B57*$L$6,0)</f>
        <v>38</v>
      </c>
      <c r="M57" s="41" t="s">
        <v>102</v>
      </c>
      <c r="N57" s="42"/>
    </row>
    <row r="58" spans="1:14" x14ac:dyDescent="0.25">
      <c r="M58" s="34" t="s">
        <v>95</v>
      </c>
      <c r="N58" s="36">
        <f>COUNTIF(M29:M55,"*2U Switch CAT7*")</f>
        <v>6</v>
      </c>
    </row>
    <row r="59" spans="1:14" x14ac:dyDescent="0.25">
      <c r="M59" s="34" t="s">
        <v>97</v>
      </c>
      <c r="N59" s="36">
        <f>COUNTIF($M$29:$M$55,"*1U Switch CAT7*")</f>
        <v>2</v>
      </c>
    </row>
    <row r="60" spans="1:14" x14ac:dyDescent="0.25">
      <c r="E60" s="1" t="s">
        <v>92</v>
      </c>
      <c r="M60" s="34" t="s">
        <v>96</v>
      </c>
      <c r="N60" s="36">
        <f>COUNTIF($M$29:$M$55,"*2U Patch Panel CAT7*")</f>
        <v>6</v>
      </c>
    </row>
    <row r="61" spans="1:14" x14ac:dyDescent="0.25">
      <c r="E61" s="1">
        <f>SUM(C56,G56)</f>
        <v>1280</v>
      </c>
      <c r="F61" s="1" t="s">
        <v>63</v>
      </c>
      <c r="M61" s="34" t="s">
        <v>98</v>
      </c>
      <c r="N61" s="36">
        <f>COUNTIF($M$29:$M$55,"*1U Patch Panel CAT7*")</f>
        <v>2</v>
      </c>
    </row>
    <row r="62" spans="1:14" x14ac:dyDescent="0.25">
      <c r="E62" s="28" t="s">
        <v>94</v>
      </c>
      <c r="M62" s="35" t="s">
        <v>81</v>
      </c>
      <c r="N62" s="36">
        <f>COUNTIF($M$29:$M$55,"*12U Rack*")</f>
        <v>7</v>
      </c>
    </row>
    <row r="63" spans="1:14" x14ac:dyDescent="0.25">
      <c r="E63" s="29">
        <f>C57</f>
        <v>38</v>
      </c>
      <c r="F63" s="30" t="s">
        <v>63</v>
      </c>
      <c r="M63" s="35" t="s">
        <v>76</v>
      </c>
      <c r="N63" s="36">
        <f>COUNTIF($M$29:$M$55,"*6U Rack*")</f>
        <v>2</v>
      </c>
    </row>
    <row r="64" spans="1:14" x14ac:dyDescent="0.25">
      <c r="M64" s="37" t="s">
        <v>80</v>
      </c>
      <c r="N64" s="38">
        <f>SUM(N30,N33,N36,N39,N42,N45,N48,N51,N54)</f>
        <v>126.19999999999999</v>
      </c>
    </row>
    <row r="65" spans="13:14" x14ac:dyDescent="0.25">
      <c r="M65" s="37" t="s">
        <v>103</v>
      </c>
      <c r="N65" s="38">
        <f>SUM(M20:M25)</f>
        <v>94.199999999999989</v>
      </c>
    </row>
  </sheetData>
  <mergeCells count="27">
    <mergeCell ref="A1:C1"/>
    <mergeCell ref="A14:C14"/>
    <mergeCell ref="A28:C28"/>
    <mergeCell ref="E28:G28"/>
    <mergeCell ref="E47:G47"/>
    <mergeCell ref="K2:L2"/>
    <mergeCell ref="K8:O8"/>
    <mergeCell ref="E43:G43"/>
    <mergeCell ref="E35:G35"/>
    <mergeCell ref="E41:G41"/>
    <mergeCell ref="E30:G30"/>
    <mergeCell ref="E33:G33"/>
    <mergeCell ref="E39:G39"/>
    <mergeCell ref="M57:N57"/>
    <mergeCell ref="A49:C49"/>
    <mergeCell ref="E53:G53"/>
    <mergeCell ref="A52:C52"/>
    <mergeCell ref="K9:O9"/>
    <mergeCell ref="M28:N28"/>
    <mergeCell ref="E50:G50"/>
    <mergeCell ref="A37:C37"/>
    <mergeCell ref="A33:C33"/>
    <mergeCell ref="A30:C30"/>
    <mergeCell ref="A35:C35"/>
    <mergeCell ref="A40:C40"/>
    <mergeCell ref="A43:C43"/>
    <mergeCell ref="A46:C46"/>
  </mergeCells>
  <hyperlinks>
    <hyperlink ref="K2" r:id="rId1" xr:uid="{02391824-3348-45A6-A11F-8973CB22EC35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Matias</dc:creator>
  <cp:lastModifiedBy>Pedro Matias</cp:lastModifiedBy>
  <dcterms:created xsi:type="dcterms:W3CDTF">2022-03-10T12:06:01Z</dcterms:created>
  <dcterms:modified xsi:type="dcterms:W3CDTF">2022-03-20T21:37:41Z</dcterms:modified>
</cp:coreProperties>
</file>