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6828"/>
  <workbookPr defaultThemeVersion="124226"/>
  <mc:AlternateContent xmlns:mc="http://schemas.openxmlformats.org/markup-compatibility/2006">
    <mc:Choice Requires="x15">
      <x15ac:absPath xmlns:x15ac="http://schemas.microsoft.com/office/spreadsheetml/2010/11/ac" url="C:\Users\Aj\Documents\UCSC Coursework\Winter Quarter 2017\Econ 235\Excel Files\"/>
    </mc:Choice>
  </mc:AlternateContent>
  <bookViews>
    <workbookView xWindow="120" yWindow="30" windowWidth="15135" windowHeight="7110" firstSheet="2" activeTab="5"/>
  </bookViews>
  <sheets>
    <sheet name="Chapter 4" sheetId="10" r:id="rId1"/>
    <sheet name="Section 4.2" sheetId="1" r:id="rId2"/>
    <sheet name="Section 4.3" sheetId="11" r:id="rId3"/>
    <sheet name="Section 4.4" sheetId="12" r:id="rId4"/>
    <sheet name="Section 4.5" sheetId="17" r:id="rId5"/>
    <sheet name="Sheet1" sheetId="19" r:id="rId6"/>
    <sheet name="Sheet1 (2)" sheetId="20" r:id="rId7"/>
    <sheet name="Loan Amortization Schedule " sheetId="18" r:id="rId8"/>
    <sheet name="Master It!" sheetId="15" r:id="rId9"/>
    <sheet name="Solution" sheetId="16" r:id="rId10"/>
  </sheets>
  <definedNames>
    <definedName name="Beg_Bal">'Loan Amortization Schedule '!$C$18:$C$497</definedName>
    <definedName name="Cum_Int" localSheetId="7">'Loan Amortization Schedule '!$J$18:$J$497</definedName>
    <definedName name="Cum_Int">#REF!</definedName>
    <definedName name="Data" localSheetId="7">'Loan Amortization Schedule '!$A$18:$J$497</definedName>
    <definedName name="Data">#REF!</definedName>
    <definedName name="End_Bal">'Loan Amortization Schedule '!$I$18:$I$497</definedName>
    <definedName name="Extra_Pay">'Loan Amortization Schedule '!$E$18:$E$497</definedName>
    <definedName name="Full_Print">'Loan Amortization Schedule '!$A$1:$J$497</definedName>
    <definedName name="Header_Row">ROW('Loan Amortization Schedule '!$17:$17)</definedName>
    <definedName name="Int">'Loan Amortization Schedule '!$H$18:$H$497</definedName>
    <definedName name="Interest_Rate">'Loan Amortization Schedule '!$D$6</definedName>
    <definedName name="Last_Row" localSheetId="7">IF('Loan Amortization Schedule '!Values_Entered,Header_Row+'Loan Amortization Schedule '!Number_of_Payments,Header_Row)</definedName>
    <definedName name="Last_Row" localSheetId="3">IF('Section 4.4'!Values_Entered,Header_Row+'Section 4.4'!Number_of_Payments,Header_Row)</definedName>
    <definedName name="Last_Row" localSheetId="4">IF('Section 4.5'!Values_Entered,Header_Row+'Section 4.5'!Number_of_Payments,Header_Row)</definedName>
    <definedName name="Last_Row">IF('Section 4.4'!Values_Entered,Header_Row+'Section 4.4'!Number_of_Payments,Header_Row)</definedName>
    <definedName name="Loan_Amount">'Loan Amortization Schedule '!$D$5</definedName>
    <definedName name="Loan_Start">'Loan Amortization Schedule '!$D$9</definedName>
    <definedName name="Loan_Years">'Loan Amortization Schedule '!$D$7</definedName>
    <definedName name="Num_Pmt_Per_Year">'Loan Amortization Schedule '!$D$8</definedName>
    <definedName name="Number_of_Payments" localSheetId="7">MATCH(0.01,End_Bal,-1)+1</definedName>
    <definedName name="Number_of_Payments" localSheetId="3">MATCH(0.01,End_Bal,-1)+1</definedName>
    <definedName name="Number_of_Payments" localSheetId="4">MATCH(0.01,End_Bal,-1)+1</definedName>
    <definedName name="Number_of_Payments">MATCH(0.01,End_Bal,-1)+1</definedName>
    <definedName name="Pay_Date" localSheetId="7">'Loan Amortization Schedule '!$B$18:$B$497</definedName>
    <definedName name="Pay_Date">#REF!</definedName>
    <definedName name="Pay_Num">'Loan Amortization Schedule '!$A$18:$A$497</definedName>
    <definedName name="Payment_Date" localSheetId="7">DATE(YEAR(Loan_Start),MONTH(Loan_Start)+Payment_Number,DAY(Loan_Start))</definedName>
    <definedName name="Payment_Date" localSheetId="3">DATE(YEAR(Loan_Start),MONTH(Loan_Start)+Payment_Number,DAY(Loan_Start))</definedName>
    <definedName name="Payment_Date" localSheetId="4">DATE(YEAR(Loan_Start),MONTH(Loan_Start)+Payment_Number,DAY(Loan_Start))</definedName>
    <definedName name="Payment_Date">DATE(YEAR(Loan_Start),MONTH(Loan_Start)+Payment_Number,DAY(Loan_Start))</definedName>
    <definedName name="Princ">'Loan Amortization Schedule '!$G$18:$G$497</definedName>
    <definedName name="_xlnm.Print_Area" localSheetId="7">OFFSET(Full_Print,0,0,'Loan Amortization Schedule '!Last_Row)</definedName>
    <definedName name="Print_Area_Reset" localSheetId="7">OFFSET(Full_Print,0,0,'Loan Amortization Schedule '!Last_Row)</definedName>
    <definedName name="Print_Area_Reset" localSheetId="3">OFFSET(Full_Print,0,0,'Section 4.4'!Last_Row)</definedName>
    <definedName name="Print_Area_Reset" localSheetId="4">OFFSET(Full_Print,0,0,'Section 4.5'!Last_Row)</definedName>
    <definedName name="Print_Area_Reset">OFFSET(Full_Print,0,0,Last_Row)</definedName>
    <definedName name="_xlnm.Print_Titles" localSheetId="7">'Loan Amortization Schedule '!$14:$17</definedName>
    <definedName name="Sched_Pay">'Loan Amortization Schedule '!$D$18:$D$497</definedName>
    <definedName name="Scheduled_Extra_Payments">'Loan Amortization Schedule '!$D$10</definedName>
    <definedName name="Scheduled_Interest_Rate" localSheetId="7">'Loan Amortization Schedule '!$D$6</definedName>
    <definedName name="Scheduled_Interest_Rate">#REF!</definedName>
    <definedName name="Scheduled_Monthly_Payment">'Loan Amortization Schedule '!$J$5</definedName>
    <definedName name="Total_Interest" localSheetId="7">'Loan Amortization Schedule '!$J$9</definedName>
    <definedName name="Total_Interest">#REF!</definedName>
    <definedName name="Total_Pay">'Loan Amortization Schedule '!$F$18:$F$497</definedName>
    <definedName name="Values_Entered" localSheetId="7">IF(Loan_Amount*Interest_Rate*Loan_Years*Loan_Start&gt;0,1,0)</definedName>
    <definedName name="Values_Entered" localSheetId="3">IF(Loan_Amount*Interest_Rate*Loan_Years*Loan_Start&gt;0,1,0)</definedName>
    <definedName name="Values_Entered" localSheetId="4">IF(Loan_Amount*Interest_Rate*Loan_Years*Loan_Start&gt;0,1,0)</definedName>
    <definedName name="Values_Entered">IF(Loan_Amount*Interest_Rate*Loan_Years*Loan_Start&gt;0,1,0)</definedName>
  </definedNames>
  <calcPr calcId="171027"/>
</workbook>
</file>

<file path=xl/calcChain.xml><?xml version="1.0" encoding="utf-8"?>
<calcChain xmlns="http://schemas.openxmlformats.org/spreadsheetml/2006/main">
  <c r="I3" i="19" l="1"/>
  <c r="I2" i="19"/>
  <c r="K1" i="19"/>
  <c r="D3" i="19"/>
  <c r="C14" i="20"/>
  <c r="D14" i="20"/>
  <c r="B14" i="20"/>
  <c r="D2" i="19" l="1"/>
  <c r="D12" i="20"/>
  <c r="C12" i="20"/>
  <c r="C15" i="20" s="1"/>
  <c r="B12" i="20"/>
  <c r="D3" i="20"/>
  <c r="D4" i="20"/>
  <c r="D5" i="20"/>
  <c r="D6" i="20"/>
  <c r="B15" i="20" l="1"/>
  <c r="D15" i="20" s="1"/>
  <c r="E15" i="20" s="1"/>
  <c r="G2" i="19"/>
  <c r="D7" i="19" s="1"/>
  <c r="C5" i="19"/>
  <c r="D45" i="17"/>
  <c r="D5" i="19" l="1"/>
  <c r="D58" i="19"/>
  <c r="D50" i="19"/>
  <c r="D42" i="19"/>
  <c r="D34" i="19"/>
  <c r="D26" i="19"/>
  <c r="D18" i="19"/>
  <c r="D10" i="19"/>
  <c r="D62" i="19"/>
  <c r="D54" i="19"/>
  <c r="D46" i="19"/>
  <c r="D38" i="19"/>
  <c r="D30" i="19"/>
  <c r="D22" i="19"/>
  <c r="D14" i="19"/>
  <c r="D6" i="19"/>
  <c r="D64" i="19"/>
  <c r="D60" i="19"/>
  <c r="D56" i="19"/>
  <c r="D52" i="19"/>
  <c r="D48" i="19"/>
  <c r="D44" i="19"/>
  <c r="D40" i="19"/>
  <c r="D36" i="19"/>
  <c r="D32" i="19"/>
  <c r="D28" i="19"/>
  <c r="D24" i="19"/>
  <c r="D20" i="19"/>
  <c r="D16" i="19"/>
  <c r="D12" i="19"/>
  <c r="D8" i="19"/>
  <c r="D63" i="19"/>
  <c r="D61" i="19"/>
  <c r="D59" i="19"/>
  <c r="D57" i="19"/>
  <c r="D55" i="19"/>
  <c r="D53" i="19"/>
  <c r="D51" i="19"/>
  <c r="D49" i="19"/>
  <c r="D47" i="19"/>
  <c r="D45" i="19"/>
  <c r="D43" i="19"/>
  <c r="D41" i="19"/>
  <c r="D39" i="19"/>
  <c r="D37" i="19"/>
  <c r="D35" i="19"/>
  <c r="D33" i="19"/>
  <c r="D31" i="19"/>
  <c r="D29" i="19"/>
  <c r="D27" i="19"/>
  <c r="D25" i="19"/>
  <c r="D23" i="19"/>
  <c r="D21" i="19"/>
  <c r="D19" i="19"/>
  <c r="D17" i="19"/>
  <c r="D15" i="19"/>
  <c r="D13" i="19"/>
  <c r="D11" i="19"/>
  <c r="D9" i="19"/>
  <c r="E5" i="19"/>
  <c r="F5" i="19" s="1"/>
  <c r="J5" i="18"/>
  <c r="J6" i="18"/>
  <c r="A18" i="18"/>
  <c r="A19" i="18" s="1"/>
  <c r="C18" i="18"/>
  <c r="B18" i="18" l="1"/>
  <c r="D19" i="18"/>
  <c r="A20" i="18"/>
  <c r="D20" i="18" s="1"/>
  <c r="D18" i="18"/>
  <c r="E18" i="18" s="1"/>
  <c r="H18" i="18"/>
  <c r="B19" i="18"/>
  <c r="B20" i="18" l="1"/>
  <c r="A21" i="18"/>
  <c r="J18" i="18"/>
  <c r="F18" i="18"/>
  <c r="G18" i="18" s="1"/>
  <c r="I18" i="18" s="1"/>
  <c r="A22" i="18" l="1"/>
  <c r="D21" i="18"/>
  <c r="B21" i="18"/>
  <c r="C19" i="18"/>
  <c r="B22" i="18" l="1"/>
  <c r="D22" i="18"/>
  <c r="A23" i="18"/>
  <c r="E19" i="18"/>
  <c r="H19" i="18"/>
  <c r="A24" i="18" l="1"/>
  <c r="B23" i="18"/>
  <c r="D23" i="18"/>
  <c r="J19" i="18"/>
  <c r="F19" i="18"/>
  <c r="G19" i="18" s="1"/>
  <c r="I19" i="18" s="1"/>
  <c r="D24" i="18" l="1"/>
  <c r="A25" i="18"/>
  <c r="B24" i="18"/>
  <c r="C20" i="18"/>
  <c r="D25" i="18" l="1"/>
  <c r="B25" i="18"/>
  <c r="A26" i="18"/>
  <c r="E20" i="18"/>
  <c r="H20" i="18"/>
  <c r="B26" i="18" l="1"/>
  <c r="A27" i="18"/>
  <c r="D26" i="18"/>
  <c r="J20" i="18"/>
  <c r="F20" i="18"/>
  <c r="G20" i="18" s="1"/>
  <c r="I20" i="18" s="1"/>
  <c r="A28" i="18" l="1"/>
  <c r="B27" i="18"/>
  <c r="D27" i="18"/>
  <c r="C21" i="18"/>
  <c r="D28" i="18" l="1"/>
  <c r="A29" i="18"/>
  <c r="B28" i="18"/>
  <c r="H21" i="18"/>
  <c r="E21" i="18"/>
  <c r="A30" i="18" l="1"/>
  <c r="D29" i="18"/>
  <c r="B29" i="18"/>
  <c r="F21" i="18"/>
  <c r="G21" i="18" s="1"/>
  <c r="I21" i="18" s="1"/>
  <c r="J21" i="18"/>
  <c r="B30" i="18" l="1"/>
  <c r="A31" i="18"/>
  <c r="D30" i="18"/>
  <c r="C22" i="18"/>
  <c r="D31" i="18" l="1"/>
  <c r="A32" i="18"/>
  <c r="B31" i="18"/>
  <c r="E22" i="18"/>
  <c r="H22" i="18"/>
  <c r="D32" i="18" l="1"/>
  <c r="A33" i="18"/>
  <c r="B32" i="18"/>
  <c r="J22" i="18"/>
  <c r="F22" i="18"/>
  <c r="G22" i="18" s="1"/>
  <c r="I22" i="18" s="1"/>
  <c r="D33" i="18" l="1"/>
  <c r="A34" i="18"/>
  <c r="B33" i="18"/>
  <c r="C23" i="18"/>
  <c r="A35" i="18" l="1"/>
  <c r="B34" i="18"/>
  <c r="D34" i="18"/>
  <c r="H23" i="18"/>
  <c r="E23" i="18"/>
  <c r="D35" i="18" l="1"/>
  <c r="A36" i="18"/>
  <c r="B35" i="18"/>
  <c r="F23" i="18"/>
  <c r="G23" i="18" s="1"/>
  <c r="I23" i="18" s="1"/>
  <c r="C24" i="18" s="1"/>
  <c r="J23" i="18"/>
  <c r="D36" i="18" l="1"/>
  <c r="B36" i="18"/>
  <c r="A37" i="18"/>
  <c r="H24" i="18"/>
  <c r="J24" i="18" s="1"/>
  <c r="E24" i="18"/>
  <c r="D37" i="18" l="1"/>
  <c r="A38" i="18"/>
  <c r="B37" i="18"/>
  <c r="F24" i="18"/>
  <c r="G24" i="18" s="1"/>
  <c r="I24" i="18" s="1"/>
  <c r="C25" i="18" s="1"/>
  <c r="B38" i="18" l="1"/>
  <c r="D38" i="18"/>
  <c r="A39" i="18"/>
  <c r="E25" i="18"/>
  <c r="H25" i="18"/>
  <c r="J25" i="18" s="1"/>
  <c r="B39" i="18" l="1"/>
  <c r="D39" i="18"/>
  <c r="A40" i="18"/>
  <c r="F25" i="18"/>
  <c r="G25" i="18" s="1"/>
  <c r="I25" i="18" s="1"/>
  <c r="C26" i="18" s="1"/>
  <c r="D40" i="18" l="1"/>
  <c r="A41" i="18"/>
  <c r="B40" i="18"/>
  <c r="H26" i="18"/>
  <c r="J26" i="18" s="1"/>
  <c r="E26" i="18"/>
  <c r="B41" i="18" l="1"/>
  <c r="A42" i="18"/>
  <c r="D41" i="18"/>
  <c r="F26" i="18"/>
  <c r="G26" i="18" s="1"/>
  <c r="I26" i="18" s="1"/>
  <c r="C27" i="18" s="1"/>
  <c r="A43" i="18" l="1"/>
  <c r="B42" i="18"/>
  <c r="D42" i="18"/>
  <c r="E27" i="18"/>
  <c r="H27" i="18"/>
  <c r="J27" i="18" s="1"/>
  <c r="B43" i="18" l="1"/>
  <c r="D43" i="18"/>
  <c r="A44" i="18"/>
  <c r="F27" i="18"/>
  <c r="G27" i="18" s="1"/>
  <c r="I27" i="18" s="1"/>
  <c r="C28" i="18" s="1"/>
  <c r="D44" i="18" l="1"/>
  <c r="A45" i="18"/>
  <c r="B44" i="18"/>
  <c r="H28" i="18"/>
  <c r="J28" i="18" s="1"/>
  <c r="E28" i="18"/>
  <c r="D45" i="18" l="1"/>
  <c r="A46" i="18"/>
  <c r="B45" i="18"/>
  <c r="F28" i="18"/>
  <c r="G28" i="18" s="1"/>
  <c r="I28" i="18" s="1"/>
  <c r="C29" i="18" s="1"/>
  <c r="A47" i="18" l="1"/>
  <c r="B46" i="18"/>
  <c r="D46" i="18"/>
  <c r="H29" i="18"/>
  <c r="J29" i="18" s="1"/>
  <c r="E29" i="18"/>
  <c r="D47" i="18" l="1"/>
  <c r="A48" i="18"/>
  <c r="B47" i="18"/>
  <c r="F29" i="18"/>
  <c r="G29" i="18" s="1"/>
  <c r="I29" i="18" s="1"/>
  <c r="C30" i="18" s="1"/>
  <c r="B48" i="18" l="1"/>
  <c r="A49" i="18"/>
  <c r="D48" i="18"/>
  <c r="H30" i="18"/>
  <c r="J30" i="18" s="1"/>
  <c r="E30" i="18"/>
  <c r="B49" i="18" l="1"/>
  <c r="D49" i="18"/>
  <c r="A50" i="18"/>
  <c r="F30" i="18"/>
  <c r="G30" i="18" s="1"/>
  <c r="I30" i="18" s="1"/>
  <c r="C31" i="18" s="1"/>
  <c r="D50" i="18" l="1"/>
  <c r="B50" i="18"/>
  <c r="A51" i="18"/>
  <c r="H31" i="18"/>
  <c r="J31" i="18" s="1"/>
  <c r="E31" i="18"/>
  <c r="B51" i="18" l="1"/>
  <c r="A52" i="18"/>
  <c r="D51" i="18"/>
  <c r="F31" i="18"/>
  <c r="G31" i="18" s="1"/>
  <c r="I31" i="18" s="1"/>
  <c r="C32" i="18" s="1"/>
  <c r="B52" i="18" l="1"/>
  <c r="D52" i="18"/>
  <c r="A53" i="18"/>
  <c r="H32" i="18"/>
  <c r="J32" i="18" s="1"/>
  <c r="E32" i="18"/>
  <c r="A54" i="18" l="1"/>
  <c r="D53" i="18"/>
  <c r="B53" i="18"/>
  <c r="F32" i="18"/>
  <c r="G32" i="18" s="1"/>
  <c r="I32" i="18" s="1"/>
  <c r="C33" i="18" s="1"/>
  <c r="B54" i="18" l="1"/>
  <c r="A55" i="18"/>
  <c r="D54" i="18"/>
  <c r="H33" i="18"/>
  <c r="J33" i="18" s="1"/>
  <c r="E33" i="18"/>
  <c r="A56" i="18" l="1"/>
  <c r="D55" i="18"/>
  <c r="B55" i="18"/>
  <c r="F33" i="18"/>
  <c r="G33" i="18" s="1"/>
  <c r="I33" i="18" s="1"/>
  <c r="C34" i="18" s="1"/>
  <c r="A57" i="18" l="1"/>
  <c r="D56" i="18"/>
  <c r="B56" i="18"/>
  <c r="H34" i="18"/>
  <c r="J34" i="18" s="1"/>
  <c r="E34" i="18"/>
  <c r="B57" i="18" l="1"/>
  <c r="D57" i="18"/>
  <c r="A58" i="18"/>
  <c r="F34" i="18"/>
  <c r="G34" i="18" s="1"/>
  <c r="I34" i="18" s="1"/>
  <c r="C35" i="18" s="1"/>
  <c r="A59" i="18" l="1"/>
  <c r="D58" i="18"/>
  <c r="B58" i="18"/>
  <c r="E35" i="18"/>
  <c r="H35" i="18"/>
  <c r="J35" i="18" s="1"/>
  <c r="B59" i="18" l="1"/>
  <c r="A60" i="18"/>
  <c r="D59" i="18"/>
  <c r="F35" i="18"/>
  <c r="G35" i="18" s="1"/>
  <c r="I35" i="18" s="1"/>
  <c r="C36" i="18" s="1"/>
  <c r="D60" i="18" l="1"/>
  <c r="B60" i="18"/>
  <c r="A61" i="18"/>
  <c r="H36" i="18"/>
  <c r="J36" i="18" s="1"/>
  <c r="E36" i="18"/>
  <c r="B61" i="18" l="1"/>
  <c r="D61" i="18"/>
  <c r="A62" i="18"/>
  <c r="F36" i="18"/>
  <c r="G36" i="18" s="1"/>
  <c r="I36" i="18" s="1"/>
  <c r="C37" i="18" s="1"/>
  <c r="D62" i="18" l="1"/>
  <c r="A63" i="18"/>
  <c r="B62" i="18"/>
  <c r="E37" i="18"/>
  <c r="H37" i="18"/>
  <c r="J37" i="18" s="1"/>
  <c r="D63" i="18" l="1"/>
  <c r="B63" i="18"/>
  <c r="A64" i="18"/>
  <c r="F37" i="18"/>
  <c r="G37" i="18" s="1"/>
  <c r="I37" i="18" s="1"/>
  <c r="C38" i="18" s="1"/>
  <c r="A65" i="18" l="1"/>
  <c r="D64" i="18"/>
  <c r="B64" i="18"/>
  <c r="E38" i="18"/>
  <c r="H38" i="18"/>
  <c r="J38" i="18" s="1"/>
  <c r="B65" i="18" l="1"/>
  <c r="D65" i="18"/>
  <c r="A66" i="18"/>
  <c r="F38" i="18"/>
  <c r="G38" i="18" s="1"/>
  <c r="I38" i="18" s="1"/>
  <c r="C39" i="18" s="1"/>
  <c r="D66" i="18" l="1"/>
  <c r="B66" i="18"/>
  <c r="A67" i="18"/>
  <c r="H39" i="18"/>
  <c r="J39" i="18" s="1"/>
  <c r="E39" i="18"/>
  <c r="B67" i="18" l="1"/>
  <c r="D67" i="18"/>
  <c r="A68" i="18"/>
  <c r="F39" i="18"/>
  <c r="G39" i="18" s="1"/>
  <c r="I39" i="18" s="1"/>
  <c r="C40" i="18" s="1"/>
  <c r="B68" i="18" l="1"/>
  <c r="A69" i="18"/>
  <c r="D68" i="18"/>
  <c r="E40" i="18"/>
  <c r="H40" i="18"/>
  <c r="J40" i="18" s="1"/>
  <c r="B69" i="18" l="1"/>
  <c r="A70" i="18"/>
  <c r="D69" i="18"/>
  <c r="F40" i="18"/>
  <c r="G40" i="18" s="1"/>
  <c r="I40" i="18" s="1"/>
  <c r="C41" i="18" s="1"/>
  <c r="B70" i="18" l="1"/>
  <c r="D70" i="18"/>
  <c r="A71" i="18"/>
  <c r="H41" i="18"/>
  <c r="J41" i="18" s="1"/>
  <c r="E41" i="18"/>
  <c r="A72" i="18" l="1"/>
  <c r="D71" i="18"/>
  <c r="B71" i="18"/>
  <c r="F41" i="18"/>
  <c r="G41" i="18" s="1"/>
  <c r="I41" i="18" s="1"/>
  <c r="C42" i="18" s="1"/>
  <c r="D72" i="18" l="1"/>
  <c r="A73" i="18"/>
  <c r="B72" i="18"/>
  <c r="H42" i="18"/>
  <c r="J42" i="18" s="1"/>
  <c r="E42" i="18"/>
  <c r="A74" i="18" l="1"/>
  <c r="D73" i="18"/>
  <c r="B73" i="18"/>
  <c r="F42" i="18"/>
  <c r="G42" i="18" s="1"/>
  <c r="I42" i="18" s="1"/>
  <c r="C43" i="18" s="1"/>
  <c r="A75" i="18" l="1"/>
  <c r="D74" i="18"/>
  <c r="B74" i="18"/>
  <c r="E43" i="18"/>
  <c r="H43" i="18"/>
  <c r="J43" i="18" s="1"/>
  <c r="B75" i="18" l="1"/>
  <c r="D75" i="18"/>
  <c r="A76" i="18"/>
  <c r="F43" i="18"/>
  <c r="G43" i="18" s="1"/>
  <c r="I43" i="18" s="1"/>
  <c r="C44" i="18" s="1"/>
  <c r="B76" i="18" l="1"/>
  <c r="A77" i="18"/>
  <c r="D76" i="18"/>
  <c r="H44" i="18"/>
  <c r="J44" i="18" s="1"/>
  <c r="E44" i="18"/>
  <c r="D77" i="18" l="1"/>
  <c r="B77" i="18"/>
  <c r="A78" i="18"/>
  <c r="F44" i="18"/>
  <c r="G44" i="18" s="1"/>
  <c r="I44" i="18" s="1"/>
  <c r="C45" i="18" s="1"/>
  <c r="D78" i="18" l="1"/>
  <c r="A79" i="18"/>
  <c r="B78" i="18"/>
  <c r="E45" i="18"/>
  <c r="H45" i="18"/>
  <c r="J45" i="18" s="1"/>
  <c r="A80" i="18" l="1"/>
  <c r="B79" i="18"/>
  <c r="D79" i="18"/>
  <c r="F45" i="18"/>
  <c r="G45" i="18" s="1"/>
  <c r="I45" i="18" s="1"/>
  <c r="C46" i="18" s="1"/>
  <c r="A81" i="18" l="1"/>
  <c r="D80" i="18"/>
  <c r="B80" i="18"/>
  <c r="H46" i="18"/>
  <c r="J46" i="18" s="1"/>
  <c r="E46" i="18"/>
  <c r="B81" i="18" l="1"/>
  <c r="D81" i="18"/>
  <c r="A82" i="18"/>
  <c r="F46" i="18"/>
  <c r="G46" i="18" s="1"/>
  <c r="I46" i="18" s="1"/>
  <c r="C47" i="18" s="1"/>
  <c r="A83" i="18" l="1"/>
  <c r="D82" i="18"/>
  <c r="B82" i="18"/>
  <c r="E47" i="18"/>
  <c r="H47" i="18"/>
  <c r="J47" i="18" s="1"/>
  <c r="E121" i="17"/>
  <c r="E113" i="17"/>
  <c r="E117" i="17" s="1"/>
  <c r="C54" i="17"/>
  <c r="D49" i="17"/>
  <c r="D68" i="17" s="1"/>
  <c r="C19" i="17"/>
  <c r="D14" i="17"/>
  <c r="F32" i="17" s="1"/>
  <c r="E19" i="16"/>
  <c r="E18" i="16"/>
  <c r="D6" i="16"/>
  <c r="D14" i="16" s="1"/>
  <c r="D274" i="12"/>
  <c r="D266" i="12"/>
  <c r="D270" i="12" s="1"/>
  <c r="E232" i="12"/>
  <c r="D220" i="12"/>
  <c r="D200" i="12"/>
  <c r="D190" i="12"/>
  <c r="D194" i="12" s="1"/>
  <c r="A84" i="18" l="1"/>
  <c r="D83" i="18"/>
  <c r="B83" i="18"/>
  <c r="F47" i="18"/>
  <c r="D55" i="17"/>
  <c r="D59" i="17"/>
  <c r="D63" i="17"/>
  <c r="D57" i="17"/>
  <c r="D61" i="17"/>
  <c r="F19" i="17"/>
  <c r="F21" i="17"/>
  <c r="F23" i="17"/>
  <c r="F25" i="17"/>
  <c r="F27" i="17"/>
  <c r="F29" i="17"/>
  <c r="F31" i="17"/>
  <c r="F33" i="17"/>
  <c r="E54" i="17"/>
  <c r="D65" i="17"/>
  <c r="D67" i="17"/>
  <c r="E19" i="17"/>
  <c r="F20" i="17"/>
  <c r="F22" i="17"/>
  <c r="F24" i="17"/>
  <c r="F26" i="17"/>
  <c r="F28" i="17"/>
  <c r="F30" i="17"/>
  <c r="D54" i="17"/>
  <c r="D56" i="17"/>
  <c r="D58" i="17"/>
  <c r="D60" i="17"/>
  <c r="D62" i="17"/>
  <c r="D64" i="17"/>
  <c r="D66" i="17"/>
  <c r="D10" i="16"/>
  <c r="E21" i="16"/>
  <c r="D84" i="18" l="1"/>
  <c r="B84" i="18"/>
  <c r="A85" i="18"/>
  <c r="G47" i="18"/>
  <c r="D69" i="17"/>
  <c r="F54" i="17"/>
  <c r="F34" i="17"/>
  <c r="D19" i="17"/>
  <c r="G19" i="17"/>
  <c r="C20" i="17" s="1"/>
  <c r="B85" i="18" l="1"/>
  <c r="D85" i="18"/>
  <c r="A86" i="18"/>
  <c r="I47" i="18"/>
  <c r="G20" i="17"/>
  <c r="C21" i="17" s="1"/>
  <c r="E20" i="17"/>
  <c r="G54" i="17"/>
  <c r="C55" i="17" s="1"/>
  <c r="B86" i="18" l="1"/>
  <c r="A87" i="18"/>
  <c r="D86" i="18"/>
  <c r="C48" i="18"/>
  <c r="G21" i="17"/>
  <c r="C22" i="17" s="1"/>
  <c r="E21" i="17"/>
  <c r="D21" i="17" s="1"/>
  <c r="E55" i="17"/>
  <c r="D20" i="17"/>
  <c r="A88" i="18" l="1"/>
  <c r="B87" i="18"/>
  <c r="D87" i="18"/>
  <c r="H48" i="18"/>
  <c r="J48" i="18" s="1"/>
  <c r="E48" i="18"/>
  <c r="G22" i="17"/>
  <c r="C23" i="17" s="1"/>
  <c r="E22" i="17"/>
  <c r="F55" i="17"/>
  <c r="B88" i="18" l="1"/>
  <c r="A89" i="18"/>
  <c r="D88" i="18"/>
  <c r="F48" i="18"/>
  <c r="G23" i="17"/>
  <c r="C24" i="17" s="1"/>
  <c r="E23" i="17"/>
  <c r="D23" i="17" s="1"/>
  <c r="G55" i="17"/>
  <c r="C56" i="17" s="1"/>
  <c r="D22" i="17"/>
  <c r="A90" i="18" l="1"/>
  <c r="D89" i="18"/>
  <c r="B89" i="18"/>
  <c r="G48" i="18"/>
  <c r="G24" i="17"/>
  <c r="C25" i="17" s="1"/>
  <c r="E24" i="17"/>
  <c r="E56" i="17"/>
  <c r="B90" i="18" l="1"/>
  <c r="D90" i="18"/>
  <c r="A91" i="18"/>
  <c r="I48" i="18"/>
  <c r="G25" i="17"/>
  <c r="C26" i="17" s="1"/>
  <c r="E25" i="17"/>
  <c r="D25" i="17" s="1"/>
  <c r="F56" i="17"/>
  <c r="D24" i="17"/>
  <c r="B91" i="18" l="1"/>
  <c r="A92" i="18"/>
  <c r="D91" i="18"/>
  <c r="C49" i="18"/>
  <c r="G56" i="17"/>
  <c r="C57" i="17" s="1"/>
  <c r="G26" i="17"/>
  <c r="C27" i="17" s="1"/>
  <c r="E26" i="17"/>
  <c r="D26" i="17" s="1"/>
  <c r="B92" i="18" l="1"/>
  <c r="A93" i="18"/>
  <c r="D92" i="18"/>
  <c r="H49" i="18"/>
  <c r="J49" i="18" s="1"/>
  <c r="E49" i="18"/>
  <c r="G27" i="17"/>
  <c r="C28" i="17" s="1"/>
  <c r="E27" i="17"/>
  <c r="D27" i="17" s="1"/>
  <c r="E57" i="17"/>
  <c r="B93" i="18" l="1"/>
  <c r="D93" i="18"/>
  <c r="A94" i="18"/>
  <c r="F49" i="18"/>
  <c r="G28" i="17"/>
  <c r="C29" i="17" s="1"/>
  <c r="E28" i="17"/>
  <c r="D28" i="17" s="1"/>
  <c r="F57" i="17"/>
  <c r="A95" i="18" l="1"/>
  <c r="B94" i="18"/>
  <c r="D94" i="18"/>
  <c r="G49" i="18"/>
  <c r="G57" i="17"/>
  <c r="C58" i="17" s="1"/>
  <c r="G29" i="17"/>
  <c r="C30" i="17" s="1"/>
  <c r="E29" i="17"/>
  <c r="D29" i="17" s="1"/>
  <c r="A96" i="18" l="1"/>
  <c r="D95" i="18"/>
  <c r="B95" i="18"/>
  <c r="I49" i="18"/>
  <c r="G30" i="17"/>
  <c r="C31" i="17" s="1"/>
  <c r="E30" i="17"/>
  <c r="D30" i="17" s="1"/>
  <c r="E58" i="17"/>
  <c r="F58" i="17" s="1"/>
  <c r="G58" i="17" s="1"/>
  <c r="C59" i="17" s="1"/>
  <c r="A97" i="18" l="1"/>
  <c r="B96" i="18"/>
  <c r="D96" i="18"/>
  <c r="C50" i="18"/>
  <c r="E59" i="17"/>
  <c r="F59" i="17" s="1"/>
  <c r="G59" i="17" s="1"/>
  <c r="C60" i="17" s="1"/>
  <c r="G31" i="17"/>
  <c r="C32" i="17" s="1"/>
  <c r="E31" i="17"/>
  <c r="D31" i="17" s="1"/>
  <c r="A98" i="18" l="1"/>
  <c r="D97" i="18"/>
  <c r="B97" i="18"/>
  <c r="H50" i="18"/>
  <c r="J50" i="18" s="1"/>
  <c r="E50" i="18"/>
  <c r="E60" i="17"/>
  <c r="F60" i="17" s="1"/>
  <c r="G60" i="17" s="1"/>
  <c r="C61" i="17" s="1"/>
  <c r="G32" i="17"/>
  <c r="C33" i="17" s="1"/>
  <c r="E32" i="17"/>
  <c r="D32" i="17" s="1"/>
  <c r="B98" i="18" l="1"/>
  <c r="A99" i="18"/>
  <c r="D98" i="18"/>
  <c r="F50" i="18"/>
  <c r="E61" i="17"/>
  <c r="F61" i="17" s="1"/>
  <c r="G61" i="17" s="1"/>
  <c r="C62" i="17" s="1"/>
  <c r="G33" i="17"/>
  <c r="E33" i="17"/>
  <c r="D99" i="18" l="1"/>
  <c r="A100" i="18"/>
  <c r="B99" i="18"/>
  <c r="G50" i="18"/>
  <c r="E62" i="17"/>
  <c r="F62" i="17" s="1"/>
  <c r="G62" i="17" s="1"/>
  <c r="C63" i="17" s="1"/>
  <c r="D33" i="17"/>
  <c r="D34" i="17" s="1"/>
  <c r="E34" i="17"/>
  <c r="A101" i="18" l="1"/>
  <c r="B100" i="18"/>
  <c r="D100" i="18"/>
  <c r="I50" i="18"/>
  <c r="E63" i="17"/>
  <c r="F63" i="17" s="1"/>
  <c r="G63" i="17" s="1"/>
  <c r="C64" i="17" s="1"/>
  <c r="A102" i="18" l="1"/>
  <c r="D101" i="18"/>
  <c r="B101" i="18"/>
  <c r="C51" i="18"/>
  <c r="E64" i="17"/>
  <c r="F64" i="17" s="1"/>
  <c r="G64" i="17" s="1"/>
  <c r="C65" i="17" s="1"/>
  <c r="B102" i="18" l="1"/>
  <c r="D102" i="18"/>
  <c r="A103" i="18"/>
  <c r="E51" i="18"/>
  <c r="H51" i="18"/>
  <c r="J51" i="18" s="1"/>
  <c r="E65" i="17"/>
  <c r="F65" i="17" s="1"/>
  <c r="G65" i="17" s="1"/>
  <c r="C66" i="17" s="1"/>
  <c r="A104" i="18" l="1"/>
  <c r="B103" i="18"/>
  <c r="D103" i="18"/>
  <c r="F51" i="18"/>
  <c r="E66" i="17"/>
  <c r="F66" i="17" s="1"/>
  <c r="G66" i="17" s="1"/>
  <c r="C67" i="17" s="1"/>
  <c r="A105" i="18" l="1"/>
  <c r="D104" i="18"/>
  <c r="B104" i="18"/>
  <c r="G51" i="18"/>
  <c r="E67" i="17"/>
  <c r="F67" i="17" s="1"/>
  <c r="G67" i="17" s="1"/>
  <c r="C68" i="17" s="1"/>
  <c r="D105" i="18" l="1"/>
  <c r="B105" i="18"/>
  <c r="A106" i="18"/>
  <c r="I51" i="18"/>
  <c r="E68" i="17"/>
  <c r="A107" i="18" l="1"/>
  <c r="D106" i="18"/>
  <c r="B106" i="18"/>
  <c r="C52" i="18"/>
  <c r="F68" i="17"/>
  <c r="E69" i="17"/>
  <c r="A108" i="18" l="1"/>
  <c r="D107" i="18"/>
  <c r="B107" i="18"/>
  <c r="H52" i="18"/>
  <c r="J52" i="18" s="1"/>
  <c r="E52" i="18"/>
  <c r="F69" i="17"/>
  <c r="G68" i="17"/>
  <c r="A109" i="18" l="1"/>
  <c r="D108" i="18"/>
  <c r="B108" i="18"/>
  <c r="F52" i="18"/>
  <c r="E149" i="12"/>
  <c r="E150" i="12" s="1"/>
  <c r="E117" i="12"/>
  <c r="E86" i="12"/>
  <c r="D53" i="12"/>
  <c r="D18" i="12"/>
  <c r="C72" i="11"/>
  <c r="E14" i="11"/>
  <c r="A89" i="11"/>
  <c r="E42" i="11"/>
  <c r="A110" i="18" l="1"/>
  <c r="D109" i="18"/>
  <c r="B109" i="18"/>
  <c r="G52" i="18"/>
  <c r="D421" i="1"/>
  <c r="C384" i="1"/>
  <c r="A111" i="18" l="1"/>
  <c r="B110" i="18"/>
  <c r="D110" i="18"/>
  <c r="I52" i="18"/>
  <c r="C53" i="18" s="1"/>
  <c r="D300" i="1"/>
  <c r="D264" i="1"/>
  <c r="C340" i="1"/>
  <c r="C341" i="1" s="1"/>
  <c r="C342" i="1" s="1"/>
  <c r="C343" i="1" s="1"/>
  <c r="C344" i="1" s="1"/>
  <c r="C345" i="1" s="1"/>
  <c r="D169" i="1"/>
  <c r="D199" i="1"/>
  <c r="C215" i="1" s="1"/>
  <c r="D118" i="1"/>
  <c r="F15" i="1"/>
  <c r="B111" i="18" l="1"/>
  <c r="D111" i="18"/>
  <c r="A112" i="18"/>
  <c r="H53" i="18"/>
  <c r="J53" i="18" s="1"/>
  <c r="E53" i="18"/>
  <c r="C72" i="1"/>
  <c r="D72" i="1" s="1"/>
  <c r="E72" i="1" s="1"/>
  <c r="F72" i="1" s="1"/>
  <c r="G72" i="1" s="1"/>
  <c r="D150" i="1"/>
  <c r="A113" i="18" l="1"/>
  <c r="D112" i="18"/>
  <c r="B112" i="18"/>
  <c r="F53" i="18"/>
  <c r="C82" i="1"/>
  <c r="D82" i="1"/>
  <c r="E82" i="1"/>
  <c r="F82" i="1"/>
  <c r="G82" i="1"/>
  <c r="C81" i="1"/>
  <c r="D81" i="1"/>
  <c r="E81" i="1"/>
  <c r="F81" i="1"/>
  <c r="G81" i="1"/>
  <c r="C80" i="1"/>
  <c r="D80" i="1"/>
  <c r="E80" i="1"/>
  <c r="F80" i="1"/>
  <c r="G80" i="1"/>
  <c r="C79" i="1"/>
  <c r="D79" i="1"/>
  <c r="E79" i="1"/>
  <c r="F79" i="1"/>
  <c r="G79" i="1"/>
  <c r="C78" i="1"/>
  <c r="D78" i="1"/>
  <c r="E78" i="1"/>
  <c r="F78" i="1"/>
  <c r="G78" i="1"/>
  <c r="F77" i="1"/>
  <c r="F76" i="1"/>
  <c r="F75" i="1"/>
  <c r="F74" i="1"/>
  <c r="F73" i="1"/>
  <c r="G77" i="1"/>
  <c r="E77" i="1"/>
  <c r="G76" i="1"/>
  <c r="E76" i="1"/>
  <c r="G75" i="1"/>
  <c r="E75" i="1"/>
  <c r="G74" i="1"/>
  <c r="E74" i="1"/>
  <c r="G73" i="1"/>
  <c r="E73" i="1"/>
  <c r="D77" i="1"/>
  <c r="D76" i="1"/>
  <c r="D75" i="1"/>
  <c r="D74" i="1"/>
  <c r="D73" i="1"/>
  <c r="C77" i="1"/>
  <c r="C76" i="1"/>
  <c r="C75" i="1"/>
  <c r="C74" i="1"/>
  <c r="C73" i="1"/>
  <c r="D29" i="1"/>
  <c r="D28" i="1"/>
  <c r="D27" i="1"/>
  <c r="D26" i="1"/>
  <c r="D25" i="1"/>
  <c r="C25" i="1"/>
  <c r="G25" i="1" s="1"/>
  <c r="F25" i="1" s="1"/>
  <c r="A114" i="18" l="1"/>
  <c r="D113" i="18"/>
  <c r="B113" i="18"/>
  <c r="G53" i="18"/>
  <c r="E25" i="1"/>
  <c r="C35" i="1"/>
  <c r="C36" i="1" s="1"/>
  <c r="C37" i="1" s="1"/>
  <c r="C38" i="1" s="1"/>
  <c r="C39" i="1" s="1"/>
  <c r="D30" i="1"/>
  <c r="H25" i="1"/>
  <c r="H26" i="1" s="1"/>
  <c r="H27" i="1" s="1"/>
  <c r="H28" i="1" s="1"/>
  <c r="H29" i="1" s="1"/>
  <c r="C26" i="1"/>
  <c r="G26" i="1" s="1"/>
  <c r="C27" i="1" s="1"/>
  <c r="G27" i="1" s="1"/>
  <c r="F27" i="1" s="1"/>
  <c r="A115" i="18" l="1"/>
  <c r="D114" i="18"/>
  <c r="B114" i="18"/>
  <c r="I53" i="18"/>
  <c r="C54" i="18" s="1"/>
  <c r="D35" i="1"/>
  <c r="D36" i="1"/>
  <c r="F26" i="1"/>
  <c r="E26" i="1" s="1"/>
  <c r="D37" i="1"/>
  <c r="C28" i="1"/>
  <c r="G28" i="1" s="1"/>
  <c r="F28" i="1" s="1"/>
  <c r="E28" i="1" s="1"/>
  <c r="E27" i="1"/>
  <c r="A116" i="18" l="1"/>
  <c r="D115" i="18"/>
  <c r="B115" i="18"/>
  <c r="H54" i="18"/>
  <c r="J54" i="18" s="1"/>
  <c r="E54" i="18"/>
  <c r="D38" i="1"/>
  <c r="C29" i="1"/>
  <c r="G29" i="1" s="1"/>
  <c r="D39" i="1" s="1"/>
  <c r="D116" i="18" l="1"/>
  <c r="B116" i="18"/>
  <c r="A117" i="18"/>
  <c r="F54" i="18"/>
  <c r="F29" i="1"/>
  <c r="E29" i="1" s="1"/>
  <c r="E30" i="1" s="1"/>
  <c r="B117" i="18" l="1"/>
  <c r="A118" i="18"/>
  <c r="D117" i="18"/>
  <c r="G54" i="18"/>
  <c r="F30" i="1"/>
  <c r="D118" i="18" l="1"/>
  <c r="B118" i="18"/>
  <c r="A119" i="18"/>
  <c r="I54" i="18"/>
  <c r="C55" i="18" s="1"/>
  <c r="A120" i="18" l="1"/>
  <c r="B119" i="18"/>
  <c r="D119" i="18"/>
  <c r="H55" i="18"/>
  <c r="J55" i="18" s="1"/>
  <c r="E55" i="18"/>
  <c r="D120" i="18" l="1"/>
  <c r="B120" i="18"/>
  <c r="A121" i="18"/>
  <c r="F55" i="18"/>
  <c r="A122" i="18" l="1"/>
  <c r="B121" i="18"/>
  <c r="D121" i="18"/>
  <c r="G55" i="18"/>
  <c r="A123" i="18" l="1"/>
  <c r="D122" i="18"/>
  <c r="B122" i="18"/>
  <c r="I55" i="18"/>
  <c r="C56" i="18" s="1"/>
  <c r="B123" i="18" l="1"/>
  <c r="A124" i="18"/>
  <c r="D123" i="18"/>
  <c r="H56" i="18"/>
  <c r="J56" i="18" s="1"/>
  <c r="E56" i="18"/>
  <c r="A125" i="18" l="1"/>
  <c r="B124" i="18"/>
  <c r="D124" i="18"/>
  <c r="F56" i="18"/>
  <c r="D125" i="18" l="1"/>
  <c r="A126" i="18"/>
  <c r="B125" i="18"/>
  <c r="G56" i="18"/>
  <c r="A127" i="18" l="1"/>
  <c r="B126" i="18"/>
  <c r="D126" i="18"/>
  <c r="I56" i="18"/>
  <c r="C57" i="18" s="1"/>
  <c r="D127" i="18" l="1"/>
  <c r="B127" i="18"/>
  <c r="A128" i="18"/>
  <c r="E57" i="18"/>
  <c r="H57" i="18"/>
  <c r="J57" i="18" s="1"/>
  <c r="B128" i="18" l="1"/>
  <c r="A129" i="18"/>
  <c r="D128" i="18"/>
  <c r="F57" i="18"/>
  <c r="B129" i="18" l="1"/>
  <c r="A130" i="18"/>
  <c r="D129" i="18"/>
  <c r="G57" i="18"/>
  <c r="A131" i="18" l="1"/>
  <c r="B130" i="18"/>
  <c r="D130" i="18"/>
  <c r="I57" i="18"/>
  <c r="C58" i="18" s="1"/>
  <c r="B131" i="18" l="1"/>
  <c r="D131" i="18"/>
  <c r="A132" i="18"/>
  <c r="E58" i="18"/>
  <c r="H58" i="18"/>
  <c r="J58" i="18" s="1"/>
  <c r="B132" i="18" l="1"/>
  <c r="A133" i="18"/>
  <c r="D132" i="18"/>
  <c r="F58" i="18"/>
  <c r="B133" i="18" l="1"/>
  <c r="D133" i="18"/>
  <c r="A134" i="18"/>
  <c r="G58" i="18"/>
  <c r="B134" i="18" l="1"/>
  <c r="D134" i="18"/>
  <c r="A135" i="18"/>
  <c r="I58" i="18"/>
  <c r="C59" i="18" s="1"/>
  <c r="B135" i="18" l="1"/>
  <c r="D135" i="18"/>
  <c r="A136" i="18"/>
  <c r="H59" i="18"/>
  <c r="J59" i="18" s="1"/>
  <c r="E59" i="18"/>
  <c r="D136" i="18" l="1"/>
  <c r="B136" i="18"/>
  <c r="A137" i="18"/>
  <c r="F59" i="18"/>
  <c r="A138" i="18" l="1"/>
  <c r="D137" i="18"/>
  <c r="B137" i="18"/>
  <c r="G59" i="18"/>
  <c r="B138" i="18" l="1"/>
  <c r="D138" i="18"/>
  <c r="A139" i="18"/>
  <c r="I59" i="18"/>
  <c r="C60" i="18" s="1"/>
  <c r="A140" i="18" l="1"/>
  <c r="B139" i="18"/>
  <c r="D139" i="18"/>
  <c r="H60" i="18"/>
  <c r="J60" i="18" s="1"/>
  <c r="E60" i="18"/>
  <c r="D140" i="18" l="1"/>
  <c r="B140" i="18"/>
  <c r="A141" i="18"/>
  <c r="F60" i="18"/>
  <c r="D141" i="18" l="1"/>
  <c r="B141" i="18"/>
  <c r="A142" i="18"/>
  <c r="G60" i="18"/>
  <c r="A143" i="18" l="1"/>
  <c r="D142" i="18"/>
  <c r="B142" i="18"/>
  <c r="I60" i="18"/>
  <c r="C61" i="18" s="1"/>
  <c r="A144" i="18" l="1"/>
  <c r="B143" i="18"/>
  <c r="D143" i="18"/>
  <c r="H61" i="18"/>
  <c r="J61" i="18" s="1"/>
  <c r="E61" i="18"/>
  <c r="A145" i="18" l="1"/>
  <c r="D144" i="18"/>
  <c r="B144" i="18"/>
  <c r="F61" i="18"/>
  <c r="D145" i="18" l="1"/>
  <c r="A146" i="18"/>
  <c r="B145" i="18"/>
  <c r="G61" i="18"/>
  <c r="A147" i="18" l="1"/>
  <c r="B146" i="18"/>
  <c r="D146" i="18"/>
  <c r="I61" i="18"/>
  <c r="C62" i="18" s="1"/>
  <c r="B147" i="18" l="1"/>
  <c r="D147" i="18"/>
  <c r="A148" i="18"/>
  <c r="H62" i="18"/>
  <c r="J62" i="18" s="1"/>
  <c r="E62" i="18"/>
  <c r="A149" i="18" l="1"/>
  <c r="B148" i="18"/>
  <c r="D148" i="18"/>
  <c r="F62" i="18"/>
  <c r="B149" i="18" l="1"/>
  <c r="A150" i="18"/>
  <c r="D149" i="18"/>
  <c r="G62" i="18"/>
  <c r="A151" i="18" l="1"/>
  <c r="D150" i="18"/>
  <c r="B150" i="18"/>
  <c r="I62" i="18"/>
  <c r="C63" i="18" s="1"/>
  <c r="D151" i="18" l="1"/>
  <c r="B151" i="18"/>
  <c r="A152" i="18"/>
  <c r="H63" i="18"/>
  <c r="J63" i="18" s="1"/>
  <c r="E63" i="18"/>
  <c r="B152" i="18" l="1"/>
  <c r="D152" i="18"/>
  <c r="A153" i="18"/>
  <c r="F63" i="18"/>
  <c r="D153" i="18" l="1"/>
  <c r="B153" i="18"/>
  <c r="A154" i="18"/>
  <c r="G63" i="18"/>
  <c r="A155" i="18" l="1"/>
  <c r="B154" i="18"/>
  <c r="D154" i="18"/>
  <c r="I63" i="18"/>
  <c r="C64" i="18" s="1"/>
  <c r="D155" i="18" l="1"/>
  <c r="A156" i="18"/>
  <c r="B155" i="18"/>
  <c r="H64" i="18"/>
  <c r="J64" i="18" s="1"/>
  <c r="E64" i="18"/>
  <c r="B156" i="18" l="1"/>
  <c r="D156" i="18"/>
  <c r="A157" i="18"/>
  <c r="F64" i="18"/>
  <c r="B157" i="18" l="1"/>
  <c r="D157" i="18"/>
  <c r="A158" i="18"/>
  <c r="G64" i="18"/>
  <c r="B158" i="18" l="1"/>
  <c r="D158" i="18"/>
  <c r="A159" i="18"/>
  <c r="I64" i="18"/>
  <c r="C65" i="18" s="1"/>
  <c r="A160" i="18" l="1"/>
  <c r="D159" i="18"/>
  <c r="B159" i="18"/>
  <c r="H65" i="18"/>
  <c r="J65" i="18" s="1"/>
  <c r="E65" i="18"/>
  <c r="A161" i="18" l="1"/>
  <c r="B160" i="18"/>
  <c r="D160" i="18"/>
  <c r="F65" i="18"/>
  <c r="A162" i="18" l="1"/>
  <c r="D161" i="18"/>
  <c r="B161" i="18"/>
  <c r="G65" i="18"/>
  <c r="A163" i="18" l="1"/>
  <c r="D162" i="18"/>
  <c r="B162" i="18"/>
  <c r="I65" i="18"/>
  <c r="C66" i="18" s="1"/>
  <c r="D163" i="18" l="1"/>
  <c r="A164" i="18"/>
  <c r="B163" i="18"/>
  <c r="E66" i="18"/>
  <c r="H66" i="18"/>
  <c r="J66" i="18" s="1"/>
  <c r="B164" i="18" l="1"/>
  <c r="D164" i="18"/>
  <c r="A165" i="18"/>
  <c r="F66" i="18"/>
  <c r="A166" i="18" l="1"/>
  <c r="D165" i="18"/>
  <c r="B165" i="18"/>
  <c r="G66" i="18"/>
  <c r="B166" i="18" l="1"/>
  <c r="D166" i="18"/>
  <c r="A167" i="18"/>
  <c r="I66" i="18"/>
  <c r="C67" i="18" s="1"/>
  <c r="A168" i="18" l="1"/>
  <c r="D167" i="18"/>
  <c r="B167" i="18"/>
  <c r="H67" i="18"/>
  <c r="J67" i="18" s="1"/>
  <c r="E67" i="18"/>
  <c r="D168" i="18" l="1"/>
  <c r="B168" i="18"/>
  <c r="A169" i="18"/>
  <c r="F67" i="18"/>
  <c r="A170" i="18" l="1"/>
  <c r="B169" i="18"/>
  <c r="D169" i="18"/>
  <c r="G67" i="18"/>
  <c r="D170" i="18" l="1"/>
  <c r="A171" i="18"/>
  <c r="B170" i="18"/>
  <c r="I67" i="18"/>
  <c r="C68" i="18" s="1"/>
  <c r="A172" i="18" l="1"/>
  <c r="B171" i="18"/>
  <c r="D171" i="18"/>
  <c r="H68" i="18"/>
  <c r="J68" i="18" s="1"/>
  <c r="E68" i="18"/>
  <c r="D172" i="18" l="1"/>
  <c r="B172" i="18"/>
  <c r="A173" i="18"/>
  <c r="F68" i="18"/>
  <c r="B173" i="18" l="1"/>
  <c r="D173" i="18"/>
  <c r="A174" i="18"/>
  <c r="G68" i="18"/>
  <c r="D174" i="18" l="1"/>
  <c r="B174" i="18"/>
  <c r="A175" i="18"/>
  <c r="I68" i="18"/>
  <c r="C69" i="18" s="1"/>
  <c r="A176" i="18" l="1"/>
  <c r="D175" i="18"/>
  <c r="B175" i="18"/>
  <c r="H69" i="18"/>
  <c r="J69" i="18" s="1"/>
  <c r="E69" i="18"/>
  <c r="B176" i="18" l="1"/>
  <c r="D176" i="18"/>
  <c r="A177" i="18"/>
  <c r="F69" i="18"/>
  <c r="B177" i="18" l="1"/>
  <c r="A178" i="18"/>
  <c r="D177" i="18"/>
  <c r="G69" i="18"/>
  <c r="A179" i="18" l="1"/>
  <c r="D178" i="18"/>
  <c r="B178" i="18"/>
  <c r="I69" i="18"/>
  <c r="C70" i="18" s="1"/>
  <c r="B179" i="18" l="1"/>
  <c r="D179" i="18"/>
  <c r="A180" i="18"/>
  <c r="H70" i="18"/>
  <c r="J70" i="18" s="1"/>
  <c r="E70" i="18"/>
  <c r="B180" i="18" l="1"/>
  <c r="A181" i="18"/>
  <c r="D180" i="18"/>
  <c r="F70" i="18"/>
  <c r="D181" i="18" l="1"/>
  <c r="B181" i="18"/>
  <c r="A182" i="18"/>
  <c r="G70" i="18"/>
  <c r="D182" i="18" l="1"/>
  <c r="A183" i="18"/>
  <c r="B182" i="18"/>
  <c r="I70" i="18"/>
  <c r="C71" i="18" s="1"/>
  <c r="A184" i="18" l="1"/>
  <c r="B183" i="18"/>
  <c r="D183" i="18"/>
  <c r="H71" i="18"/>
  <c r="J71" i="18" s="1"/>
  <c r="E71" i="18"/>
  <c r="A185" i="18" l="1"/>
  <c r="D184" i="18"/>
  <c r="B184" i="18"/>
  <c r="F71" i="18"/>
  <c r="D185" i="18" l="1"/>
  <c r="B185" i="18"/>
  <c r="A186" i="18"/>
  <c r="G71" i="18"/>
  <c r="A187" i="18" l="1"/>
  <c r="B186" i="18"/>
  <c r="D186" i="18"/>
  <c r="I71" i="18"/>
  <c r="C72" i="18" s="1"/>
  <c r="B187" i="18" l="1"/>
  <c r="D187" i="18"/>
  <c r="A188" i="18"/>
  <c r="H72" i="18"/>
  <c r="J72" i="18" s="1"/>
  <c r="E72" i="18"/>
  <c r="B188" i="18" l="1"/>
  <c r="A189" i="18"/>
  <c r="D188" i="18"/>
  <c r="F72" i="18"/>
  <c r="A190" i="18" l="1"/>
  <c r="B189" i="18"/>
  <c r="D189" i="18"/>
  <c r="G72" i="18"/>
  <c r="A191" i="18" l="1"/>
  <c r="D190" i="18"/>
  <c r="B190" i="18"/>
  <c r="I72" i="18"/>
  <c r="C73" i="18" s="1"/>
  <c r="B191" i="18" l="1"/>
  <c r="D191" i="18"/>
  <c r="A192" i="18"/>
  <c r="H73" i="18"/>
  <c r="J73" i="18" s="1"/>
  <c r="E73" i="18"/>
  <c r="A193" i="18" l="1"/>
  <c r="D192" i="18"/>
  <c r="B192" i="18"/>
  <c r="F73" i="18"/>
  <c r="D193" i="18" l="1"/>
  <c r="B193" i="18"/>
  <c r="A194" i="18"/>
  <c r="G73" i="18"/>
  <c r="B194" i="18" l="1"/>
  <c r="D194" i="18"/>
  <c r="A195" i="18"/>
  <c r="I73" i="18"/>
  <c r="C74" i="18" s="1"/>
  <c r="A196" i="18" l="1"/>
  <c r="D195" i="18"/>
  <c r="B195" i="18"/>
  <c r="H74" i="18"/>
  <c r="J74" i="18" s="1"/>
  <c r="E74" i="18"/>
  <c r="D196" i="18" l="1"/>
  <c r="B196" i="18"/>
  <c r="A197" i="18"/>
  <c r="F74" i="18"/>
  <c r="D197" i="18" l="1"/>
  <c r="A198" i="18"/>
  <c r="B197" i="18"/>
  <c r="G74" i="18"/>
  <c r="D198" i="18" l="1"/>
  <c r="B198" i="18"/>
  <c r="A199" i="18"/>
  <c r="I74" i="18"/>
  <c r="C75" i="18" s="1"/>
  <c r="A200" i="18" l="1"/>
  <c r="B199" i="18"/>
  <c r="D199" i="18"/>
  <c r="E75" i="18"/>
  <c r="H75" i="18"/>
  <c r="J75" i="18" s="1"/>
  <c r="B200" i="18" l="1"/>
  <c r="D200" i="18"/>
  <c r="A201" i="18"/>
  <c r="F75" i="18"/>
  <c r="B201" i="18" l="1"/>
  <c r="D201" i="18"/>
  <c r="A202" i="18"/>
  <c r="G75" i="18"/>
  <c r="B202" i="18" l="1"/>
  <c r="D202" i="18"/>
  <c r="A203" i="18"/>
  <c r="I75" i="18"/>
  <c r="C76" i="18" s="1"/>
  <c r="D203" i="18" l="1"/>
  <c r="B203" i="18"/>
  <c r="A204" i="18"/>
  <c r="E76" i="18"/>
  <c r="H76" i="18"/>
  <c r="J76" i="18" s="1"/>
  <c r="D204" i="18" l="1"/>
  <c r="B204" i="18"/>
  <c r="A205" i="18"/>
  <c r="F76" i="18"/>
  <c r="A206" i="18" l="1"/>
  <c r="D205" i="18"/>
  <c r="B205" i="18"/>
  <c r="G76" i="18"/>
  <c r="D206" i="18" l="1"/>
  <c r="A207" i="18"/>
  <c r="B206" i="18"/>
  <c r="I76" i="18"/>
  <c r="C77" i="18" s="1"/>
  <c r="A208" i="18" l="1"/>
  <c r="B207" i="18"/>
  <c r="D207" i="18"/>
  <c r="H77" i="18"/>
  <c r="J77" i="18" s="1"/>
  <c r="E77" i="18"/>
  <c r="D208" i="18" l="1"/>
  <c r="B208" i="18"/>
  <c r="A209" i="18"/>
  <c r="F77" i="18"/>
  <c r="D209" i="18" l="1"/>
  <c r="B209" i="18"/>
  <c r="A210" i="18"/>
  <c r="G77" i="18"/>
  <c r="A211" i="18" l="1"/>
  <c r="D210" i="18"/>
  <c r="B210" i="18"/>
  <c r="I77" i="18"/>
  <c r="C78" i="18" s="1"/>
  <c r="A212" i="18" l="1"/>
  <c r="D211" i="18"/>
  <c r="B211" i="18"/>
  <c r="H78" i="18"/>
  <c r="J78" i="18" s="1"/>
  <c r="E78" i="18"/>
  <c r="A213" i="18" l="1"/>
  <c r="B212" i="18"/>
  <c r="D212" i="18"/>
  <c r="F78" i="18"/>
  <c r="A214" i="18" l="1"/>
  <c r="B213" i="18"/>
  <c r="D213" i="18"/>
  <c r="G78" i="18"/>
  <c r="A215" i="18" l="1"/>
  <c r="D214" i="18"/>
  <c r="B214" i="18"/>
  <c r="I78" i="18"/>
  <c r="C79" i="18" s="1"/>
  <c r="A216" i="18" l="1"/>
  <c r="D215" i="18"/>
  <c r="B215" i="18"/>
  <c r="E79" i="18"/>
  <c r="H79" i="18"/>
  <c r="J79" i="18" s="1"/>
  <c r="D216" i="18" l="1"/>
  <c r="B216" i="18"/>
  <c r="A217" i="18"/>
  <c r="F79" i="18"/>
  <c r="D217" i="18" l="1"/>
  <c r="B217" i="18"/>
  <c r="A218" i="18"/>
  <c r="G79" i="18"/>
  <c r="D218" i="18" l="1"/>
  <c r="A219" i="18"/>
  <c r="B218" i="18"/>
  <c r="I79" i="18"/>
  <c r="C80" i="18" s="1"/>
  <c r="A220" i="18" l="1"/>
  <c r="D219" i="18"/>
  <c r="B219" i="18"/>
  <c r="E80" i="18"/>
  <c r="H80" i="18"/>
  <c r="J80" i="18" s="1"/>
  <c r="D220" i="18" l="1"/>
  <c r="A221" i="18"/>
  <c r="B220" i="18"/>
  <c r="F80" i="18"/>
  <c r="B221" i="18" l="1"/>
  <c r="D221" i="18"/>
  <c r="A222" i="18"/>
  <c r="G80" i="18"/>
  <c r="B222" i="18" l="1"/>
  <c r="A223" i="18"/>
  <c r="D222" i="18"/>
  <c r="I80" i="18"/>
  <c r="C81" i="18" s="1"/>
  <c r="D223" i="18" l="1"/>
  <c r="A224" i="18"/>
  <c r="B223" i="18"/>
  <c r="H81" i="18"/>
  <c r="J81" i="18" s="1"/>
  <c r="E81" i="18"/>
  <c r="A225" i="18" l="1"/>
  <c r="B224" i="18"/>
  <c r="D224" i="18"/>
  <c r="F81" i="18"/>
  <c r="B225" i="18" l="1"/>
  <c r="A226" i="18"/>
  <c r="D225" i="18"/>
  <c r="G81" i="18"/>
  <c r="D226" i="18" l="1"/>
  <c r="B226" i="18"/>
  <c r="A227" i="18"/>
  <c r="I81" i="18"/>
  <c r="C82" i="18" s="1"/>
  <c r="A228" i="18" l="1"/>
  <c r="B227" i="18"/>
  <c r="D227" i="18"/>
  <c r="H82" i="18"/>
  <c r="J82" i="18" s="1"/>
  <c r="E82" i="18"/>
  <c r="A229" i="18" l="1"/>
  <c r="D228" i="18"/>
  <c r="B228" i="18"/>
  <c r="F82" i="18"/>
  <c r="B229" i="18" l="1"/>
  <c r="D229" i="18"/>
  <c r="A230" i="18"/>
  <c r="G82" i="18"/>
  <c r="D230" i="18" l="1"/>
  <c r="B230" i="18"/>
  <c r="A231" i="18"/>
  <c r="I82" i="18"/>
  <c r="C83" i="18" s="1"/>
  <c r="B231" i="18" l="1"/>
  <c r="D231" i="18"/>
  <c r="A232" i="18"/>
  <c r="H83" i="18"/>
  <c r="J83" i="18" s="1"/>
  <c r="E83" i="18"/>
  <c r="A233" i="18" l="1"/>
  <c r="B232" i="18"/>
  <c r="D232" i="18"/>
  <c r="F83" i="18"/>
  <c r="A234" i="18" l="1"/>
  <c r="D233" i="18"/>
  <c r="B233" i="18"/>
  <c r="G83" i="18"/>
  <c r="A235" i="18" l="1"/>
  <c r="B234" i="18"/>
  <c r="D234" i="18"/>
  <c r="I83" i="18"/>
  <c r="C84" i="18" s="1"/>
  <c r="D235" i="18" l="1"/>
  <c r="A236" i="18"/>
  <c r="B235" i="18"/>
  <c r="E84" i="18"/>
  <c r="H84" i="18"/>
  <c r="J84" i="18" s="1"/>
  <c r="B236" i="18" l="1"/>
  <c r="D236" i="18"/>
  <c r="A237" i="18"/>
  <c r="F84" i="18"/>
  <c r="D237" i="18" l="1"/>
  <c r="A238" i="18"/>
  <c r="B237" i="18"/>
  <c r="G84" i="18"/>
  <c r="D238" i="18" l="1"/>
  <c r="B238" i="18"/>
  <c r="A239" i="18"/>
  <c r="I84" i="18"/>
  <c r="C85" i="18" s="1"/>
  <c r="D239" i="18" l="1"/>
  <c r="A240" i="18"/>
  <c r="B239" i="18"/>
  <c r="E85" i="18"/>
  <c r="H85" i="18"/>
  <c r="J85" i="18" s="1"/>
  <c r="A241" i="18" l="1"/>
  <c r="D240" i="18"/>
  <c r="B240" i="18"/>
  <c r="F85" i="18"/>
  <c r="D241" i="18" l="1"/>
  <c r="A242" i="18"/>
  <c r="B241" i="18"/>
  <c r="G85" i="18"/>
  <c r="B242" i="18" l="1"/>
  <c r="D242" i="18"/>
  <c r="A243" i="18"/>
  <c r="I85" i="18"/>
  <c r="C86" i="18" s="1"/>
  <c r="B243" i="18" l="1"/>
  <c r="A244" i="18"/>
  <c r="D243" i="18"/>
  <c r="H86" i="18"/>
  <c r="J86" i="18" s="1"/>
  <c r="E86" i="18"/>
  <c r="D244" i="18" l="1"/>
  <c r="A245" i="18"/>
  <c r="B244" i="18"/>
  <c r="F86" i="18"/>
  <c r="A246" i="18" l="1"/>
  <c r="B245" i="18"/>
  <c r="D245" i="18"/>
  <c r="G86" i="18"/>
  <c r="D246" i="18" l="1"/>
  <c r="A247" i="18"/>
  <c r="B246" i="18"/>
  <c r="I86" i="18"/>
  <c r="C87" i="18" s="1"/>
  <c r="D247" i="18" l="1"/>
  <c r="A248" i="18"/>
  <c r="B247" i="18"/>
  <c r="E87" i="18"/>
  <c r="H87" i="18"/>
  <c r="J87" i="18" s="1"/>
  <c r="B248" i="18" l="1"/>
  <c r="A249" i="18"/>
  <c r="D248" i="18"/>
  <c r="F87" i="18"/>
  <c r="A250" i="18" l="1"/>
  <c r="B249" i="18"/>
  <c r="D249" i="18"/>
  <c r="G87" i="18"/>
  <c r="A251" i="18" l="1"/>
  <c r="D250" i="18"/>
  <c r="B250" i="18"/>
  <c r="I87" i="18"/>
  <c r="C88" i="18" s="1"/>
  <c r="D251" i="18" l="1"/>
  <c r="A252" i="18"/>
  <c r="B251" i="18"/>
  <c r="H88" i="18"/>
  <c r="J88" i="18" s="1"/>
  <c r="E88" i="18"/>
  <c r="B252" i="18" l="1"/>
  <c r="D252" i="18"/>
  <c r="A253" i="18"/>
  <c r="F88" i="18"/>
  <c r="D253" i="18" l="1"/>
  <c r="B253" i="18"/>
  <c r="A254" i="18"/>
  <c r="G88" i="18"/>
  <c r="D254" i="18" l="1"/>
  <c r="B254" i="18"/>
  <c r="A255" i="18"/>
  <c r="I88" i="18"/>
  <c r="C89" i="18" s="1"/>
  <c r="D255" i="18" l="1"/>
  <c r="A256" i="18"/>
  <c r="B255" i="18"/>
  <c r="H89" i="18"/>
  <c r="J89" i="18" s="1"/>
  <c r="E89" i="18"/>
  <c r="D256" i="18" l="1"/>
  <c r="A257" i="18"/>
  <c r="B256" i="18"/>
  <c r="F89" i="18"/>
  <c r="A258" i="18" l="1"/>
  <c r="D257" i="18"/>
  <c r="B257" i="18"/>
  <c r="G89" i="18"/>
  <c r="A259" i="18" l="1"/>
  <c r="D258" i="18"/>
  <c r="B258" i="18"/>
  <c r="I89" i="18"/>
  <c r="C90" i="18" s="1"/>
  <c r="A260" i="18" l="1"/>
  <c r="D259" i="18"/>
  <c r="B259" i="18"/>
  <c r="E90" i="18"/>
  <c r="H90" i="18"/>
  <c r="J90" i="18" s="1"/>
  <c r="D260" i="18" l="1"/>
  <c r="A261" i="18"/>
  <c r="B260" i="18"/>
  <c r="F90" i="18"/>
  <c r="D261" i="18" l="1"/>
  <c r="A262" i="18"/>
  <c r="B261" i="18"/>
  <c r="G90" i="18"/>
  <c r="B262" i="18" l="1"/>
  <c r="D262" i="18"/>
  <c r="A263" i="18"/>
  <c r="I90" i="18"/>
  <c r="C91" i="18" s="1"/>
  <c r="D263" i="18" l="1"/>
  <c r="A264" i="18"/>
  <c r="B263" i="18"/>
  <c r="E91" i="18"/>
  <c r="H91" i="18"/>
  <c r="J91" i="18" s="1"/>
  <c r="D264" i="18" l="1"/>
  <c r="A265" i="18"/>
  <c r="B264" i="18"/>
  <c r="F91" i="18"/>
  <c r="A266" i="18" l="1"/>
  <c r="B265" i="18"/>
  <c r="D265" i="18"/>
  <c r="G91" i="18"/>
  <c r="B266" i="18" l="1"/>
  <c r="D266" i="18"/>
  <c r="A267" i="18"/>
  <c r="I91" i="18"/>
  <c r="C92" i="18" s="1"/>
  <c r="A268" i="18" l="1"/>
  <c r="B267" i="18"/>
  <c r="D267" i="18"/>
  <c r="E92" i="18"/>
  <c r="H92" i="18"/>
  <c r="J92" i="18" s="1"/>
  <c r="D268" i="18" l="1"/>
  <c r="B268" i="18"/>
  <c r="A269" i="18"/>
  <c r="F92" i="18"/>
  <c r="B269" i="18" l="1"/>
  <c r="D269" i="18"/>
  <c r="A270" i="18"/>
  <c r="G92" i="18"/>
  <c r="A271" i="18" l="1"/>
  <c r="B270" i="18"/>
  <c r="D270" i="18"/>
  <c r="I92" i="18"/>
  <c r="C93" i="18" s="1"/>
  <c r="B271" i="18" l="1"/>
  <c r="A272" i="18"/>
  <c r="D271" i="18"/>
  <c r="H93" i="18"/>
  <c r="J93" i="18" s="1"/>
  <c r="E93" i="18"/>
  <c r="A273" i="18" l="1"/>
  <c r="D272" i="18"/>
  <c r="B272" i="18"/>
  <c r="F93" i="18"/>
  <c r="D273" i="18" l="1"/>
  <c r="A274" i="18"/>
  <c r="B273" i="18"/>
  <c r="G93" i="18"/>
  <c r="A275" i="18" l="1"/>
  <c r="B274" i="18"/>
  <c r="D274" i="18"/>
  <c r="I93" i="18"/>
  <c r="C94" i="18" s="1"/>
  <c r="D275" i="18" l="1"/>
  <c r="A276" i="18"/>
  <c r="B275" i="18"/>
  <c r="E94" i="18"/>
  <c r="H94" i="18"/>
  <c r="J94" i="18" s="1"/>
  <c r="A277" i="18" l="1"/>
  <c r="D276" i="18"/>
  <c r="B276" i="18"/>
  <c r="F94" i="18"/>
  <c r="A278" i="18" l="1"/>
  <c r="B277" i="18"/>
  <c r="D277" i="18"/>
  <c r="G94" i="18"/>
  <c r="A279" i="18" l="1"/>
  <c r="D278" i="18"/>
  <c r="B278" i="18"/>
  <c r="I94" i="18"/>
  <c r="C95" i="18" s="1"/>
  <c r="D279" i="18" l="1"/>
  <c r="A280" i="18"/>
  <c r="B279" i="18"/>
  <c r="E95" i="18"/>
  <c r="H95" i="18"/>
  <c r="J95" i="18" s="1"/>
  <c r="A281" i="18" l="1"/>
  <c r="B280" i="18"/>
  <c r="D280" i="18"/>
  <c r="F95" i="18"/>
  <c r="A282" i="18" l="1"/>
  <c r="D281" i="18"/>
  <c r="B281" i="18"/>
  <c r="G95" i="18"/>
  <c r="D282" i="18" l="1"/>
  <c r="A283" i="18"/>
  <c r="B282" i="18"/>
  <c r="I95" i="18"/>
  <c r="C96" i="18" s="1"/>
  <c r="D283" i="18" l="1"/>
  <c r="B283" i="18"/>
  <c r="A284" i="18"/>
  <c r="H96" i="18"/>
  <c r="J96" i="18" s="1"/>
  <c r="E96" i="18"/>
  <c r="B284" i="18" l="1"/>
  <c r="A285" i="18"/>
  <c r="D284" i="18"/>
  <c r="F96" i="18"/>
  <c r="A286" i="18" l="1"/>
  <c r="D285" i="18"/>
  <c r="B285" i="18"/>
  <c r="G96" i="18"/>
  <c r="D286" i="18" l="1"/>
  <c r="B286" i="18"/>
  <c r="A287" i="18"/>
  <c r="I96" i="18"/>
  <c r="C97" i="18" s="1"/>
  <c r="D287" i="18" l="1"/>
  <c r="A288" i="18"/>
  <c r="B287" i="18"/>
  <c r="E97" i="18"/>
  <c r="H97" i="18"/>
  <c r="J97" i="18" s="1"/>
  <c r="A289" i="18" l="1"/>
  <c r="D288" i="18"/>
  <c r="B288" i="18"/>
  <c r="F97" i="18"/>
  <c r="A290" i="18" l="1"/>
  <c r="B289" i="18"/>
  <c r="D289" i="18"/>
  <c r="G97" i="18"/>
  <c r="B290" i="18" l="1"/>
  <c r="A291" i="18"/>
  <c r="D290" i="18"/>
  <c r="I97" i="18"/>
  <c r="C98" i="18" s="1"/>
  <c r="B291" i="18" l="1"/>
  <c r="A292" i="18"/>
  <c r="D291" i="18"/>
  <c r="H98" i="18"/>
  <c r="J98" i="18" s="1"/>
  <c r="E98" i="18"/>
  <c r="D292" i="18" l="1"/>
  <c r="B292" i="18"/>
  <c r="A293" i="18"/>
  <c r="F98" i="18"/>
  <c r="B293" i="18" l="1"/>
  <c r="D293" i="18"/>
  <c r="A294" i="18"/>
  <c r="G98" i="18"/>
  <c r="A295" i="18" l="1"/>
  <c r="D294" i="18"/>
  <c r="B294" i="18"/>
  <c r="I98" i="18"/>
  <c r="C99" i="18" s="1"/>
  <c r="B295" i="18" l="1"/>
  <c r="A296" i="18"/>
  <c r="D295" i="18"/>
  <c r="H99" i="18"/>
  <c r="J99" i="18" s="1"/>
  <c r="E99" i="18"/>
  <c r="B296" i="18" l="1"/>
  <c r="D296" i="18"/>
  <c r="A297" i="18"/>
  <c r="F99" i="18"/>
  <c r="D297" i="18" l="1"/>
  <c r="A298" i="18"/>
  <c r="B297" i="18"/>
  <c r="G99" i="18"/>
  <c r="A299" i="18" l="1"/>
  <c r="D298" i="18"/>
  <c r="B298" i="18"/>
  <c r="I99" i="18"/>
  <c r="C100" i="18" s="1"/>
  <c r="D299" i="18" l="1"/>
  <c r="A300" i="18"/>
  <c r="B299" i="18"/>
  <c r="H100" i="18"/>
  <c r="J100" i="18" s="1"/>
  <c r="E100" i="18"/>
  <c r="A301" i="18" l="1"/>
  <c r="D300" i="18"/>
  <c r="B300" i="18"/>
  <c r="F100" i="18"/>
  <c r="A302" i="18" l="1"/>
  <c r="D301" i="18"/>
  <c r="B301" i="18"/>
  <c r="G100" i="18"/>
  <c r="D302" i="18" l="1"/>
  <c r="B302" i="18"/>
  <c r="A303" i="18"/>
  <c r="I100" i="18"/>
  <c r="C101" i="18" s="1"/>
  <c r="A304" i="18" l="1"/>
  <c r="B303" i="18"/>
  <c r="D303" i="18"/>
  <c r="H101" i="18"/>
  <c r="J101" i="18" s="1"/>
  <c r="E101" i="18"/>
  <c r="D304" i="18" l="1"/>
  <c r="B304" i="18"/>
  <c r="A305" i="18"/>
  <c r="F101" i="18"/>
  <c r="A306" i="18" l="1"/>
  <c r="B305" i="18"/>
  <c r="D305" i="18"/>
  <c r="G101" i="18"/>
  <c r="A307" i="18" l="1"/>
  <c r="B306" i="18"/>
  <c r="D306" i="18"/>
  <c r="I101" i="18"/>
  <c r="C102" i="18" s="1"/>
  <c r="B307" i="18" l="1"/>
  <c r="D307" i="18"/>
  <c r="A308" i="18"/>
  <c r="H102" i="18"/>
  <c r="J102" i="18" s="1"/>
  <c r="E102" i="18"/>
  <c r="D308" i="18" l="1"/>
  <c r="A309" i="18"/>
  <c r="B308" i="18"/>
  <c r="F102" i="18"/>
  <c r="A310" i="18" l="1"/>
  <c r="B309" i="18"/>
  <c r="D309" i="18"/>
  <c r="G102" i="18"/>
  <c r="D310" i="18" l="1"/>
  <c r="A311" i="18"/>
  <c r="B310" i="18"/>
  <c r="I102" i="18"/>
  <c r="C103" i="18" s="1"/>
  <c r="B311" i="18" l="1"/>
  <c r="A312" i="18"/>
  <c r="D311" i="18"/>
  <c r="H103" i="18"/>
  <c r="J103" i="18" s="1"/>
  <c r="E103" i="18"/>
  <c r="A313" i="18" l="1"/>
  <c r="B312" i="18"/>
  <c r="D312" i="18"/>
  <c r="F103" i="18"/>
  <c r="A314" i="18" l="1"/>
  <c r="B313" i="18"/>
  <c r="D313" i="18"/>
  <c r="G103" i="18"/>
  <c r="A315" i="18" l="1"/>
  <c r="D314" i="18"/>
  <c r="B314" i="18"/>
  <c r="I103" i="18"/>
  <c r="C104" i="18" s="1"/>
  <c r="B315" i="18" l="1"/>
  <c r="A316" i="18"/>
  <c r="D315" i="18"/>
  <c r="H104" i="18"/>
  <c r="J104" i="18" s="1"/>
  <c r="E104" i="18"/>
  <c r="A317" i="18" l="1"/>
  <c r="D316" i="18"/>
  <c r="B316" i="18"/>
  <c r="F104" i="18"/>
  <c r="A318" i="18" l="1"/>
  <c r="B317" i="18"/>
  <c r="D317" i="18"/>
  <c r="G104" i="18"/>
  <c r="B318" i="18" l="1"/>
  <c r="A319" i="18"/>
  <c r="D318" i="18"/>
  <c r="I104" i="18"/>
  <c r="C105" i="18" s="1"/>
  <c r="A320" i="18" l="1"/>
  <c r="D319" i="18"/>
  <c r="B319" i="18"/>
  <c r="H105" i="18"/>
  <c r="J105" i="18" s="1"/>
  <c r="E105" i="18"/>
  <c r="D320" i="18" l="1"/>
  <c r="B320" i="18"/>
  <c r="A321" i="18"/>
  <c r="F105" i="18"/>
  <c r="B321" i="18" l="1"/>
  <c r="D321" i="18"/>
  <c r="A322" i="18"/>
  <c r="G105" i="18"/>
  <c r="D322" i="18" l="1"/>
  <c r="A323" i="18"/>
  <c r="B322" i="18"/>
  <c r="I105" i="18"/>
  <c r="C106" i="18" s="1"/>
  <c r="A324" i="18" l="1"/>
  <c r="B323" i="18"/>
  <c r="D323" i="18"/>
  <c r="H106" i="18"/>
  <c r="J106" i="18" s="1"/>
  <c r="E106" i="18"/>
  <c r="D324" i="18" l="1"/>
  <c r="A325" i="18"/>
  <c r="B324" i="18"/>
  <c r="F106" i="18"/>
  <c r="D325" i="18" l="1"/>
  <c r="B325" i="18"/>
  <c r="A326" i="18"/>
  <c r="G106" i="18"/>
  <c r="D326" i="18" l="1"/>
  <c r="B326" i="18"/>
  <c r="A327" i="18"/>
  <c r="I106" i="18"/>
  <c r="C107" i="18" s="1"/>
  <c r="B327" i="18" l="1"/>
  <c r="D327" i="18"/>
  <c r="A328" i="18"/>
  <c r="H107" i="18"/>
  <c r="J107" i="18" s="1"/>
  <c r="E107" i="18"/>
  <c r="A329" i="18" l="1"/>
  <c r="D328" i="18"/>
  <c r="B328" i="18"/>
  <c r="F107" i="18"/>
  <c r="B329" i="18" l="1"/>
  <c r="D329" i="18"/>
  <c r="A330" i="18"/>
  <c r="G107" i="18"/>
  <c r="A331" i="18" l="1"/>
  <c r="B330" i="18"/>
  <c r="D330" i="18"/>
  <c r="I107" i="18"/>
  <c r="C108" i="18" s="1"/>
  <c r="B331" i="18" l="1"/>
  <c r="D331" i="18"/>
  <c r="A332" i="18"/>
  <c r="H108" i="18"/>
  <c r="J108" i="18" s="1"/>
  <c r="E108" i="18"/>
  <c r="B332" i="18" l="1"/>
  <c r="A333" i="18"/>
  <c r="D332" i="18"/>
  <c r="F108" i="18"/>
  <c r="A334" i="18" l="1"/>
  <c r="B333" i="18"/>
  <c r="D333" i="18"/>
  <c r="G108" i="18"/>
  <c r="D334" i="18" l="1"/>
  <c r="B334" i="18"/>
  <c r="A335" i="18"/>
  <c r="I108" i="18"/>
  <c r="C109" i="18" s="1"/>
  <c r="A336" i="18" l="1"/>
  <c r="D335" i="18"/>
  <c r="B335" i="18"/>
  <c r="H109" i="18"/>
  <c r="J109" i="18" s="1"/>
  <c r="E109" i="18"/>
  <c r="B336" i="18" l="1"/>
  <c r="A337" i="18"/>
  <c r="D336" i="18"/>
  <c r="F109" i="18"/>
  <c r="B337" i="18" l="1"/>
  <c r="D337" i="18"/>
  <c r="A338" i="18"/>
  <c r="G109" i="18"/>
  <c r="B338" i="18" l="1"/>
  <c r="D338" i="18"/>
  <c r="A339" i="18"/>
  <c r="I109" i="18"/>
  <c r="C110" i="18" s="1"/>
  <c r="A340" i="18" l="1"/>
  <c r="B339" i="18"/>
  <c r="D339" i="18"/>
  <c r="E110" i="18"/>
  <c r="H110" i="18"/>
  <c r="J110" i="18" s="1"/>
  <c r="D340" i="18" l="1"/>
  <c r="A341" i="18"/>
  <c r="B340" i="18"/>
  <c r="F110" i="18"/>
  <c r="B341" i="18" l="1"/>
  <c r="A342" i="18"/>
  <c r="D341" i="18"/>
  <c r="G110" i="18"/>
  <c r="D342" i="18" l="1"/>
  <c r="B342" i="18"/>
  <c r="A343" i="18"/>
  <c r="I110" i="18"/>
  <c r="C111" i="18" s="1"/>
  <c r="B343" i="18" l="1"/>
  <c r="D343" i="18"/>
  <c r="A344" i="18"/>
  <c r="H111" i="18"/>
  <c r="J111" i="18" s="1"/>
  <c r="E111" i="18"/>
  <c r="B344" i="18" l="1"/>
  <c r="D344" i="18"/>
  <c r="A345" i="18"/>
  <c r="F111" i="18"/>
  <c r="B345" i="18" l="1"/>
  <c r="D345" i="18"/>
  <c r="A346" i="18"/>
  <c r="G111" i="18"/>
  <c r="A347" i="18" l="1"/>
  <c r="B346" i="18"/>
  <c r="D346" i="18"/>
  <c r="I111" i="18"/>
  <c r="C112" i="18" s="1"/>
  <c r="A348" i="18" l="1"/>
  <c r="B347" i="18"/>
  <c r="D347" i="18"/>
  <c r="E112" i="18"/>
  <c r="H112" i="18"/>
  <c r="J112" i="18" s="1"/>
  <c r="D348" i="18" l="1"/>
  <c r="B348" i="18"/>
  <c r="A349" i="18"/>
  <c r="F112" i="18"/>
  <c r="B349" i="18" l="1"/>
  <c r="D349" i="18"/>
  <c r="A350" i="18"/>
  <c r="G112" i="18"/>
  <c r="D350" i="18" l="1"/>
  <c r="A351" i="18"/>
  <c r="B350" i="18"/>
  <c r="I112" i="18"/>
  <c r="C113" i="18" s="1"/>
  <c r="A352" i="18" l="1"/>
  <c r="D351" i="18"/>
  <c r="B351" i="18"/>
  <c r="H113" i="18"/>
  <c r="J113" i="18" s="1"/>
  <c r="E113" i="18"/>
  <c r="D352" i="18" l="1"/>
  <c r="B352" i="18"/>
  <c r="A353" i="18"/>
  <c r="F113" i="18"/>
  <c r="B353" i="18" l="1"/>
  <c r="D353" i="18"/>
  <c r="A354" i="18"/>
  <c r="G113" i="18"/>
  <c r="D354" i="18" l="1"/>
  <c r="B354" i="18"/>
  <c r="A355" i="18"/>
  <c r="I113" i="18"/>
  <c r="C114" i="18" s="1"/>
  <c r="A356" i="18" l="1"/>
  <c r="D355" i="18"/>
  <c r="B355" i="18"/>
  <c r="H114" i="18"/>
  <c r="J114" i="18" s="1"/>
  <c r="E114" i="18"/>
  <c r="B356" i="18" l="1"/>
  <c r="A357" i="18"/>
  <c r="D356" i="18"/>
  <c r="F114" i="18"/>
  <c r="B357" i="18" l="1"/>
  <c r="D357" i="18"/>
  <c r="A358" i="18"/>
  <c r="G114" i="18"/>
  <c r="D358" i="18" l="1"/>
  <c r="B358" i="18"/>
  <c r="A359" i="18"/>
  <c r="I114" i="18"/>
  <c r="C115" i="18" s="1"/>
  <c r="B359" i="18" l="1"/>
  <c r="A360" i="18"/>
  <c r="D359" i="18"/>
  <c r="H115" i="18"/>
  <c r="J115" i="18" s="1"/>
  <c r="E115" i="18"/>
  <c r="A361" i="18" l="1"/>
  <c r="B360" i="18"/>
  <c r="D360" i="18"/>
  <c r="F115" i="18"/>
  <c r="D361" i="18" l="1"/>
  <c r="B361" i="18"/>
  <c r="A362" i="18"/>
  <c r="G115" i="18"/>
  <c r="B362" i="18" l="1"/>
  <c r="A363" i="18"/>
  <c r="D362" i="18"/>
  <c r="I115" i="18"/>
  <c r="C116" i="18" s="1"/>
  <c r="B363" i="18" l="1"/>
  <c r="D363" i="18"/>
  <c r="A364" i="18"/>
  <c r="H116" i="18"/>
  <c r="J116" i="18" s="1"/>
  <c r="E116" i="18"/>
  <c r="A365" i="18" l="1"/>
  <c r="D364" i="18"/>
  <c r="B364" i="18"/>
  <c r="F116" i="18"/>
  <c r="A366" i="18" l="1"/>
  <c r="D365" i="18"/>
  <c r="B365" i="18"/>
  <c r="G116" i="18"/>
  <c r="B366" i="18" l="1"/>
  <c r="A367" i="18"/>
  <c r="D366" i="18"/>
  <c r="I116" i="18"/>
  <c r="C117" i="18" s="1"/>
  <c r="A368" i="18" l="1"/>
  <c r="B367" i="18"/>
  <c r="D367" i="18"/>
  <c r="H117" i="18"/>
  <c r="J117" i="18" s="1"/>
  <c r="E117" i="18"/>
  <c r="B368" i="18" l="1"/>
  <c r="D368" i="18"/>
  <c r="A369" i="18"/>
  <c r="F117" i="18"/>
  <c r="A370" i="18" l="1"/>
  <c r="D369" i="18"/>
  <c r="B369" i="18"/>
  <c r="G117" i="18"/>
  <c r="A371" i="18" l="1"/>
  <c r="B370" i="18"/>
  <c r="D370" i="18"/>
  <c r="I117" i="18"/>
  <c r="C118" i="18" s="1"/>
  <c r="B371" i="18" l="1"/>
  <c r="D371" i="18"/>
  <c r="A372" i="18"/>
  <c r="H118" i="18"/>
  <c r="J118" i="18" s="1"/>
  <c r="E118" i="18"/>
  <c r="A373" i="18" l="1"/>
  <c r="D372" i="18"/>
  <c r="B372" i="18"/>
  <c r="F118" i="18"/>
  <c r="B373" i="18" l="1"/>
  <c r="D373" i="18"/>
  <c r="A374" i="18"/>
  <c r="G118" i="18"/>
  <c r="A375" i="18" l="1"/>
  <c r="D374" i="18"/>
  <c r="B374" i="18"/>
  <c r="I118" i="18"/>
  <c r="C119" i="18" s="1"/>
  <c r="A376" i="18" l="1"/>
  <c r="B375" i="18"/>
  <c r="D375" i="18"/>
  <c r="H119" i="18"/>
  <c r="J119" i="18" s="1"/>
  <c r="E119" i="18"/>
  <c r="D376" i="18" l="1"/>
  <c r="A377" i="18"/>
  <c r="B376" i="18"/>
  <c r="F119" i="18"/>
  <c r="B377" i="18" l="1"/>
  <c r="D377" i="18"/>
  <c r="A378" i="18"/>
  <c r="G119" i="18"/>
  <c r="B378" i="18" l="1"/>
  <c r="A379" i="18"/>
  <c r="D378" i="18"/>
  <c r="I119" i="18"/>
  <c r="C120" i="18" s="1"/>
  <c r="B379" i="18" l="1"/>
  <c r="A380" i="18"/>
  <c r="D379" i="18"/>
  <c r="H120" i="18"/>
  <c r="J120" i="18" s="1"/>
  <c r="E120" i="18"/>
  <c r="B380" i="18" l="1"/>
  <c r="A381" i="18"/>
  <c r="D380" i="18"/>
  <c r="F120" i="18"/>
  <c r="A382" i="18" l="1"/>
  <c r="B381" i="18"/>
  <c r="D381" i="18"/>
  <c r="G120" i="18"/>
  <c r="D382" i="18" l="1"/>
  <c r="A383" i="18"/>
  <c r="B382" i="18"/>
  <c r="I120" i="18"/>
  <c r="C121" i="18" s="1"/>
  <c r="D383" i="18" l="1"/>
  <c r="A384" i="18"/>
  <c r="B383" i="18"/>
  <c r="H121" i="18"/>
  <c r="J121" i="18" s="1"/>
  <c r="E121" i="18"/>
  <c r="D384" i="18" l="1"/>
  <c r="B384" i="18"/>
  <c r="A385" i="18"/>
  <c r="F121" i="18"/>
  <c r="D385" i="18" l="1"/>
  <c r="B385" i="18"/>
  <c r="A386" i="18"/>
  <c r="G121" i="18"/>
  <c r="A387" i="18" l="1"/>
  <c r="D386" i="18"/>
  <c r="B386" i="18"/>
  <c r="I121" i="18"/>
  <c r="C122" i="18" s="1"/>
  <c r="B387" i="18" l="1"/>
  <c r="A388" i="18"/>
  <c r="D387" i="18"/>
  <c r="H122" i="18"/>
  <c r="J122" i="18" s="1"/>
  <c r="E122" i="18"/>
  <c r="A389" i="18" l="1"/>
  <c r="D388" i="18"/>
  <c r="B388" i="18"/>
  <c r="F122" i="18"/>
  <c r="D389" i="18" l="1"/>
  <c r="B389" i="18"/>
  <c r="A390" i="18"/>
  <c r="G122" i="18"/>
  <c r="B390" i="18" l="1"/>
  <c r="D390" i="18"/>
  <c r="A391" i="18"/>
  <c r="I122" i="18"/>
  <c r="C123" i="18" s="1"/>
  <c r="A392" i="18" l="1"/>
  <c r="D391" i="18"/>
  <c r="B391" i="18"/>
  <c r="H123" i="18"/>
  <c r="J123" i="18" s="1"/>
  <c r="E123" i="18"/>
  <c r="B392" i="18" l="1"/>
  <c r="A393" i="18"/>
  <c r="D392" i="18"/>
  <c r="F123" i="18"/>
  <c r="D393" i="18" l="1"/>
  <c r="B393" i="18"/>
  <c r="A394" i="18"/>
  <c r="G123" i="18"/>
  <c r="A395" i="18" l="1"/>
  <c r="D394" i="18"/>
  <c r="B394" i="18"/>
  <c r="I123" i="18"/>
  <c r="C124" i="18" s="1"/>
  <c r="D395" i="18" l="1"/>
  <c r="A396" i="18"/>
  <c r="B395" i="18"/>
  <c r="H124" i="18"/>
  <c r="J124" i="18" s="1"/>
  <c r="E124" i="18"/>
  <c r="A397" i="18" l="1"/>
  <c r="D396" i="18"/>
  <c r="B396" i="18"/>
  <c r="F124" i="18"/>
  <c r="B397" i="18" l="1"/>
  <c r="A398" i="18"/>
  <c r="D397" i="18"/>
  <c r="G124" i="18"/>
  <c r="A399" i="18" l="1"/>
  <c r="B398" i="18"/>
  <c r="D398" i="18"/>
  <c r="I124" i="18"/>
  <c r="C125" i="18" s="1"/>
  <c r="B399" i="18" l="1"/>
  <c r="D399" i="18"/>
  <c r="A400" i="18"/>
  <c r="H125" i="18"/>
  <c r="J125" i="18" s="1"/>
  <c r="E125" i="18"/>
  <c r="B400" i="18" l="1"/>
  <c r="A401" i="18"/>
  <c r="D400" i="18"/>
  <c r="F125" i="18"/>
  <c r="D401" i="18" l="1"/>
  <c r="B401" i="18"/>
  <c r="A402" i="18"/>
  <c r="G125" i="18"/>
  <c r="B402" i="18" l="1"/>
  <c r="D402" i="18"/>
  <c r="A403" i="18"/>
  <c r="I125" i="18"/>
  <c r="C126" i="18" s="1"/>
  <c r="D403" i="18" l="1"/>
  <c r="A404" i="18"/>
  <c r="B403" i="18"/>
  <c r="H126" i="18"/>
  <c r="J126" i="18" s="1"/>
  <c r="E126" i="18"/>
  <c r="A405" i="18" l="1"/>
  <c r="B404" i="18"/>
  <c r="D404" i="18"/>
  <c r="F126" i="18"/>
  <c r="B405" i="18" l="1"/>
  <c r="D405" i="18"/>
  <c r="A406" i="18"/>
  <c r="G126" i="18"/>
  <c r="B406" i="18" l="1"/>
  <c r="D406" i="18"/>
  <c r="A407" i="18"/>
  <c r="I126" i="18"/>
  <c r="C127" i="18" s="1"/>
  <c r="A408" i="18" l="1"/>
  <c r="D407" i="18"/>
  <c r="B407" i="18"/>
  <c r="H127" i="18"/>
  <c r="J127" i="18" s="1"/>
  <c r="E127" i="18"/>
  <c r="A409" i="18" l="1"/>
  <c r="B408" i="18"/>
  <c r="D408" i="18"/>
  <c r="F127" i="18"/>
  <c r="D409" i="18" l="1"/>
  <c r="B409" i="18"/>
  <c r="A410" i="18"/>
  <c r="G127" i="18"/>
  <c r="D410" i="18" l="1"/>
  <c r="B410" i="18"/>
  <c r="A411" i="18"/>
  <c r="I127" i="18"/>
  <c r="C128" i="18" s="1"/>
  <c r="D411" i="18" l="1"/>
  <c r="A412" i="18"/>
  <c r="B411" i="18"/>
  <c r="H128" i="18"/>
  <c r="J128" i="18" s="1"/>
  <c r="E128" i="18"/>
  <c r="D412" i="18" l="1"/>
  <c r="A413" i="18"/>
  <c r="B412" i="18"/>
  <c r="F128" i="18"/>
  <c r="A414" i="18" l="1"/>
  <c r="B413" i="18"/>
  <c r="D413" i="18"/>
  <c r="G128" i="18"/>
  <c r="A415" i="18" l="1"/>
  <c r="B414" i="18"/>
  <c r="D414" i="18"/>
  <c r="I128" i="18"/>
  <c r="C129" i="18" s="1"/>
  <c r="B415" i="18" l="1"/>
  <c r="A416" i="18"/>
  <c r="D415" i="18"/>
  <c r="E129" i="18"/>
  <c r="H129" i="18"/>
  <c r="J129" i="18" s="1"/>
  <c r="B416" i="18" l="1"/>
  <c r="D416" i="18"/>
  <c r="A417" i="18"/>
  <c r="F129" i="18"/>
  <c r="B417" i="18" l="1"/>
  <c r="D417" i="18"/>
  <c r="A418" i="18"/>
  <c r="G129" i="18"/>
  <c r="B418" i="18" l="1"/>
  <c r="D418" i="18"/>
  <c r="A419" i="18"/>
  <c r="I129" i="18"/>
  <c r="C130" i="18" s="1"/>
  <c r="D419" i="18" l="1"/>
  <c r="B419" i="18"/>
  <c r="A420" i="18"/>
  <c r="E130" i="18"/>
  <c r="H130" i="18"/>
  <c r="J130" i="18" s="1"/>
  <c r="B420" i="18" l="1"/>
  <c r="D420" i="18"/>
  <c r="A421" i="18"/>
  <c r="F130" i="18"/>
  <c r="D421" i="18" l="1"/>
  <c r="A422" i="18"/>
  <c r="B421" i="18"/>
  <c r="G130" i="18"/>
  <c r="B422" i="18" l="1"/>
  <c r="D422" i="18"/>
  <c r="A423" i="18"/>
  <c r="I130" i="18"/>
  <c r="C131" i="18" s="1"/>
  <c r="D423" i="18" l="1"/>
  <c r="B423" i="18"/>
  <c r="A424" i="18"/>
  <c r="E131" i="18"/>
  <c r="H131" i="18"/>
  <c r="J131" i="18" s="1"/>
  <c r="A425" i="18" l="1"/>
  <c r="B424" i="18"/>
  <c r="D424" i="18"/>
  <c r="F131" i="18"/>
  <c r="A426" i="18" l="1"/>
  <c r="D425" i="18"/>
  <c r="B425" i="18"/>
  <c r="G131" i="18"/>
  <c r="A427" i="18" l="1"/>
  <c r="B426" i="18"/>
  <c r="D426" i="18"/>
  <c r="I131" i="18"/>
  <c r="C132" i="18" s="1"/>
  <c r="D427" i="18" l="1"/>
  <c r="B427" i="18"/>
  <c r="A428" i="18"/>
  <c r="H132" i="18"/>
  <c r="J132" i="18" s="1"/>
  <c r="E132" i="18"/>
  <c r="B428" i="18" l="1"/>
  <c r="D428" i="18"/>
  <c r="A429" i="18"/>
  <c r="F132" i="18"/>
  <c r="B429" i="18" l="1"/>
  <c r="A430" i="18"/>
  <c r="D429" i="18"/>
  <c r="G132" i="18"/>
  <c r="D430" i="18" l="1"/>
  <c r="B430" i="18"/>
  <c r="A431" i="18"/>
  <c r="I132" i="18"/>
  <c r="C133" i="18" s="1"/>
  <c r="B431" i="18" l="1"/>
  <c r="A432" i="18"/>
  <c r="D431" i="18"/>
  <c r="H133" i="18"/>
  <c r="J133" i="18" s="1"/>
  <c r="E133" i="18"/>
  <c r="A433" i="18" l="1"/>
  <c r="D432" i="18"/>
  <c r="B432" i="18"/>
  <c r="F133" i="18"/>
  <c r="B433" i="18" l="1"/>
  <c r="A434" i="18"/>
  <c r="D433" i="18"/>
  <c r="G133" i="18"/>
  <c r="B434" i="18" l="1"/>
  <c r="A435" i="18"/>
  <c r="D434" i="18"/>
  <c r="I133" i="18"/>
  <c r="C134" i="18" s="1"/>
  <c r="A436" i="18" l="1"/>
  <c r="D435" i="18"/>
  <c r="B435" i="18"/>
  <c r="H134" i="18"/>
  <c r="J134" i="18" s="1"/>
  <c r="E134" i="18"/>
  <c r="B436" i="18" l="1"/>
  <c r="D436" i="18"/>
  <c r="A437" i="18"/>
  <c r="F134" i="18"/>
  <c r="B437" i="18" l="1"/>
  <c r="A438" i="18"/>
  <c r="D437" i="18"/>
  <c r="G134" i="18"/>
  <c r="D438" i="18" l="1"/>
  <c r="A439" i="18"/>
  <c r="B438" i="18"/>
  <c r="I134" i="18"/>
  <c r="C135" i="18" s="1"/>
  <c r="A440" i="18" l="1"/>
  <c r="D439" i="18"/>
  <c r="B439" i="18"/>
  <c r="E135" i="18"/>
  <c r="H135" i="18"/>
  <c r="J135" i="18" s="1"/>
  <c r="B440" i="18" l="1"/>
  <c r="D440" i="18"/>
  <c r="A441" i="18"/>
  <c r="F135" i="18"/>
  <c r="B441" i="18" l="1"/>
  <c r="D441" i="18"/>
  <c r="A442" i="18"/>
  <c r="G135" i="18"/>
  <c r="A443" i="18" l="1"/>
  <c r="B442" i="18"/>
  <c r="D442" i="18"/>
  <c r="I135" i="18"/>
  <c r="C136" i="18" s="1"/>
  <c r="B443" i="18" l="1"/>
  <c r="D443" i="18"/>
  <c r="A444" i="18"/>
  <c r="E136" i="18"/>
  <c r="H136" i="18"/>
  <c r="J136" i="18" s="1"/>
  <c r="A445" i="18" l="1"/>
  <c r="D444" i="18"/>
  <c r="B444" i="18"/>
  <c r="F136" i="18"/>
  <c r="A446" i="18" l="1"/>
  <c r="B445" i="18"/>
  <c r="D445" i="18"/>
  <c r="G136" i="18"/>
  <c r="D446" i="18" l="1"/>
  <c r="A447" i="18"/>
  <c r="B446" i="18"/>
  <c r="I136" i="18"/>
  <c r="C137" i="18" s="1"/>
  <c r="D447" i="18" l="1"/>
  <c r="A448" i="18"/>
  <c r="B447" i="18"/>
  <c r="H137" i="18"/>
  <c r="J137" i="18" s="1"/>
  <c r="E137" i="18"/>
  <c r="D448" i="18" l="1"/>
  <c r="A449" i="18"/>
  <c r="B448" i="18"/>
  <c r="F137" i="18"/>
  <c r="A450" i="18" l="1"/>
  <c r="B449" i="18"/>
  <c r="D449" i="18"/>
  <c r="G137" i="18"/>
  <c r="B450" i="18" l="1"/>
  <c r="D450" i="18"/>
  <c r="A451" i="18"/>
  <c r="I137" i="18"/>
  <c r="C138" i="18" s="1"/>
  <c r="D451" i="18" l="1"/>
  <c r="B451" i="18"/>
  <c r="A452" i="18"/>
  <c r="H138" i="18"/>
  <c r="J138" i="18" s="1"/>
  <c r="E138" i="18"/>
  <c r="D452" i="18" l="1"/>
  <c r="A453" i="18"/>
  <c r="B452" i="18"/>
  <c r="F138" i="18"/>
  <c r="B453" i="18" l="1"/>
  <c r="D453" i="18"/>
  <c r="A454" i="18"/>
  <c r="G138" i="18"/>
  <c r="A455" i="18" l="1"/>
  <c r="D454" i="18"/>
  <c r="B454" i="18"/>
  <c r="I138" i="18"/>
  <c r="C139" i="18" s="1"/>
  <c r="B455" i="18" l="1"/>
  <c r="D455" i="18"/>
  <c r="A456" i="18"/>
  <c r="H139" i="18"/>
  <c r="J139" i="18" s="1"/>
  <c r="E139" i="18"/>
  <c r="B456" i="18" l="1"/>
  <c r="D456" i="18"/>
  <c r="A457" i="18"/>
  <c r="F139" i="18"/>
  <c r="D457" i="18" l="1"/>
  <c r="B457" i="18"/>
  <c r="A458" i="18"/>
  <c r="G139" i="18"/>
  <c r="D458" i="18" l="1"/>
  <c r="B458" i="18"/>
  <c r="A459" i="18"/>
  <c r="I139" i="18"/>
  <c r="C140" i="18" s="1"/>
  <c r="D459" i="18" l="1"/>
  <c r="A460" i="18"/>
  <c r="B459" i="18"/>
  <c r="H140" i="18"/>
  <c r="J140" i="18" s="1"/>
  <c r="E140" i="18"/>
  <c r="D460" i="18" l="1"/>
  <c r="A461" i="18"/>
  <c r="B460" i="18"/>
  <c r="F140" i="18"/>
  <c r="B461" i="18" l="1"/>
  <c r="A462" i="18"/>
  <c r="D461" i="18"/>
  <c r="G140" i="18"/>
  <c r="B462" i="18" l="1"/>
  <c r="D462" i="18"/>
  <c r="A463" i="18"/>
  <c r="I140" i="18"/>
  <c r="C141" i="18" s="1"/>
  <c r="D463" i="18" l="1"/>
  <c r="A464" i="18"/>
  <c r="B463" i="18"/>
  <c r="E141" i="18"/>
  <c r="H141" i="18"/>
  <c r="J141" i="18" s="1"/>
  <c r="A465" i="18" l="1"/>
  <c r="D464" i="18"/>
  <c r="B464" i="18"/>
  <c r="F141" i="18"/>
  <c r="A466" i="18" l="1"/>
  <c r="B465" i="18"/>
  <c r="D465" i="18"/>
  <c r="G141" i="18"/>
  <c r="D466" i="18" l="1"/>
  <c r="B466" i="18"/>
  <c r="A467" i="18"/>
  <c r="I141" i="18"/>
  <c r="C142" i="18" s="1"/>
  <c r="B467" i="18" l="1"/>
  <c r="A468" i="18"/>
  <c r="D467" i="18"/>
  <c r="H142" i="18"/>
  <c r="J142" i="18" s="1"/>
  <c r="E142" i="18"/>
  <c r="A469" i="18" l="1"/>
  <c r="B468" i="18"/>
  <c r="D468" i="18"/>
  <c r="F142" i="18"/>
  <c r="B469" i="18" l="1"/>
  <c r="D469" i="18"/>
  <c r="A470" i="18"/>
  <c r="G142" i="18"/>
  <c r="A471" i="18" l="1"/>
  <c r="B470" i="18"/>
  <c r="D470" i="18"/>
  <c r="I142" i="18"/>
  <c r="C143" i="18" s="1"/>
  <c r="D471" i="18" l="1"/>
  <c r="A472" i="18"/>
  <c r="B471" i="18"/>
  <c r="H143" i="18"/>
  <c r="J143" i="18" s="1"/>
  <c r="E143" i="18"/>
  <c r="D472" i="18" l="1"/>
  <c r="A473" i="18"/>
  <c r="B472" i="18"/>
  <c r="F143" i="18"/>
  <c r="A474" i="18" l="1"/>
  <c r="D473" i="18"/>
  <c r="B473" i="18"/>
  <c r="G143" i="18"/>
  <c r="D474" i="18" l="1"/>
  <c r="B474" i="18"/>
  <c r="A475" i="18"/>
  <c r="I143" i="18"/>
  <c r="C144" i="18" s="1"/>
  <c r="D475" i="18" l="1"/>
  <c r="B475" i="18"/>
  <c r="A476" i="18"/>
  <c r="H144" i="18"/>
  <c r="J144" i="18" s="1"/>
  <c r="E144" i="18"/>
  <c r="D476" i="18" l="1"/>
  <c r="B476" i="18"/>
  <c r="A477" i="18"/>
  <c r="F144" i="18"/>
  <c r="D477" i="18" l="1"/>
  <c r="A478" i="18"/>
  <c r="B477" i="18"/>
  <c r="G144" i="18"/>
  <c r="B478" i="18" l="1"/>
  <c r="A479" i="18"/>
  <c r="D478" i="18"/>
  <c r="I144" i="18"/>
  <c r="C145" i="18" s="1"/>
  <c r="D479" i="18" l="1"/>
  <c r="A480" i="18"/>
  <c r="B479" i="18"/>
  <c r="H145" i="18"/>
  <c r="J145" i="18" s="1"/>
  <c r="E145" i="18"/>
  <c r="A481" i="18" l="1"/>
  <c r="D480" i="18"/>
  <c r="B480" i="18"/>
  <c r="F145" i="18"/>
  <c r="D481" i="18" l="1"/>
  <c r="B481" i="18"/>
  <c r="A482" i="18"/>
  <c r="G145" i="18"/>
  <c r="A483" i="18" l="1"/>
  <c r="B482" i="18"/>
  <c r="D482" i="18"/>
  <c r="I145" i="18"/>
  <c r="C146" i="18" s="1"/>
  <c r="B483" i="18" l="1"/>
  <c r="A484" i="18"/>
  <c r="D483" i="18"/>
  <c r="H146" i="18"/>
  <c r="J146" i="18" s="1"/>
  <c r="E146" i="18"/>
  <c r="D484" i="18" l="1"/>
  <c r="B484" i="18"/>
  <c r="A485" i="18"/>
  <c r="F146" i="18"/>
  <c r="A486" i="18" l="1"/>
  <c r="B485" i="18"/>
  <c r="D485" i="18"/>
  <c r="G146" i="18"/>
  <c r="A487" i="18" l="1"/>
  <c r="D486" i="18"/>
  <c r="B486" i="18"/>
  <c r="I146" i="18"/>
  <c r="C147" i="18" s="1"/>
  <c r="B487" i="18" l="1"/>
  <c r="A488" i="18"/>
  <c r="D487" i="18"/>
  <c r="E147" i="18"/>
  <c r="H147" i="18"/>
  <c r="J147" i="18" s="1"/>
  <c r="B488" i="18" l="1"/>
  <c r="D488" i="18"/>
  <c r="A489" i="18"/>
  <c r="F147" i="18"/>
  <c r="A490" i="18" l="1"/>
  <c r="D489" i="18"/>
  <c r="B489" i="18"/>
  <c r="G147" i="18"/>
  <c r="D490" i="18" l="1"/>
  <c r="A491" i="18"/>
  <c r="B490" i="18"/>
  <c r="I147" i="18"/>
  <c r="C148" i="18" s="1"/>
  <c r="D491" i="18" l="1"/>
  <c r="A492" i="18"/>
  <c r="B491" i="18"/>
  <c r="E148" i="18"/>
  <c r="H148" i="18"/>
  <c r="J148" i="18" s="1"/>
  <c r="A493" i="18" l="1"/>
  <c r="D492" i="18"/>
  <c r="B492" i="18"/>
  <c r="F148" i="18"/>
  <c r="D493" i="18" l="1"/>
  <c r="B493" i="18"/>
  <c r="A494" i="18"/>
  <c r="G148" i="18"/>
  <c r="B494" i="18" l="1"/>
  <c r="A495" i="18"/>
  <c r="D494" i="18"/>
  <c r="I148" i="18"/>
  <c r="C149" i="18" s="1"/>
  <c r="D495" i="18" l="1"/>
  <c r="B495" i="18"/>
  <c r="A496" i="18"/>
  <c r="E149" i="18"/>
  <c r="H149" i="18"/>
  <c r="J149" i="18" s="1"/>
  <c r="B496" i="18" l="1"/>
  <c r="A497" i="18"/>
  <c r="D496" i="18"/>
  <c r="F149" i="18"/>
  <c r="D497" i="18" l="1"/>
  <c r="B497" i="18"/>
  <c r="G149" i="18"/>
  <c r="I149" i="18" l="1"/>
  <c r="C150" i="18" s="1"/>
  <c r="H150" i="18" l="1"/>
  <c r="J150" i="18" s="1"/>
  <c r="E150" i="18"/>
  <c r="F150" i="18" l="1"/>
  <c r="G150" i="18" l="1"/>
  <c r="I150" i="18" l="1"/>
  <c r="C151" i="18" s="1"/>
  <c r="E151" i="18" l="1"/>
  <c r="H151" i="18"/>
  <c r="J151" i="18" s="1"/>
  <c r="F151" i="18" l="1"/>
  <c r="G151" i="18" l="1"/>
  <c r="I151" i="18" l="1"/>
  <c r="C152" i="18" s="1"/>
  <c r="H152" i="18" l="1"/>
  <c r="J152" i="18" s="1"/>
  <c r="E152" i="18"/>
  <c r="F152" i="18" l="1"/>
  <c r="G152" i="18" l="1"/>
  <c r="I152" i="18" l="1"/>
  <c r="C153" i="18" s="1"/>
  <c r="E153" i="18" l="1"/>
  <c r="H153" i="18"/>
  <c r="J153" i="18" s="1"/>
  <c r="F153" i="18" l="1"/>
  <c r="G153" i="18" l="1"/>
  <c r="I153" i="18" l="1"/>
  <c r="C154" i="18" s="1"/>
  <c r="E154" i="18" l="1"/>
  <c r="H154" i="18"/>
  <c r="J154" i="18" s="1"/>
  <c r="F154" i="18" l="1"/>
  <c r="G154" i="18" l="1"/>
  <c r="I154" i="18" l="1"/>
  <c r="C155" i="18" s="1"/>
  <c r="E155" i="18" l="1"/>
  <c r="H155" i="18"/>
  <c r="J155" i="18" s="1"/>
  <c r="F155" i="18" l="1"/>
  <c r="G155" i="18" l="1"/>
  <c r="I155" i="18" l="1"/>
  <c r="C156" i="18" s="1"/>
  <c r="H156" i="18" l="1"/>
  <c r="J156" i="18" s="1"/>
  <c r="E156" i="18"/>
  <c r="F156" i="18" l="1"/>
  <c r="G156" i="18" l="1"/>
  <c r="I156" i="18" l="1"/>
  <c r="C157" i="18" s="1"/>
  <c r="H157" i="18" l="1"/>
  <c r="J157" i="18" s="1"/>
  <c r="E157" i="18"/>
  <c r="F157" i="18" l="1"/>
  <c r="G157" i="18" l="1"/>
  <c r="I157" i="18" l="1"/>
  <c r="C158" i="18" s="1"/>
  <c r="H158" i="18" l="1"/>
  <c r="J158" i="18" s="1"/>
  <c r="E158" i="18"/>
  <c r="F158" i="18" l="1"/>
  <c r="G158" i="18" l="1"/>
  <c r="I158" i="18" l="1"/>
  <c r="C159" i="18" s="1"/>
  <c r="H159" i="18" l="1"/>
  <c r="J159" i="18" s="1"/>
  <c r="E159" i="18"/>
  <c r="F159" i="18" l="1"/>
  <c r="G159" i="18" l="1"/>
  <c r="I159" i="18" l="1"/>
  <c r="C160" i="18" s="1"/>
  <c r="H160" i="18" l="1"/>
  <c r="J160" i="18" s="1"/>
  <c r="E160" i="18"/>
  <c r="F160" i="18" l="1"/>
  <c r="G160" i="18" l="1"/>
  <c r="I160" i="18" l="1"/>
  <c r="C161" i="18" s="1"/>
  <c r="E161" i="18" l="1"/>
  <c r="H161" i="18"/>
  <c r="J161" i="18" s="1"/>
  <c r="F161" i="18" l="1"/>
  <c r="G161" i="18" l="1"/>
  <c r="I161" i="18" l="1"/>
  <c r="C162" i="18" s="1"/>
  <c r="E162" i="18" l="1"/>
  <c r="H162" i="18"/>
  <c r="J162" i="18" s="1"/>
  <c r="F162" i="18" l="1"/>
  <c r="G162" i="18" l="1"/>
  <c r="I162" i="18" l="1"/>
  <c r="C163" i="18" s="1"/>
  <c r="E163" i="18" l="1"/>
  <c r="H163" i="18"/>
  <c r="J163" i="18" s="1"/>
  <c r="F163" i="18" l="1"/>
  <c r="G163" i="18" l="1"/>
  <c r="I163" i="18" l="1"/>
  <c r="C164" i="18" s="1"/>
  <c r="H164" i="18" l="1"/>
  <c r="J164" i="18" s="1"/>
  <c r="E164" i="18"/>
  <c r="F164" i="18" l="1"/>
  <c r="G164" i="18" l="1"/>
  <c r="I164" i="18" l="1"/>
  <c r="C165" i="18" s="1"/>
  <c r="H165" i="18" l="1"/>
  <c r="J165" i="18" s="1"/>
  <c r="E165" i="18"/>
  <c r="F165" i="18" l="1"/>
  <c r="G165" i="18" l="1"/>
  <c r="I165" i="18" l="1"/>
  <c r="C166" i="18" s="1"/>
  <c r="E166" i="18" l="1"/>
  <c r="H166" i="18"/>
  <c r="J166" i="18" s="1"/>
  <c r="F166" i="18" l="1"/>
  <c r="G166" i="18" l="1"/>
  <c r="I166" i="18" l="1"/>
  <c r="C167" i="18" s="1"/>
  <c r="H167" i="18" l="1"/>
  <c r="J167" i="18" s="1"/>
  <c r="E167" i="18"/>
  <c r="F167" i="18" l="1"/>
  <c r="G167" i="18" l="1"/>
  <c r="I167" i="18" l="1"/>
  <c r="C168" i="18" s="1"/>
  <c r="H168" i="18" l="1"/>
  <c r="J168" i="18" s="1"/>
  <c r="E168" i="18"/>
  <c r="F168" i="18" l="1"/>
  <c r="G168" i="18" l="1"/>
  <c r="I168" i="18" l="1"/>
  <c r="C169" i="18" s="1"/>
  <c r="E169" i="18" l="1"/>
  <c r="H169" i="18"/>
  <c r="J169" i="18" s="1"/>
  <c r="F169" i="18" l="1"/>
  <c r="G169" i="18" l="1"/>
  <c r="I169" i="18" l="1"/>
  <c r="C170" i="18" s="1"/>
  <c r="E170" i="18" l="1"/>
  <c r="H170" i="18"/>
  <c r="J170" i="18" s="1"/>
  <c r="F170" i="18" l="1"/>
  <c r="G170" i="18" l="1"/>
  <c r="I170" i="18" l="1"/>
  <c r="C171" i="18" s="1"/>
  <c r="E171" i="18" l="1"/>
  <c r="H171" i="18"/>
  <c r="J171" i="18" s="1"/>
  <c r="F171" i="18" l="1"/>
  <c r="G171" i="18" l="1"/>
  <c r="I171" i="18" l="1"/>
  <c r="C172" i="18" s="1"/>
  <c r="E172" i="18" l="1"/>
  <c r="H172" i="18"/>
  <c r="J172" i="18" s="1"/>
  <c r="F172" i="18" l="1"/>
  <c r="G172" i="18" l="1"/>
  <c r="I172" i="18" l="1"/>
  <c r="C173" i="18" s="1"/>
  <c r="E173" i="18" l="1"/>
  <c r="H173" i="18"/>
  <c r="J173" i="18" s="1"/>
  <c r="F173" i="18" l="1"/>
  <c r="G173" i="18" l="1"/>
  <c r="I173" i="18" l="1"/>
  <c r="C174" i="18" s="1"/>
  <c r="H174" i="18" l="1"/>
  <c r="J174" i="18" s="1"/>
  <c r="E174" i="18"/>
  <c r="F174" i="18" l="1"/>
  <c r="G174" i="18" l="1"/>
  <c r="I174" i="18" l="1"/>
  <c r="C175" i="18" s="1"/>
  <c r="E175" i="18" l="1"/>
  <c r="H175" i="18"/>
  <c r="J175" i="18" s="1"/>
  <c r="F175" i="18" l="1"/>
  <c r="G175" i="18" l="1"/>
  <c r="I175" i="18" l="1"/>
  <c r="C176" i="18" s="1"/>
  <c r="H176" i="18" l="1"/>
  <c r="J176" i="18" s="1"/>
  <c r="E176" i="18"/>
  <c r="F176" i="18" l="1"/>
  <c r="G176" i="18" l="1"/>
  <c r="I176" i="18" l="1"/>
  <c r="C177" i="18" s="1"/>
  <c r="H177" i="18" l="1"/>
  <c r="J177" i="18" s="1"/>
  <c r="E177" i="18"/>
  <c r="F177" i="18" l="1"/>
  <c r="G177" i="18" l="1"/>
  <c r="I177" i="18" l="1"/>
  <c r="C178" i="18" s="1"/>
  <c r="E178" i="18" l="1"/>
  <c r="H178" i="18"/>
  <c r="J178" i="18" s="1"/>
  <c r="F178" i="18" l="1"/>
  <c r="G178" i="18" l="1"/>
  <c r="I178" i="18" l="1"/>
  <c r="C179" i="18" s="1"/>
  <c r="E179" i="18" l="1"/>
  <c r="H179" i="18"/>
  <c r="J179" i="18" s="1"/>
  <c r="F179" i="18" l="1"/>
  <c r="G179" i="18" l="1"/>
  <c r="I179" i="18" l="1"/>
  <c r="C180" i="18" s="1"/>
  <c r="H180" i="18" l="1"/>
  <c r="J180" i="18" s="1"/>
  <c r="E180" i="18"/>
  <c r="F180" i="18" l="1"/>
  <c r="G180" i="18" l="1"/>
  <c r="I180" i="18" l="1"/>
  <c r="C181" i="18" s="1"/>
  <c r="H181" i="18" l="1"/>
  <c r="J181" i="18" s="1"/>
  <c r="E181" i="18"/>
  <c r="F181" i="18" l="1"/>
  <c r="G181" i="18" l="1"/>
  <c r="I181" i="18" l="1"/>
  <c r="C182" i="18" s="1"/>
  <c r="E182" i="18" l="1"/>
  <c r="H182" i="18"/>
  <c r="J182" i="18" s="1"/>
  <c r="F182" i="18" l="1"/>
  <c r="G182" i="18" l="1"/>
  <c r="I182" i="18" l="1"/>
  <c r="C183" i="18" s="1"/>
  <c r="H183" i="18" l="1"/>
  <c r="J183" i="18" s="1"/>
  <c r="E183" i="18"/>
  <c r="F183" i="18" l="1"/>
  <c r="G183" i="18" l="1"/>
  <c r="I183" i="18" l="1"/>
  <c r="C184" i="18" s="1"/>
  <c r="H184" i="18" l="1"/>
  <c r="J184" i="18" s="1"/>
  <c r="E184" i="18"/>
  <c r="F184" i="18" l="1"/>
  <c r="G184" i="18" l="1"/>
  <c r="I184" i="18" l="1"/>
  <c r="C185" i="18" s="1"/>
  <c r="E185" i="18" l="1"/>
  <c r="H185" i="18"/>
  <c r="J185" i="18" s="1"/>
  <c r="F185" i="18" l="1"/>
  <c r="G185" i="18" l="1"/>
  <c r="I185" i="18" l="1"/>
  <c r="C186" i="18" s="1"/>
  <c r="H186" i="18" l="1"/>
  <c r="J186" i="18" s="1"/>
  <c r="E186" i="18"/>
  <c r="F186" i="18" l="1"/>
  <c r="G186" i="18" l="1"/>
  <c r="I186" i="18" l="1"/>
  <c r="C187" i="18" s="1"/>
  <c r="H187" i="18" l="1"/>
  <c r="J187" i="18" s="1"/>
  <c r="E187" i="18"/>
  <c r="F187" i="18" l="1"/>
  <c r="G187" i="18" l="1"/>
  <c r="I187" i="18" l="1"/>
  <c r="C188" i="18" s="1"/>
  <c r="H188" i="18" l="1"/>
  <c r="J188" i="18" s="1"/>
  <c r="E188" i="18"/>
  <c r="F188" i="18" l="1"/>
  <c r="G188" i="18" l="1"/>
  <c r="I188" i="18" l="1"/>
  <c r="C189" i="18" s="1"/>
  <c r="E189" i="18" l="1"/>
  <c r="H189" i="18"/>
  <c r="J189" i="18" s="1"/>
  <c r="F189" i="18" l="1"/>
  <c r="G189" i="18" l="1"/>
  <c r="I189" i="18" l="1"/>
  <c r="C190" i="18" s="1"/>
  <c r="H190" i="18" l="1"/>
  <c r="J190" i="18" s="1"/>
  <c r="E190" i="18"/>
  <c r="F190" i="18" l="1"/>
  <c r="G190" i="18" l="1"/>
  <c r="I190" i="18" l="1"/>
  <c r="C191" i="18" s="1"/>
  <c r="H191" i="18" l="1"/>
  <c r="J191" i="18" s="1"/>
  <c r="E191" i="18"/>
  <c r="F191" i="18" l="1"/>
  <c r="G191" i="18" l="1"/>
  <c r="I191" i="18" l="1"/>
  <c r="C192" i="18" s="1"/>
  <c r="H192" i="18" l="1"/>
  <c r="J192" i="18" s="1"/>
  <c r="E192" i="18"/>
  <c r="F192" i="18" l="1"/>
  <c r="G192" i="18" l="1"/>
  <c r="I192" i="18" l="1"/>
  <c r="C193" i="18" s="1"/>
  <c r="H193" i="18" l="1"/>
  <c r="J193" i="18" s="1"/>
  <c r="E193" i="18"/>
  <c r="F193" i="18" l="1"/>
  <c r="G193" i="18" l="1"/>
  <c r="I193" i="18" l="1"/>
  <c r="C194" i="18" s="1"/>
  <c r="H194" i="18" l="1"/>
  <c r="J194" i="18" s="1"/>
  <c r="E194" i="18"/>
  <c r="F194" i="18" l="1"/>
  <c r="G194" i="18" l="1"/>
  <c r="I194" i="18" l="1"/>
  <c r="C195" i="18" s="1"/>
  <c r="E195" i="18" l="1"/>
  <c r="H195" i="18"/>
  <c r="J195" i="18" s="1"/>
  <c r="F195" i="18" l="1"/>
  <c r="G195" i="18" l="1"/>
  <c r="I195" i="18" l="1"/>
  <c r="C196" i="18" s="1"/>
  <c r="E196" i="18" l="1"/>
  <c r="H196" i="18"/>
  <c r="J196" i="18" s="1"/>
  <c r="F196" i="18" l="1"/>
  <c r="G196" i="18" l="1"/>
  <c r="I196" i="18" l="1"/>
  <c r="C197" i="18" s="1"/>
  <c r="E197" i="18" l="1"/>
  <c r="H197" i="18"/>
  <c r="J197" i="18" s="1"/>
  <c r="F197" i="18" l="1"/>
  <c r="G197" i="18" l="1"/>
  <c r="I197" i="18" l="1"/>
  <c r="C198" i="18" s="1"/>
  <c r="E198" i="18" l="1"/>
  <c r="H198" i="18"/>
  <c r="J198" i="18" s="1"/>
  <c r="F198" i="18" l="1"/>
  <c r="G198" i="18" l="1"/>
  <c r="I198" i="18" l="1"/>
  <c r="C199" i="18" s="1"/>
  <c r="E199" i="18" l="1"/>
  <c r="H199" i="18"/>
  <c r="J199" i="18" s="1"/>
  <c r="F199" i="18" l="1"/>
  <c r="G199" i="18" l="1"/>
  <c r="I199" i="18" l="1"/>
  <c r="C200" i="18" s="1"/>
  <c r="H200" i="18" l="1"/>
  <c r="J200" i="18" s="1"/>
  <c r="E200" i="18"/>
  <c r="F200" i="18" l="1"/>
  <c r="G200" i="18" l="1"/>
  <c r="I200" i="18" l="1"/>
  <c r="C201" i="18" s="1"/>
  <c r="H201" i="18" l="1"/>
  <c r="J201" i="18" s="1"/>
  <c r="E201" i="18"/>
  <c r="F201" i="18" l="1"/>
  <c r="G201" i="18" l="1"/>
  <c r="I201" i="18" l="1"/>
  <c r="C202" i="18" s="1"/>
  <c r="E202" i="18" l="1"/>
  <c r="H202" i="18"/>
  <c r="J202" i="18" s="1"/>
  <c r="F202" i="18" l="1"/>
  <c r="G202" i="18" l="1"/>
  <c r="I202" i="18" l="1"/>
  <c r="C203" i="18" s="1"/>
  <c r="H203" i="18" l="1"/>
  <c r="J203" i="18" s="1"/>
  <c r="E203" i="18"/>
  <c r="F203" i="18" l="1"/>
  <c r="G203" i="18" l="1"/>
  <c r="I203" i="18" l="1"/>
  <c r="C204" i="18" s="1"/>
  <c r="H204" i="18" l="1"/>
  <c r="J204" i="18" s="1"/>
  <c r="E204" i="18"/>
  <c r="F204" i="18" l="1"/>
  <c r="G204" i="18" l="1"/>
  <c r="I204" i="18" l="1"/>
  <c r="C205" i="18" s="1"/>
  <c r="H205" i="18" l="1"/>
  <c r="J205" i="18" s="1"/>
  <c r="E205" i="18"/>
  <c r="F205" i="18" l="1"/>
  <c r="G205" i="18" l="1"/>
  <c r="I205" i="18" l="1"/>
  <c r="C206" i="18" s="1"/>
  <c r="H206" i="18" l="1"/>
  <c r="J206" i="18" s="1"/>
  <c r="E206" i="18"/>
  <c r="F206" i="18" l="1"/>
  <c r="G206" i="18" l="1"/>
  <c r="I206" i="18" l="1"/>
  <c r="C207" i="18" s="1"/>
  <c r="H207" i="18" l="1"/>
  <c r="J207" i="18" s="1"/>
  <c r="E207" i="18"/>
  <c r="F207" i="18" l="1"/>
  <c r="G207" i="18" l="1"/>
  <c r="I207" i="18" l="1"/>
  <c r="C208" i="18" s="1"/>
  <c r="E208" i="18" l="1"/>
  <c r="H208" i="18"/>
  <c r="J208" i="18" s="1"/>
  <c r="F208" i="18" l="1"/>
  <c r="G208" i="18" l="1"/>
  <c r="I208" i="18" l="1"/>
  <c r="C209" i="18" s="1"/>
  <c r="H209" i="18" l="1"/>
  <c r="J209" i="18" s="1"/>
  <c r="E209" i="18"/>
  <c r="F209" i="18" l="1"/>
  <c r="G209" i="18" l="1"/>
  <c r="I209" i="18" l="1"/>
  <c r="C210" i="18" s="1"/>
  <c r="H210" i="18" l="1"/>
  <c r="J210" i="18" s="1"/>
  <c r="E210" i="18"/>
  <c r="F210" i="18" l="1"/>
  <c r="G210" i="18" l="1"/>
  <c r="I210" i="18" l="1"/>
  <c r="C211" i="18" s="1"/>
  <c r="E211" i="18" l="1"/>
  <c r="H211" i="18"/>
  <c r="J211" i="18" s="1"/>
  <c r="F211" i="18" l="1"/>
  <c r="G211" i="18" l="1"/>
  <c r="I211" i="18" l="1"/>
  <c r="C212" i="18" s="1"/>
  <c r="H212" i="18" l="1"/>
  <c r="J212" i="18" s="1"/>
  <c r="E212" i="18"/>
  <c r="F212" i="18" l="1"/>
  <c r="G212" i="18" l="1"/>
  <c r="I212" i="18" l="1"/>
  <c r="C213" i="18" s="1"/>
  <c r="H213" i="18" l="1"/>
  <c r="J213" i="18" s="1"/>
  <c r="E213" i="18"/>
  <c r="F213" i="18" l="1"/>
  <c r="G213" i="18" l="1"/>
  <c r="I213" i="18" l="1"/>
  <c r="C214" i="18" s="1"/>
  <c r="H214" i="18" l="1"/>
  <c r="J214" i="18" s="1"/>
  <c r="E214" i="18"/>
  <c r="F214" i="18" l="1"/>
  <c r="G214" i="18" l="1"/>
  <c r="I214" i="18" l="1"/>
  <c r="C215" i="18" s="1"/>
  <c r="H215" i="18" l="1"/>
  <c r="J215" i="18" s="1"/>
  <c r="E215" i="18"/>
  <c r="F215" i="18" l="1"/>
  <c r="G215" i="18" l="1"/>
  <c r="I215" i="18" l="1"/>
  <c r="C216" i="18" s="1"/>
  <c r="H216" i="18" l="1"/>
  <c r="J216" i="18" s="1"/>
  <c r="E216" i="18"/>
  <c r="F216" i="18" l="1"/>
  <c r="G216" i="18" l="1"/>
  <c r="I216" i="18" l="1"/>
  <c r="C217" i="18" s="1"/>
  <c r="E217" i="18" l="1"/>
  <c r="H217" i="18"/>
  <c r="J217" i="18" s="1"/>
  <c r="F217" i="18" l="1"/>
  <c r="G217" i="18" l="1"/>
  <c r="I217" i="18" l="1"/>
  <c r="C218" i="18" s="1"/>
  <c r="E218" i="18" l="1"/>
  <c r="H218" i="18"/>
  <c r="J218" i="18" s="1"/>
  <c r="F218" i="18" l="1"/>
  <c r="G218" i="18" l="1"/>
  <c r="I218" i="18" l="1"/>
  <c r="C219" i="18" s="1"/>
  <c r="H219" i="18" l="1"/>
  <c r="J219" i="18" s="1"/>
  <c r="E219" i="18"/>
  <c r="F219" i="18" l="1"/>
  <c r="G219" i="18" l="1"/>
  <c r="I219" i="18" l="1"/>
  <c r="C220" i="18" s="1"/>
  <c r="H220" i="18" l="1"/>
  <c r="J220" i="18" s="1"/>
  <c r="E220" i="18"/>
  <c r="F220" i="18" l="1"/>
  <c r="G220" i="18" l="1"/>
  <c r="I220" i="18" l="1"/>
  <c r="C221" i="18" s="1"/>
  <c r="H221" i="18" l="1"/>
  <c r="J221" i="18" s="1"/>
  <c r="E221" i="18"/>
  <c r="F221" i="18" l="1"/>
  <c r="G221" i="18" l="1"/>
  <c r="I221" i="18" l="1"/>
  <c r="C222" i="18" s="1"/>
  <c r="E222" i="18" l="1"/>
  <c r="H222" i="18"/>
  <c r="J222" i="18" s="1"/>
  <c r="F222" i="18" l="1"/>
  <c r="G222" i="18" l="1"/>
  <c r="I222" i="18" l="1"/>
  <c r="C223" i="18" s="1"/>
  <c r="H223" i="18" l="1"/>
  <c r="J223" i="18" s="1"/>
  <c r="E223" i="18"/>
  <c r="F223" i="18" l="1"/>
  <c r="G223" i="18" l="1"/>
  <c r="I223" i="18" l="1"/>
  <c r="C224" i="18" s="1"/>
  <c r="E224" i="18" l="1"/>
  <c r="H224" i="18"/>
  <c r="J224" i="18" s="1"/>
  <c r="F224" i="18" l="1"/>
  <c r="G224" i="18" l="1"/>
  <c r="I224" i="18" l="1"/>
  <c r="C225" i="18" s="1"/>
  <c r="H225" i="18" l="1"/>
  <c r="J225" i="18" s="1"/>
  <c r="E225" i="18"/>
  <c r="F225" i="18" l="1"/>
  <c r="G225" i="18" l="1"/>
  <c r="I225" i="18" l="1"/>
  <c r="C226" i="18" s="1"/>
  <c r="E226" i="18" l="1"/>
  <c r="H226" i="18"/>
  <c r="J226" i="18" s="1"/>
  <c r="F226" i="18" l="1"/>
  <c r="G226" i="18" l="1"/>
  <c r="I226" i="18" l="1"/>
  <c r="C227" i="18" s="1"/>
  <c r="H227" i="18" l="1"/>
  <c r="J227" i="18" s="1"/>
  <c r="E227" i="18"/>
  <c r="F227" i="18" l="1"/>
  <c r="G227" i="18" l="1"/>
  <c r="I227" i="18" l="1"/>
  <c r="C228" i="18" s="1"/>
  <c r="H228" i="18" l="1"/>
  <c r="J228" i="18" s="1"/>
  <c r="E228" i="18"/>
  <c r="F228" i="18" l="1"/>
  <c r="G228" i="18" l="1"/>
  <c r="I228" i="18" l="1"/>
  <c r="C229" i="18" s="1"/>
  <c r="H229" i="18" l="1"/>
  <c r="J229" i="18" s="1"/>
  <c r="E229" i="18"/>
  <c r="F229" i="18" l="1"/>
  <c r="G229" i="18" l="1"/>
  <c r="I229" i="18" l="1"/>
  <c r="C230" i="18" s="1"/>
  <c r="E230" i="18" l="1"/>
  <c r="H230" i="18"/>
  <c r="J230" i="18" s="1"/>
  <c r="F230" i="18" l="1"/>
  <c r="G230" i="18" l="1"/>
  <c r="I230" i="18" l="1"/>
  <c r="C231" i="18" s="1"/>
  <c r="E231" i="18" l="1"/>
  <c r="H231" i="18"/>
  <c r="J231" i="18" s="1"/>
  <c r="F231" i="18" l="1"/>
  <c r="G231" i="18" l="1"/>
  <c r="I231" i="18" l="1"/>
  <c r="C232" i="18" s="1"/>
  <c r="E232" i="18" l="1"/>
  <c r="H232" i="18"/>
  <c r="J232" i="18" s="1"/>
  <c r="F232" i="18" l="1"/>
  <c r="G232" i="18" l="1"/>
  <c r="I232" i="18" l="1"/>
  <c r="C233" i="18" s="1"/>
  <c r="H233" i="18" l="1"/>
  <c r="J233" i="18" s="1"/>
  <c r="E233" i="18"/>
  <c r="F233" i="18" l="1"/>
  <c r="G233" i="18" l="1"/>
  <c r="I233" i="18" l="1"/>
  <c r="C234" i="18" s="1"/>
  <c r="E234" i="18" l="1"/>
  <c r="H234" i="18"/>
  <c r="J234" i="18" s="1"/>
  <c r="F234" i="18" l="1"/>
  <c r="G234" i="18" l="1"/>
  <c r="I234" i="18" l="1"/>
  <c r="C235" i="18" s="1"/>
  <c r="E235" i="18" l="1"/>
  <c r="H235" i="18"/>
  <c r="J235" i="18" s="1"/>
  <c r="F235" i="18" l="1"/>
  <c r="G235" i="18" l="1"/>
  <c r="I235" i="18" l="1"/>
  <c r="C236" i="18" s="1"/>
  <c r="H236" i="18" l="1"/>
  <c r="J236" i="18" s="1"/>
  <c r="E236" i="18"/>
  <c r="F236" i="18" l="1"/>
  <c r="G236" i="18" l="1"/>
  <c r="I236" i="18" l="1"/>
  <c r="C237" i="18" s="1"/>
  <c r="H237" i="18" l="1"/>
  <c r="J237" i="18" s="1"/>
  <c r="E237" i="18"/>
  <c r="F237" i="18" l="1"/>
  <c r="G237" i="18" l="1"/>
  <c r="I237" i="18" l="1"/>
  <c r="C238" i="18" s="1"/>
  <c r="H238" i="18" l="1"/>
  <c r="J238" i="18" s="1"/>
  <c r="E238" i="18"/>
  <c r="F238" i="18" l="1"/>
  <c r="G238" i="18" l="1"/>
  <c r="I238" i="18" l="1"/>
  <c r="C239" i="18" s="1"/>
  <c r="H239" i="18" l="1"/>
  <c r="J239" i="18" s="1"/>
  <c r="E239" i="18"/>
  <c r="F239" i="18" l="1"/>
  <c r="G239" i="18" l="1"/>
  <c r="I239" i="18" l="1"/>
  <c r="C240" i="18" s="1"/>
  <c r="E240" i="18" l="1"/>
  <c r="H240" i="18"/>
  <c r="J240" i="18" s="1"/>
  <c r="F240" i="18" l="1"/>
  <c r="G240" i="18" l="1"/>
  <c r="I240" i="18" l="1"/>
  <c r="C241" i="18" s="1"/>
  <c r="H241" i="18" l="1"/>
  <c r="J241" i="18" s="1"/>
  <c r="E241" i="18"/>
  <c r="F241" i="18" l="1"/>
  <c r="G241" i="18" l="1"/>
  <c r="I241" i="18" l="1"/>
  <c r="C242" i="18" s="1"/>
  <c r="E242" i="18" l="1"/>
  <c r="H242" i="18"/>
  <c r="J242" i="18" s="1"/>
  <c r="F242" i="18" l="1"/>
  <c r="G242" i="18" l="1"/>
  <c r="I242" i="18" l="1"/>
  <c r="C243" i="18" s="1"/>
  <c r="E243" i="18" l="1"/>
  <c r="H243" i="18"/>
  <c r="J243" i="18" s="1"/>
  <c r="F243" i="18" l="1"/>
  <c r="G243" i="18" l="1"/>
  <c r="I243" i="18" l="1"/>
  <c r="C244" i="18" s="1"/>
  <c r="E244" i="18" l="1"/>
  <c r="H244" i="18"/>
  <c r="J244" i="18" s="1"/>
  <c r="F244" i="18" l="1"/>
  <c r="G244" i="18" l="1"/>
  <c r="I244" i="18" l="1"/>
  <c r="C245" i="18" s="1"/>
  <c r="E245" i="18" l="1"/>
  <c r="H245" i="18"/>
  <c r="J245" i="18" s="1"/>
  <c r="F245" i="18" l="1"/>
  <c r="G245" i="18" l="1"/>
  <c r="I245" i="18" l="1"/>
  <c r="C246" i="18" s="1"/>
  <c r="H246" i="18" l="1"/>
  <c r="J246" i="18" s="1"/>
  <c r="E246" i="18"/>
  <c r="F246" i="18" l="1"/>
  <c r="G246" i="18" l="1"/>
  <c r="I246" i="18" l="1"/>
  <c r="C247" i="18" s="1"/>
  <c r="E247" i="18" l="1"/>
  <c r="H247" i="18"/>
  <c r="J247" i="18" s="1"/>
  <c r="F247" i="18" l="1"/>
  <c r="G247" i="18" l="1"/>
  <c r="I247" i="18" l="1"/>
  <c r="C248" i="18" s="1"/>
  <c r="E248" i="18" l="1"/>
  <c r="H248" i="18"/>
  <c r="J248" i="18" s="1"/>
  <c r="F248" i="18" l="1"/>
  <c r="G248" i="18" l="1"/>
  <c r="I248" i="18" l="1"/>
  <c r="C249" i="18" s="1"/>
  <c r="H249" i="18" l="1"/>
  <c r="J249" i="18" s="1"/>
  <c r="E249" i="18"/>
  <c r="F249" i="18" l="1"/>
  <c r="G249" i="18" l="1"/>
  <c r="I249" i="18" l="1"/>
  <c r="C250" i="18" s="1"/>
  <c r="E250" i="18" l="1"/>
  <c r="H250" i="18"/>
  <c r="J250" i="18" s="1"/>
  <c r="F250" i="18" l="1"/>
  <c r="G250" i="18" l="1"/>
  <c r="I250" i="18" l="1"/>
  <c r="C251" i="18" s="1"/>
  <c r="E251" i="18" l="1"/>
  <c r="H251" i="18"/>
  <c r="J251" i="18" s="1"/>
  <c r="F251" i="18" l="1"/>
  <c r="G251" i="18" l="1"/>
  <c r="I251" i="18" l="1"/>
  <c r="C252" i="18" s="1"/>
  <c r="E252" i="18" l="1"/>
  <c r="H252" i="18"/>
  <c r="J252" i="18" s="1"/>
  <c r="F252" i="18" l="1"/>
  <c r="G252" i="18" l="1"/>
  <c r="I252" i="18" l="1"/>
  <c r="C253" i="18" s="1"/>
  <c r="E253" i="18" l="1"/>
  <c r="H253" i="18"/>
  <c r="J253" i="18" s="1"/>
  <c r="F253" i="18" l="1"/>
  <c r="G253" i="18" l="1"/>
  <c r="I253" i="18" l="1"/>
  <c r="C254" i="18" s="1"/>
  <c r="E254" i="18" l="1"/>
  <c r="H254" i="18"/>
  <c r="J254" i="18" s="1"/>
  <c r="F254" i="18" l="1"/>
  <c r="G254" i="18" l="1"/>
  <c r="I254" i="18" l="1"/>
  <c r="C255" i="18" s="1"/>
  <c r="E255" i="18" l="1"/>
  <c r="H255" i="18"/>
  <c r="J255" i="18" s="1"/>
  <c r="F255" i="18" l="1"/>
  <c r="G255" i="18" l="1"/>
  <c r="I255" i="18" l="1"/>
  <c r="C256" i="18" s="1"/>
  <c r="E256" i="18" l="1"/>
  <c r="H256" i="18"/>
  <c r="J256" i="18" s="1"/>
  <c r="F256" i="18" l="1"/>
  <c r="G256" i="18" l="1"/>
  <c r="I256" i="18" l="1"/>
  <c r="C257" i="18" s="1"/>
  <c r="E257" i="18" l="1"/>
  <c r="H257" i="18"/>
  <c r="J257" i="18" s="1"/>
  <c r="F257" i="18" l="1"/>
  <c r="G257" i="18" l="1"/>
  <c r="I257" i="18" l="1"/>
  <c r="C258" i="18" s="1"/>
  <c r="E258" i="18" l="1"/>
  <c r="H258" i="18"/>
  <c r="J258" i="18" s="1"/>
  <c r="F258" i="18" l="1"/>
  <c r="G258" i="18" l="1"/>
  <c r="I258" i="18" l="1"/>
  <c r="C259" i="18" s="1"/>
  <c r="H259" i="18" l="1"/>
  <c r="J259" i="18" s="1"/>
  <c r="E259" i="18"/>
  <c r="F259" i="18" l="1"/>
  <c r="G259" i="18" l="1"/>
  <c r="I259" i="18" l="1"/>
  <c r="C260" i="18" s="1"/>
  <c r="E260" i="18" l="1"/>
  <c r="H260" i="18"/>
  <c r="J260" i="18" s="1"/>
  <c r="F260" i="18" l="1"/>
  <c r="G260" i="18" l="1"/>
  <c r="I260" i="18" l="1"/>
  <c r="C261" i="18" s="1"/>
  <c r="H261" i="18" l="1"/>
  <c r="J261" i="18" s="1"/>
  <c r="E261" i="18"/>
  <c r="F261" i="18" l="1"/>
  <c r="G261" i="18" l="1"/>
  <c r="I261" i="18" l="1"/>
  <c r="C262" i="18" s="1"/>
  <c r="E262" i="18" l="1"/>
  <c r="H262" i="18"/>
  <c r="J262" i="18" s="1"/>
  <c r="F262" i="18" l="1"/>
  <c r="G262" i="18" l="1"/>
  <c r="I262" i="18" l="1"/>
  <c r="C263" i="18" s="1"/>
  <c r="H263" i="18" l="1"/>
  <c r="J263" i="18" s="1"/>
  <c r="E263" i="18"/>
  <c r="F263" i="18" l="1"/>
  <c r="G263" i="18" l="1"/>
  <c r="I263" i="18" l="1"/>
  <c r="C264" i="18" s="1"/>
  <c r="E264" i="18" l="1"/>
  <c r="H264" i="18"/>
  <c r="J264" i="18" s="1"/>
  <c r="F264" i="18" l="1"/>
  <c r="G264" i="18" l="1"/>
  <c r="I264" i="18" l="1"/>
  <c r="C265" i="18" s="1"/>
  <c r="E265" i="18" l="1"/>
  <c r="H265" i="18"/>
  <c r="J265" i="18" s="1"/>
  <c r="F265" i="18" l="1"/>
  <c r="G265" i="18" l="1"/>
  <c r="I265" i="18" l="1"/>
  <c r="C266" i="18" s="1"/>
  <c r="H266" i="18" l="1"/>
  <c r="J266" i="18" s="1"/>
  <c r="E266" i="18"/>
  <c r="F266" i="18" l="1"/>
  <c r="G266" i="18" l="1"/>
  <c r="I266" i="18" l="1"/>
  <c r="C267" i="18" s="1"/>
  <c r="E267" i="18" l="1"/>
  <c r="H267" i="18"/>
  <c r="J267" i="18" s="1"/>
  <c r="F267" i="18" l="1"/>
  <c r="G267" i="18" l="1"/>
  <c r="I267" i="18" l="1"/>
  <c r="C268" i="18" s="1"/>
  <c r="E268" i="18" l="1"/>
  <c r="H268" i="18"/>
  <c r="J268" i="18" s="1"/>
  <c r="F268" i="18" l="1"/>
  <c r="G268" i="18" l="1"/>
  <c r="I268" i="18" l="1"/>
  <c r="C269" i="18" s="1"/>
  <c r="E269" i="18" l="1"/>
  <c r="H269" i="18"/>
  <c r="J269" i="18" s="1"/>
  <c r="F269" i="18" l="1"/>
  <c r="G269" i="18" l="1"/>
  <c r="I269" i="18" l="1"/>
  <c r="C270" i="18" s="1"/>
  <c r="E270" i="18" l="1"/>
  <c r="H270" i="18"/>
  <c r="J270" i="18" s="1"/>
  <c r="F270" i="18" l="1"/>
  <c r="G270" i="18" l="1"/>
  <c r="I270" i="18" l="1"/>
  <c r="C271" i="18" s="1"/>
  <c r="H271" i="18" l="1"/>
  <c r="J271" i="18" s="1"/>
  <c r="E271" i="18"/>
  <c r="F271" i="18" l="1"/>
  <c r="G271" i="18" l="1"/>
  <c r="I271" i="18" l="1"/>
  <c r="C272" i="18" s="1"/>
  <c r="H272" i="18" l="1"/>
  <c r="J272" i="18" s="1"/>
  <c r="E272" i="18"/>
  <c r="F272" i="18" l="1"/>
  <c r="G272" i="18" l="1"/>
  <c r="I272" i="18" l="1"/>
  <c r="C273" i="18" s="1"/>
  <c r="H273" i="18" l="1"/>
  <c r="J273" i="18" s="1"/>
  <c r="E273" i="18"/>
  <c r="F273" i="18" l="1"/>
  <c r="G273" i="18" l="1"/>
  <c r="I273" i="18" l="1"/>
  <c r="C274" i="18" s="1"/>
  <c r="E274" i="18" l="1"/>
  <c r="H274" i="18"/>
  <c r="J274" i="18" s="1"/>
  <c r="F274" i="18" l="1"/>
  <c r="G274" i="18" l="1"/>
  <c r="I274" i="18" l="1"/>
  <c r="C275" i="18" s="1"/>
  <c r="H275" i="18" l="1"/>
  <c r="J275" i="18" s="1"/>
  <c r="E275" i="18"/>
  <c r="F275" i="18" l="1"/>
  <c r="G275" i="18" l="1"/>
  <c r="I275" i="18" l="1"/>
  <c r="C276" i="18" s="1"/>
  <c r="E276" i="18" l="1"/>
  <c r="H276" i="18"/>
  <c r="J276" i="18" s="1"/>
  <c r="F276" i="18" l="1"/>
  <c r="G276" i="18" l="1"/>
  <c r="I276" i="18" l="1"/>
  <c r="C277" i="18" s="1"/>
  <c r="H277" i="18" l="1"/>
  <c r="J277" i="18" s="1"/>
  <c r="E277" i="18"/>
  <c r="F277" i="18" l="1"/>
  <c r="G277" i="18" l="1"/>
  <c r="I277" i="18" l="1"/>
  <c r="C278" i="18" s="1"/>
  <c r="E278" i="18" l="1"/>
  <c r="H278" i="18"/>
  <c r="J278" i="18" s="1"/>
  <c r="F278" i="18" l="1"/>
  <c r="G278" i="18" l="1"/>
  <c r="I278" i="18" l="1"/>
  <c r="C279" i="18" s="1"/>
  <c r="H279" i="18" l="1"/>
  <c r="J279" i="18" s="1"/>
  <c r="E279" i="18"/>
  <c r="F279" i="18" l="1"/>
  <c r="G279" i="18" l="1"/>
  <c r="I279" i="18" l="1"/>
  <c r="C280" i="18" s="1"/>
  <c r="E280" i="18" l="1"/>
  <c r="H280" i="18"/>
  <c r="J280" i="18" s="1"/>
  <c r="F280" i="18" l="1"/>
  <c r="G280" i="18" l="1"/>
  <c r="I280" i="18" l="1"/>
  <c r="C281" i="18" s="1"/>
  <c r="H281" i="18" l="1"/>
  <c r="J281" i="18" s="1"/>
  <c r="E281" i="18"/>
  <c r="F281" i="18" l="1"/>
  <c r="G281" i="18" l="1"/>
  <c r="I281" i="18" l="1"/>
  <c r="C282" i="18" s="1"/>
  <c r="H282" i="18" l="1"/>
  <c r="J282" i="18" s="1"/>
  <c r="E282" i="18"/>
  <c r="F282" i="18" l="1"/>
  <c r="G282" i="18" l="1"/>
  <c r="I282" i="18" l="1"/>
  <c r="C283" i="18" s="1"/>
  <c r="H283" i="18" l="1"/>
  <c r="J283" i="18" s="1"/>
  <c r="E283" i="18"/>
  <c r="F283" i="18" l="1"/>
  <c r="G283" i="18" l="1"/>
  <c r="I283" i="18" l="1"/>
  <c r="C284" i="18" s="1"/>
  <c r="H284" i="18" l="1"/>
  <c r="J284" i="18" s="1"/>
  <c r="E284" i="18"/>
  <c r="F284" i="18" l="1"/>
  <c r="G284" i="18" l="1"/>
  <c r="I284" i="18" l="1"/>
  <c r="C285" i="18" s="1"/>
  <c r="H285" i="18" l="1"/>
  <c r="J285" i="18" s="1"/>
  <c r="E285" i="18"/>
  <c r="F285" i="18" l="1"/>
  <c r="G285" i="18" l="1"/>
  <c r="I285" i="18" l="1"/>
  <c r="C286" i="18" s="1"/>
  <c r="E286" i="18" l="1"/>
  <c r="H286" i="18"/>
  <c r="J286" i="18" s="1"/>
  <c r="F286" i="18" l="1"/>
  <c r="G286" i="18" l="1"/>
  <c r="I286" i="18" l="1"/>
  <c r="C287" i="18" s="1"/>
  <c r="H287" i="18" l="1"/>
  <c r="J287" i="18" s="1"/>
  <c r="E287" i="18"/>
  <c r="F287" i="18" l="1"/>
  <c r="G287" i="18" l="1"/>
  <c r="I287" i="18" l="1"/>
  <c r="C288" i="18" s="1"/>
  <c r="H288" i="18" l="1"/>
  <c r="J288" i="18" s="1"/>
  <c r="E288" i="18"/>
  <c r="F288" i="18" l="1"/>
  <c r="G288" i="18" l="1"/>
  <c r="I288" i="18" l="1"/>
  <c r="C289" i="18" s="1"/>
  <c r="H289" i="18" l="1"/>
  <c r="J289" i="18" s="1"/>
  <c r="E289" i="18"/>
  <c r="F289" i="18" l="1"/>
  <c r="G289" i="18" l="1"/>
  <c r="I289" i="18" l="1"/>
  <c r="C290" i="18" s="1"/>
  <c r="H290" i="18" l="1"/>
  <c r="J290" i="18" s="1"/>
  <c r="E290" i="18"/>
  <c r="F290" i="18" l="1"/>
  <c r="G290" i="18" l="1"/>
  <c r="I290" i="18" l="1"/>
  <c r="C291" i="18" s="1"/>
  <c r="E291" i="18" l="1"/>
  <c r="H291" i="18"/>
  <c r="J291" i="18" s="1"/>
  <c r="F291" i="18" l="1"/>
  <c r="G291" i="18" l="1"/>
  <c r="I291" i="18" l="1"/>
  <c r="C292" i="18" s="1"/>
  <c r="E292" i="18" l="1"/>
  <c r="H292" i="18"/>
  <c r="J292" i="18" s="1"/>
  <c r="F292" i="18" l="1"/>
  <c r="G292" i="18" l="1"/>
  <c r="I292" i="18" l="1"/>
  <c r="C293" i="18" s="1"/>
  <c r="H293" i="18" l="1"/>
  <c r="J293" i="18" s="1"/>
  <c r="E293" i="18"/>
  <c r="F293" i="18" l="1"/>
  <c r="G293" i="18" l="1"/>
  <c r="I293" i="18" l="1"/>
  <c r="C294" i="18" s="1"/>
  <c r="H294" i="18" l="1"/>
  <c r="J294" i="18" s="1"/>
  <c r="E294" i="18"/>
  <c r="F294" i="18" l="1"/>
  <c r="G294" i="18" l="1"/>
  <c r="I294" i="18" l="1"/>
  <c r="C295" i="18" s="1"/>
  <c r="H295" i="18" l="1"/>
  <c r="J295" i="18" s="1"/>
  <c r="E295" i="18"/>
  <c r="F295" i="18" l="1"/>
  <c r="G295" i="18" l="1"/>
  <c r="I295" i="18" l="1"/>
  <c r="C296" i="18" s="1"/>
  <c r="H296" i="18" l="1"/>
  <c r="J296" i="18" s="1"/>
  <c r="E296" i="18"/>
  <c r="F296" i="18" l="1"/>
  <c r="G296" i="18" l="1"/>
  <c r="I296" i="18" l="1"/>
  <c r="C297" i="18" s="1"/>
  <c r="H297" i="18" l="1"/>
  <c r="J297" i="18" s="1"/>
  <c r="E297" i="18"/>
  <c r="F297" i="18" l="1"/>
  <c r="G297" i="18" l="1"/>
  <c r="I297" i="18" l="1"/>
  <c r="C298" i="18" s="1"/>
  <c r="H298" i="18" l="1"/>
  <c r="J298" i="18" s="1"/>
  <c r="E298" i="18"/>
  <c r="F298" i="18" l="1"/>
  <c r="G298" i="18" l="1"/>
  <c r="I298" i="18" l="1"/>
  <c r="C299" i="18" s="1"/>
  <c r="H299" i="18" l="1"/>
  <c r="J299" i="18" s="1"/>
  <c r="E299" i="18"/>
  <c r="F299" i="18" l="1"/>
  <c r="G299" i="18" l="1"/>
  <c r="I299" i="18" l="1"/>
  <c r="C300" i="18" s="1"/>
  <c r="H300" i="18" l="1"/>
  <c r="J300" i="18" s="1"/>
  <c r="E300" i="18"/>
  <c r="F300" i="18" l="1"/>
  <c r="G300" i="18" l="1"/>
  <c r="I300" i="18" l="1"/>
  <c r="C301" i="18" s="1"/>
  <c r="H301" i="18" l="1"/>
  <c r="J301" i="18" s="1"/>
  <c r="E301" i="18"/>
  <c r="F301" i="18" l="1"/>
  <c r="G301" i="18" l="1"/>
  <c r="I301" i="18" l="1"/>
  <c r="C302" i="18" s="1"/>
  <c r="H302" i="18" l="1"/>
  <c r="J302" i="18" s="1"/>
  <c r="E302" i="18"/>
  <c r="F302" i="18" l="1"/>
  <c r="G302" i="18" l="1"/>
  <c r="I302" i="18" l="1"/>
  <c r="C303" i="18" s="1"/>
  <c r="H303" i="18" l="1"/>
  <c r="J303" i="18" s="1"/>
  <c r="E303" i="18"/>
  <c r="F303" i="18" l="1"/>
  <c r="G303" i="18" l="1"/>
  <c r="I303" i="18" l="1"/>
  <c r="C304" i="18" s="1"/>
  <c r="H304" i="18" l="1"/>
  <c r="J304" i="18" s="1"/>
  <c r="E304" i="18"/>
  <c r="F304" i="18" l="1"/>
  <c r="G304" i="18" l="1"/>
  <c r="I304" i="18" l="1"/>
  <c r="C305" i="18" s="1"/>
  <c r="H305" i="18" l="1"/>
  <c r="J305" i="18" s="1"/>
  <c r="E305" i="18"/>
  <c r="F305" i="18" l="1"/>
  <c r="G305" i="18" l="1"/>
  <c r="I305" i="18" l="1"/>
  <c r="C306" i="18" s="1"/>
  <c r="H306" i="18" l="1"/>
  <c r="J306" i="18" s="1"/>
  <c r="E306" i="18"/>
  <c r="F306" i="18" l="1"/>
  <c r="G306" i="18" l="1"/>
  <c r="I306" i="18" l="1"/>
  <c r="C307" i="18" s="1"/>
  <c r="E307" i="18" l="1"/>
  <c r="H307" i="18"/>
  <c r="J307" i="18" s="1"/>
  <c r="F307" i="18" l="1"/>
  <c r="G307" i="18" l="1"/>
  <c r="I307" i="18" l="1"/>
  <c r="C308" i="18" s="1"/>
  <c r="E308" i="18" l="1"/>
  <c r="H308" i="18"/>
  <c r="J308" i="18" s="1"/>
  <c r="F308" i="18" l="1"/>
  <c r="G308" i="18" l="1"/>
  <c r="I308" i="18" l="1"/>
  <c r="C309" i="18" s="1"/>
  <c r="H309" i="18" l="1"/>
  <c r="J309" i="18" s="1"/>
  <c r="E309" i="18"/>
  <c r="F309" i="18" l="1"/>
  <c r="G309" i="18" l="1"/>
  <c r="I309" i="18" l="1"/>
  <c r="C310" i="18" s="1"/>
  <c r="E310" i="18" l="1"/>
  <c r="H310" i="18"/>
  <c r="J310" i="18" s="1"/>
  <c r="F310" i="18" l="1"/>
  <c r="G310" i="18" l="1"/>
  <c r="I310" i="18" l="1"/>
  <c r="C311" i="18" s="1"/>
  <c r="H311" i="18" l="1"/>
  <c r="J311" i="18" s="1"/>
  <c r="E311" i="18"/>
  <c r="F311" i="18" l="1"/>
  <c r="G311" i="18" l="1"/>
  <c r="I311" i="18" l="1"/>
  <c r="C312" i="18" s="1"/>
  <c r="H312" i="18" l="1"/>
  <c r="J312" i="18" s="1"/>
  <c r="E312" i="18"/>
  <c r="F312" i="18" l="1"/>
  <c r="G312" i="18" l="1"/>
  <c r="I312" i="18" l="1"/>
  <c r="C313" i="18" s="1"/>
  <c r="H313" i="18" l="1"/>
  <c r="J313" i="18" s="1"/>
  <c r="E313" i="18"/>
  <c r="F313" i="18" l="1"/>
  <c r="G313" i="18" l="1"/>
  <c r="I313" i="18" l="1"/>
  <c r="C314" i="18" s="1"/>
  <c r="H314" i="18" l="1"/>
  <c r="J314" i="18" s="1"/>
  <c r="E314" i="18"/>
  <c r="F314" i="18" l="1"/>
  <c r="G314" i="18" l="1"/>
  <c r="I314" i="18" l="1"/>
  <c r="C315" i="18" s="1"/>
  <c r="H315" i="18" l="1"/>
  <c r="J315" i="18" s="1"/>
  <c r="E315" i="18"/>
  <c r="F315" i="18" l="1"/>
  <c r="G315" i="18" l="1"/>
  <c r="I315" i="18" l="1"/>
  <c r="C316" i="18" s="1"/>
  <c r="H316" i="18" l="1"/>
  <c r="J316" i="18" s="1"/>
  <c r="E316" i="18"/>
  <c r="F316" i="18" l="1"/>
  <c r="G316" i="18" l="1"/>
  <c r="I316" i="18" l="1"/>
  <c r="C317" i="18" s="1"/>
  <c r="H317" i="18" l="1"/>
  <c r="J317" i="18" s="1"/>
  <c r="E317" i="18"/>
  <c r="F317" i="18" l="1"/>
  <c r="G317" i="18" l="1"/>
  <c r="I317" i="18" l="1"/>
  <c r="C318" i="18" s="1"/>
  <c r="E318" i="18" l="1"/>
  <c r="H318" i="18"/>
  <c r="J318" i="18" s="1"/>
  <c r="F318" i="18" l="1"/>
  <c r="G318" i="18" l="1"/>
  <c r="I318" i="18" l="1"/>
  <c r="C319" i="18" s="1"/>
  <c r="E319" i="18" l="1"/>
  <c r="H319" i="18"/>
  <c r="J319" i="18" s="1"/>
  <c r="F319" i="18" l="1"/>
  <c r="G319" i="18" l="1"/>
  <c r="I319" i="18" l="1"/>
  <c r="C320" i="18" s="1"/>
  <c r="E320" i="18" l="1"/>
  <c r="H320" i="18"/>
  <c r="J320" i="18" s="1"/>
  <c r="F320" i="18" l="1"/>
  <c r="G320" i="18" l="1"/>
  <c r="I320" i="18" l="1"/>
  <c r="C321" i="18" s="1"/>
  <c r="H321" i="18" l="1"/>
  <c r="J321" i="18" s="1"/>
  <c r="E321" i="18"/>
  <c r="F321" i="18" l="1"/>
  <c r="G321" i="18" l="1"/>
  <c r="I321" i="18" l="1"/>
  <c r="C322" i="18" s="1"/>
  <c r="E322" i="18" l="1"/>
  <c r="H322" i="18"/>
  <c r="J322" i="18" s="1"/>
  <c r="F322" i="18" l="1"/>
  <c r="G322" i="18" l="1"/>
  <c r="I322" i="18" l="1"/>
  <c r="C323" i="18" s="1"/>
  <c r="E323" i="18" l="1"/>
  <c r="H323" i="18"/>
  <c r="J323" i="18" s="1"/>
  <c r="F323" i="18" l="1"/>
  <c r="G323" i="18" l="1"/>
  <c r="I323" i="18" l="1"/>
  <c r="C324" i="18" s="1"/>
  <c r="E324" i="18" l="1"/>
  <c r="H324" i="18"/>
  <c r="J324" i="18" s="1"/>
  <c r="F324" i="18" l="1"/>
  <c r="G324" i="18" l="1"/>
  <c r="I324" i="18" l="1"/>
  <c r="C325" i="18" s="1"/>
  <c r="H325" i="18" l="1"/>
  <c r="J325" i="18" s="1"/>
  <c r="E325" i="18"/>
  <c r="F325" i="18" l="1"/>
  <c r="G325" i="18" l="1"/>
  <c r="I325" i="18" l="1"/>
  <c r="C326" i="18" s="1"/>
  <c r="H326" i="18" l="1"/>
  <c r="J326" i="18" s="1"/>
  <c r="E326" i="18"/>
  <c r="F326" i="18" l="1"/>
  <c r="G326" i="18" l="1"/>
  <c r="I326" i="18" l="1"/>
  <c r="C327" i="18" s="1"/>
  <c r="H327" i="18" l="1"/>
  <c r="J327" i="18" s="1"/>
  <c r="E327" i="18"/>
  <c r="F327" i="18" l="1"/>
  <c r="G327" i="18" l="1"/>
  <c r="I327" i="18" l="1"/>
  <c r="C328" i="18" s="1"/>
  <c r="H328" i="18" l="1"/>
  <c r="J328" i="18" s="1"/>
  <c r="E328" i="18"/>
  <c r="F328" i="18" l="1"/>
  <c r="G328" i="18" l="1"/>
  <c r="I328" i="18" l="1"/>
  <c r="C329" i="18" s="1"/>
  <c r="H329" i="18" l="1"/>
  <c r="J329" i="18" s="1"/>
  <c r="E329" i="18"/>
  <c r="F329" i="18" l="1"/>
  <c r="G329" i="18" l="1"/>
  <c r="I329" i="18" l="1"/>
  <c r="C330" i="18" s="1"/>
  <c r="H330" i="18" l="1"/>
  <c r="J330" i="18" s="1"/>
  <c r="E330" i="18"/>
  <c r="F330" i="18" l="1"/>
  <c r="G330" i="18" l="1"/>
  <c r="I330" i="18" l="1"/>
  <c r="C331" i="18" s="1"/>
  <c r="H331" i="18" l="1"/>
  <c r="J331" i="18" s="1"/>
  <c r="E331" i="18"/>
  <c r="F331" i="18" l="1"/>
  <c r="G331" i="18" l="1"/>
  <c r="I331" i="18" l="1"/>
  <c r="C332" i="18" s="1"/>
  <c r="H332" i="18" l="1"/>
  <c r="J332" i="18" s="1"/>
  <c r="E332" i="18"/>
  <c r="F332" i="18" l="1"/>
  <c r="G332" i="18" l="1"/>
  <c r="I332" i="18" l="1"/>
  <c r="C333" i="18" s="1"/>
  <c r="H333" i="18" l="1"/>
  <c r="J333" i="18" s="1"/>
  <c r="E333" i="18"/>
  <c r="F333" i="18" l="1"/>
  <c r="G333" i="18" l="1"/>
  <c r="I333" i="18" l="1"/>
  <c r="C334" i="18" s="1"/>
  <c r="E334" i="18" l="1"/>
  <c r="H334" i="18"/>
  <c r="J334" i="18" s="1"/>
  <c r="F334" i="18" l="1"/>
  <c r="G334" i="18" l="1"/>
  <c r="I334" i="18" l="1"/>
  <c r="C335" i="18" s="1"/>
  <c r="H335" i="18" l="1"/>
  <c r="J335" i="18" s="1"/>
  <c r="E335" i="18"/>
  <c r="F335" i="18" l="1"/>
  <c r="G335" i="18" l="1"/>
  <c r="I335" i="18" l="1"/>
  <c r="C336" i="18" s="1"/>
  <c r="H336" i="18" l="1"/>
  <c r="J336" i="18" s="1"/>
  <c r="E336" i="18"/>
  <c r="F336" i="18" l="1"/>
  <c r="G336" i="18" l="1"/>
  <c r="I336" i="18" l="1"/>
  <c r="C337" i="18" s="1"/>
  <c r="H337" i="18" l="1"/>
  <c r="J337" i="18" s="1"/>
  <c r="E337" i="18"/>
  <c r="F337" i="18" l="1"/>
  <c r="G337" i="18" l="1"/>
  <c r="I337" i="18" l="1"/>
  <c r="C338" i="18" s="1"/>
  <c r="H338" i="18" l="1"/>
  <c r="J338" i="18" s="1"/>
  <c r="E338" i="18"/>
  <c r="F338" i="18" l="1"/>
  <c r="G338" i="18" l="1"/>
  <c r="I338" i="18" l="1"/>
  <c r="C339" i="18" s="1"/>
  <c r="H339" i="18" l="1"/>
  <c r="J339" i="18" s="1"/>
  <c r="E339" i="18"/>
  <c r="F339" i="18" l="1"/>
  <c r="G339" i="18" l="1"/>
  <c r="I339" i="18" l="1"/>
  <c r="C340" i="18" s="1"/>
  <c r="H340" i="18" l="1"/>
  <c r="J340" i="18" s="1"/>
  <c r="E340" i="18"/>
  <c r="F340" i="18" l="1"/>
  <c r="G340" i="18" l="1"/>
  <c r="I340" i="18" l="1"/>
  <c r="C341" i="18" s="1"/>
  <c r="H341" i="18" l="1"/>
  <c r="J341" i="18" s="1"/>
  <c r="E341" i="18"/>
  <c r="F341" i="18" l="1"/>
  <c r="G341" i="18" l="1"/>
  <c r="I341" i="18" l="1"/>
  <c r="C342" i="18" s="1"/>
  <c r="E342" i="18" l="1"/>
  <c r="H342" i="18"/>
  <c r="J342" i="18" s="1"/>
  <c r="F342" i="18" l="1"/>
  <c r="G342" i="18" l="1"/>
  <c r="I342" i="18" l="1"/>
  <c r="C343" i="18" s="1"/>
  <c r="E343" i="18" l="1"/>
  <c r="H343" i="18"/>
  <c r="J343" i="18" s="1"/>
  <c r="F343" i="18" l="1"/>
  <c r="G343" i="18" l="1"/>
  <c r="I343" i="18" l="1"/>
  <c r="C344" i="18" s="1"/>
  <c r="E344" i="18" l="1"/>
  <c r="H344" i="18"/>
  <c r="J344" i="18" s="1"/>
  <c r="F344" i="18" l="1"/>
  <c r="G344" i="18" l="1"/>
  <c r="I344" i="18" l="1"/>
  <c r="C345" i="18" s="1"/>
  <c r="H345" i="18" l="1"/>
  <c r="J345" i="18" s="1"/>
  <c r="E345" i="18"/>
  <c r="F345" i="18" l="1"/>
  <c r="G345" i="18" l="1"/>
  <c r="I345" i="18" l="1"/>
  <c r="C346" i="18" s="1"/>
  <c r="H346" i="18" l="1"/>
  <c r="J346" i="18" s="1"/>
  <c r="E346" i="18"/>
  <c r="F346" i="18" l="1"/>
  <c r="G346" i="18" l="1"/>
  <c r="I346" i="18" l="1"/>
  <c r="C347" i="18" s="1"/>
  <c r="H347" i="18" l="1"/>
  <c r="J347" i="18" s="1"/>
  <c r="E347" i="18"/>
  <c r="F347" i="18" l="1"/>
  <c r="G347" i="18" l="1"/>
  <c r="I347" i="18" l="1"/>
  <c r="C348" i="18" s="1"/>
  <c r="H348" i="18" l="1"/>
  <c r="J348" i="18" s="1"/>
  <c r="E348" i="18"/>
  <c r="F348" i="18" l="1"/>
  <c r="G348" i="18" l="1"/>
  <c r="I348" i="18" l="1"/>
  <c r="C349" i="18" s="1"/>
  <c r="H349" i="18" l="1"/>
  <c r="J349" i="18" s="1"/>
  <c r="E349" i="18"/>
  <c r="F349" i="18" l="1"/>
  <c r="G349" i="18" l="1"/>
  <c r="I349" i="18" l="1"/>
  <c r="C350" i="18" s="1"/>
  <c r="H350" i="18" l="1"/>
  <c r="J350" i="18" s="1"/>
  <c r="E350" i="18"/>
  <c r="F350" i="18" l="1"/>
  <c r="G350" i="18" l="1"/>
  <c r="I350" i="18" l="1"/>
  <c r="C351" i="18" s="1"/>
  <c r="H351" i="18" l="1"/>
  <c r="J351" i="18" s="1"/>
  <c r="E351" i="18"/>
  <c r="F351" i="18" l="1"/>
  <c r="G351" i="18" l="1"/>
  <c r="I351" i="18" l="1"/>
  <c r="C352" i="18" s="1"/>
  <c r="H352" i="18" l="1"/>
  <c r="J352" i="18" s="1"/>
  <c r="E352" i="18"/>
  <c r="F352" i="18" l="1"/>
  <c r="G352" i="18" l="1"/>
  <c r="I352" i="18" l="1"/>
  <c r="C353" i="18" s="1"/>
  <c r="H353" i="18" l="1"/>
  <c r="J353" i="18" s="1"/>
  <c r="E353" i="18"/>
  <c r="F353" i="18" l="1"/>
  <c r="G353" i="18" l="1"/>
  <c r="I353" i="18" l="1"/>
  <c r="C354" i="18" s="1"/>
  <c r="H354" i="18" l="1"/>
  <c r="J354" i="18" s="1"/>
  <c r="E354" i="18"/>
  <c r="F354" i="18" l="1"/>
  <c r="G354" i="18" l="1"/>
  <c r="I354" i="18" l="1"/>
  <c r="C355" i="18" s="1"/>
  <c r="H355" i="18" l="1"/>
  <c r="J355" i="18" s="1"/>
  <c r="E355" i="18"/>
  <c r="F355" i="18" l="1"/>
  <c r="G355" i="18" l="1"/>
  <c r="I355" i="18" l="1"/>
  <c r="C356" i="18" s="1"/>
  <c r="H356" i="18" l="1"/>
  <c r="J356" i="18" s="1"/>
  <c r="E356" i="18"/>
  <c r="F356" i="18" l="1"/>
  <c r="G356" i="18" l="1"/>
  <c r="I356" i="18" l="1"/>
  <c r="C357" i="18" s="1"/>
  <c r="H357" i="18" l="1"/>
  <c r="J357" i="18" s="1"/>
  <c r="E357" i="18"/>
  <c r="F357" i="18" l="1"/>
  <c r="G357" i="18" l="1"/>
  <c r="I357" i="18" l="1"/>
  <c r="C358" i="18" s="1"/>
  <c r="H358" i="18" l="1"/>
  <c r="J358" i="18" s="1"/>
  <c r="E358" i="18"/>
  <c r="F358" i="18" l="1"/>
  <c r="G358" i="18" l="1"/>
  <c r="I358" i="18" l="1"/>
  <c r="C359" i="18" s="1"/>
  <c r="H359" i="18" l="1"/>
  <c r="J359" i="18" s="1"/>
  <c r="E359" i="18"/>
  <c r="F359" i="18" l="1"/>
  <c r="G359" i="18" l="1"/>
  <c r="I359" i="18" l="1"/>
  <c r="C360" i="18" s="1"/>
  <c r="H360" i="18" l="1"/>
  <c r="J360" i="18" s="1"/>
  <c r="E360" i="18"/>
  <c r="F360" i="18" l="1"/>
  <c r="G360" i="18" l="1"/>
  <c r="I360" i="18" l="1"/>
  <c r="C361" i="18" s="1"/>
  <c r="H361" i="18" l="1"/>
  <c r="J361" i="18" s="1"/>
  <c r="E361" i="18"/>
  <c r="F361" i="18" l="1"/>
  <c r="G361" i="18" l="1"/>
  <c r="I361" i="18" l="1"/>
  <c r="C362" i="18" s="1"/>
  <c r="H362" i="18" l="1"/>
  <c r="J362" i="18" s="1"/>
  <c r="E362" i="18"/>
  <c r="F362" i="18" l="1"/>
  <c r="G362" i="18" l="1"/>
  <c r="I362" i="18" l="1"/>
  <c r="C363" i="18" s="1"/>
  <c r="H363" i="18" l="1"/>
  <c r="J363" i="18" s="1"/>
  <c r="E363" i="18"/>
  <c r="F363" i="18" l="1"/>
  <c r="G363" i="18" l="1"/>
  <c r="I363" i="18" l="1"/>
  <c r="C364" i="18" s="1"/>
  <c r="E364" i="18" l="1"/>
  <c r="H364" i="18"/>
  <c r="J364" i="18" s="1"/>
  <c r="F364" i="18" l="1"/>
  <c r="G364" i="18" l="1"/>
  <c r="I364" i="18" l="1"/>
  <c r="C365" i="18" s="1"/>
  <c r="E365" i="18" l="1"/>
  <c r="H365" i="18"/>
  <c r="J365" i="18" s="1"/>
  <c r="F365" i="18" l="1"/>
  <c r="G365" i="18" l="1"/>
  <c r="I365" i="18" l="1"/>
  <c r="C366" i="18" s="1"/>
  <c r="H366" i="18" l="1"/>
  <c r="J366" i="18" s="1"/>
  <c r="E366" i="18"/>
  <c r="F366" i="18" l="1"/>
  <c r="G366" i="18" l="1"/>
  <c r="I366" i="18" l="1"/>
  <c r="C367" i="18" s="1"/>
  <c r="H367" i="18" l="1"/>
  <c r="J367" i="18" s="1"/>
  <c r="E367" i="18"/>
  <c r="F367" i="18" l="1"/>
  <c r="G367" i="18" l="1"/>
  <c r="I367" i="18" l="1"/>
  <c r="C368" i="18" s="1"/>
  <c r="H368" i="18" l="1"/>
  <c r="J368" i="18" s="1"/>
  <c r="E368" i="18"/>
  <c r="F368" i="18" l="1"/>
  <c r="G368" i="18" l="1"/>
  <c r="I368" i="18" l="1"/>
  <c r="C369" i="18" s="1"/>
  <c r="E369" i="18" l="1"/>
  <c r="H369" i="18"/>
  <c r="J369" i="18" s="1"/>
  <c r="F369" i="18" l="1"/>
  <c r="G369" i="18" l="1"/>
  <c r="I369" i="18" l="1"/>
  <c r="C370" i="18" s="1"/>
  <c r="H370" i="18" l="1"/>
  <c r="J370" i="18" s="1"/>
  <c r="E370" i="18"/>
  <c r="F370" i="18" l="1"/>
  <c r="G370" i="18" l="1"/>
  <c r="I370" i="18" l="1"/>
  <c r="C371" i="18" s="1"/>
  <c r="H371" i="18" l="1"/>
  <c r="J371" i="18" s="1"/>
  <c r="E371" i="18"/>
  <c r="F371" i="18" l="1"/>
  <c r="G371" i="18" l="1"/>
  <c r="I371" i="18" l="1"/>
  <c r="C372" i="18" s="1"/>
  <c r="H372" i="18" l="1"/>
  <c r="J372" i="18" s="1"/>
  <c r="E372" i="18"/>
  <c r="F372" i="18" l="1"/>
  <c r="G372" i="18" l="1"/>
  <c r="I372" i="18" l="1"/>
  <c r="C373" i="18" s="1"/>
  <c r="E373" i="18" l="1"/>
  <c r="H373" i="18"/>
  <c r="J373" i="18" s="1"/>
  <c r="F373" i="18" l="1"/>
  <c r="G373" i="18" l="1"/>
  <c r="I373" i="18" l="1"/>
  <c r="C374" i="18" s="1"/>
  <c r="H374" i="18" l="1"/>
  <c r="J374" i="18" s="1"/>
  <c r="E374" i="18"/>
  <c r="F374" i="18" l="1"/>
  <c r="G374" i="18" l="1"/>
  <c r="I374" i="18" l="1"/>
  <c r="C375" i="18" s="1"/>
  <c r="E375" i="18" l="1"/>
  <c r="H375" i="18"/>
  <c r="J375" i="18" s="1"/>
  <c r="F375" i="18" l="1"/>
  <c r="G375" i="18" l="1"/>
  <c r="I375" i="18" l="1"/>
  <c r="C376" i="18" s="1"/>
  <c r="E376" i="18" l="1"/>
  <c r="H376" i="18"/>
  <c r="J376" i="18" s="1"/>
  <c r="F376" i="18" l="1"/>
  <c r="G376" i="18" l="1"/>
  <c r="I376" i="18" l="1"/>
  <c r="C377" i="18" s="1"/>
  <c r="H377" i="18" l="1"/>
  <c r="J377" i="18" s="1"/>
  <c r="E377" i="18"/>
  <c r="I377" i="18" l="1"/>
  <c r="C378" i="18" s="1"/>
  <c r="F377" i="18"/>
  <c r="G377" i="18" l="1"/>
  <c r="E378" i="18"/>
  <c r="H378" i="18"/>
  <c r="J378" i="18" s="1"/>
  <c r="F378" i="18" l="1"/>
  <c r="I378" i="18"/>
  <c r="C379" i="18" s="1"/>
  <c r="E379" i="18" l="1"/>
  <c r="H379" i="18"/>
  <c r="J379" i="18" s="1"/>
  <c r="G378" i="18"/>
  <c r="F379" i="18" l="1"/>
  <c r="I379" i="18"/>
  <c r="C380" i="18" s="1"/>
  <c r="E380" i="18" l="1"/>
  <c r="H380" i="18"/>
  <c r="J380" i="18" s="1"/>
  <c r="G379" i="18"/>
  <c r="F380" i="18" l="1"/>
  <c r="I380" i="18"/>
  <c r="C381" i="18" s="1"/>
  <c r="H381" i="18" l="1"/>
  <c r="J381" i="18" s="1"/>
  <c r="E381" i="18"/>
  <c r="G380" i="18"/>
  <c r="F381" i="18" l="1"/>
  <c r="I381" i="18"/>
  <c r="C382" i="18" s="1"/>
  <c r="E382" i="18" l="1"/>
  <c r="H382" i="18"/>
  <c r="J382" i="18" s="1"/>
  <c r="G381" i="18"/>
  <c r="I382" i="18" l="1"/>
  <c r="C383" i="18" s="1"/>
  <c r="F382" i="18"/>
  <c r="G382" i="18" l="1"/>
  <c r="E383" i="18"/>
  <c r="H383" i="18"/>
  <c r="J383" i="18" s="1"/>
  <c r="I383" i="18" l="1"/>
  <c r="C384" i="18" s="1"/>
  <c r="F383" i="18"/>
  <c r="G383" i="18" l="1"/>
  <c r="H384" i="18"/>
  <c r="J384" i="18" s="1"/>
  <c r="E384" i="18"/>
  <c r="I384" i="18" l="1"/>
  <c r="C385" i="18" s="1"/>
  <c r="F384" i="18"/>
  <c r="G384" i="18" l="1"/>
  <c r="H385" i="18"/>
  <c r="J385" i="18" s="1"/>
  <c r="E385" i="18"/>
  <c r="F385" i="18" l="1"/>
  <c r="I385" i="18"/>
  <c r="C386" i="18" s="1"/>
  <c r="H386" i="18" l="1"/>
  <c r="J386" i="18" s="1"/>
  <c r="E386" i="18"/>
  <c r="G385" i="18"/>
  <c r="F386" i="18" l="1"/>
  <c r="I386" i="18"/>
  <c r="C387" i="18" s="1"/>
  <c r="E387" i="18" l="1"/>
  <c r="H387" i="18"/>
  <c r="J387" i="18" s="1"/>
  <c r="G386" i="18"/>
  <c r="F387" i="18" l="1"/>
  <c r="I387" i="18"/>
  <c r="C388" i="18" s="1"/>
  <c r="E388" i="18" l="1"/>
  <c r="H388" i="18"/>
  <c r="J388" i="18" s="1"/>
  <c r="G387" i="18"/>
  <c r="F388" i="18" l="1"/>
  <c r="I388" i="18"/>
  <c r="C389" i="18" s="1"/>
  <c r="E389" i="18" l="1"/>
  <c r="H389" i="18"/>
  <c r="J389" i="18" s="1"/>
  <c r="G388" i="18"/>
  <c r="I389" i="18" l="1"/>
  <c r="C390" i="18" s="1"/>
  <c r="F389" i="18"/>
  <c r="G389" i="18" l="1"/>
  <c r="H390" i="18"/>
  <c r="J390" i="18" s="1"/>
  <c r="E390" i="18"/>
  <c r="I390" i="18" l="1"/>
  <c r="C391" i="18" s="1"/>
  <c r="F390" i="18"/>
  <c r="G390" i="18" l="1"/>
  <c r="H391" i="18"/>
  <c r="J391" i="18" s="1"/>
  <c r="E391" i="18"/>
  <c r="F391" i="18" l="1"/>
  <c r="I391" i="18"/>
  <c r="C392" i="18" s="1"/>
  <c r="E392" i="18" l="1"/>
  <c r="H392" i="18"/>
  <c r="J392" i="18" s="1"/>
  <c r="G391" i="18"/>
  <c r="I392" i="18" l="1"/>
  <c r="C393" i="18" s="1"/>
  <c r="F392" i="18"/>
  <c r="G392" i="18" l="1"/>
  <c r="H393" i="18"/>
  <c r="J393" i="18" s="1"/>
  <c r="E393" i="18"/>
  <c r="I393" i="18" l="1"/>
  <c r="C394" i="18" s="1"/>
  <c r="F393" i="18"/>
  <c r="E394" i="18" l="1"/>
  <c r="H394" i="18"/>
  <c r="J394" i="18" s="1"/>
  <c r="G393" i="18"/>
  <c r="F394" i="18" l="1"/>
  <c r="I394" i="18"/>
  <c r="C395" i="18" s="1"/>
  <c r="E395" i="18" l="1"/>
  <c r="H395" i="18"/>
  <c r="J395" i="18" s="1"/>
  <c r="G394" i="18"/>
  <c r="F395" i="18" l="1"/>
  <c r="I395" i="18"/>
  <c r="C396" i="18" s="1"/>
  <c r="E396" i="18" l="1"/>
  <c r="H396" i="18"/>
  <c r="J396" i="18" s="1"/>
  <c r="G395" i="18"/>
  <c r="F396" i="18" l="1"/>
  <c r="I396" i="18"/>
  <c r="C397" i="18" s="1"/>
  <c r="E397" i="18" l="1"/>
  <c r="H397" i="18"/>
  <c r="J397" i="18" s="1"/>
  <c r="G396" i="18"/>
  <c r="F397" i="18" l="1"/>
  <c r="I397" i="18"/>
  <c r="C398" i="18" s="1"/>
  <c r="H398" i="18" l="1"/>
  <c r="J398" i="18" s="1"/>
  <c r="E398" i="18"/>
  <c r="G397" i="18"/>
  <c r="F398" i="18" l="1"/>
  <c r="I398" i="18"/>
  <c r="C399" i="18" s="1"/>
  <c r="E399" i="18" l="1"/>
  <c r="H399" i="18"/>
  <c r="J399" i="18" s="1"/>
  <c r="G398" i="18"/>
  <c r="F399" i="18" l="1"/>
  <c r="I399" i="18"/>
  <c r="C400" i="18" s="1"/>
  <c r="E400" i="18" l="1"/>
  <c r="H400" i="18"/>
  <c r="J400" i="18" s="1"/>
  <c r="G399" i="18"/>
  <c r="I400" i="18" l="1"/>
  <c r="C401" i="18" s="1"/>
  <c r="F400" i="18"/>
  <c r="G400" i="18" l="1"/>
  <c r="H401" i="18"/>
  <c r="J401" i="18" s="1"/>
  <c r="E401" i="18"/>
  <c r="F401" i="18" l="1"/>
  <c r="I401" i="18"/>
  <c r="C402" i="18" s="1"/>
  <c r="G401" i="18" l="1"/>
  <c r="E402" i="18"/>
  <c r="H402" i="18"/>
  <c r="J402" i="18" s="1"/>
  <c r="I402" i="18" l="1"/>
  <c r="C403" i="18" s="1"/>
  <c r="F402" i="18"/>
  <c r="G402" i="18" l="1"/>
  <c r="H403" i="18"/>
  <c r="J403" i="18" s="1"/>
  <c r="E403" i="18"/>
  <c r="I403" i="18" l="1"/>
  <c r="C404" i="18" s="1"/>
  <c r="F403" i="18"/>
  <c r="G403" i="18" l="1"/>
  <c r="E404" i="18"/>
  <c r="H404" i="18"/>
  <c r="J404" i="18" s="1"/>
  <c r="I404" i="18" l="1"/>
  <c r="C405" i="18" s="1"/>
  <c r="F404" i="18"/>
  <c r="G404" i="18" l="1"/>
  <c r="H405" i="18"/>
  <c r="J405" i="18" s="1"/>
  <c r="E405" i="18"/>
  <c r="I405" i="18" l="1"/>
  <c r="C406" i="18" s="1"/>
  <c r="F405" i="18"/>
  <c r="E406" i="18" l="1"/>
  <c r="H406" i="18"/>
  <c r="J406" i="18" s="1"/>
  <c r="G405" i="18"/>
  <c r="I406" i="18" l="1"/>
  <c r="C407" i="18" s="1"/>
  <c r="F406" i="18"/>
  <c r="G406" i="18" l="1"/>
  <c r="H407" i="18"/>
  <c r="J407" i="18" s="1"/>
  <c r="E407" i="18"/>
  <c r="F407" i="18" l="1"/>
  <c r="I407" i="18"/>
  <c r="C408" i="18" s="1"/>
  <c r="E408" i="18" l="1"/>
  <c r="H408" i="18"/>
  <c r="J408" i="18" s="1"/>
  <c r="G407" i="18"/>
  <c r="I408" i="18" l="1"/>
  <c r="C409" i="18" s="1"/>
  <c r="F408" i="18"/>
  <c r="G408" i="18" l="1"/>
  <c r="H409" i="18"/>
  <c r="J409" i="18" s="1"/>
  <c r="E409" i="18"/>
  <c r="I409" i="18" l="1"/>
  <c r="C410" i="18" s="1"/>
  <c r="F409" i="18"/>
  <c r="G409" i="18" l="1"/>
  <c r="E410" i="18"/>
  <c r="H410" i="18"/>
  <c r="J410" i="18" s="1"/>
  <c r="F410" i="18" l="1"/>
  <c r="I410" i="18"/>
  <c r="C411" i="18" s="1"/>
  <c r="E411" i="18" l="1"/>
  <c r="H411" i="18"/>
  <c r="J411" i="18" s="1"/>
  <c r="G410" i="18"/>
  <c r="F411" i="18" l="1"/>
  <c r="I411" i="18"/>
  <c r="C412" i="18" s="1"/>
  <c r="E412" i="18" l="1"/>
  <c r="H412" i="18"/>
  <c r="J412" i="18" s="1"/>
  <c r="G411" i="18"/>
  <c r="I412" i="18" l="1"/>
  <c r="C413" i="18" s="1"/>
  <c r="F412" i="18"/>
  <c r="G412" i="18" l="1"/>
  <c r="E413" i="18"/>
  <c r="H413" i="18"/>
  <c r="J413" i="18" s="1"/>
  <c r="I413" i="18" l="1"/>
  <c r="C414" i="18" s="1"/>
  <c r="F413" i="18"/>
  <c r="G413" i="18" l="1"/>
  <c r="H414" i="18"/>
  <c r="J414" i="18" s="1"/>
  <c r="E414" i="18"/>
  <c r="I414" i="18" l="1"/>
  <c r="C415" i="18" s="1"/>
  <c r="F414" i="18"/>
  <c r="G414" i="18" l="1"/>
  <c r="H415" i="18"/>
  <c r="J415" i="18" s="1"/>
  <c r="E415" i="18"/>
  <c r="I415" i="18" l="1"/>
  <c r="C416" i="18" s="1"/>
  <c r="F415" i="18"/>
  <c r="G415" i="18" l="1"/>
  <c r="E416" i="18"/>
  <c r="H416" i="18"/>
  <c r="J416" i="18" s="1"/>
  <c r="I416" i="18" l="1"/>
  <c r="C417" i="18" s="1"/>
  <c r="F416" i="18"/>
  <c r="G416" i="18" l="1"/>
  <c r="H417" i="18"/>
  <c r="J417" i="18" s="1"/>
  <c r="E417" i="18"/>
  <c r="F417" i="18" l="1"/>
  <c r="I417" i="18"/>
  <c r="C418" i="18" s="1"/>
  <c r="E418" i="18" l="1"/>
  <c r="H418" i="18"/>
  <c r="J418" i="18" s="1"/>
  <c r="G417" i="18"/>
  <c r="F418" i="18" l="1"/>
  <c r="I418" i="18"/>
  <c r="C419" i="18" s="1"/>
  <c r="E419" i="18" l="1"/>
  <c r="H419" i="18"/>
  <c r="J419" i="18" s="1"/>
  <c r="G418" i="18"/>
  <c r="F419" i="18" l="1"/>
  <c r="I419" i="18"/>
  <c r="C420" i="18" s="1"/>
  <c r="H420" i="18" l="1"/>
  <c r="J420" i="18" s="1"/>
  <c r="E420" i="18"/>
  <c r="G419" i="18"/>
  <c r="I420" i="18" l="1"/>
  <c r="C421" i="18" s="1"/>
  <c r="F420" i="18"/>
  <c r="G420" i="18" l="1"/>
  <c r="H421" i="18"/>
  <c r="J421" i="18" s="1"/>
  <c r="E421" i="18"/>
  <c r="I421" i="18" l="1"/>
  <c r="C422" i="18" s="1"/>
  <c r="F421" i="18"/>
  <c r="G421" i="18" l="1"/>
  <c r="E422" i="18"/>
  <c r="H422" i="18"/>
  <c r="J422" i="18" s="1"/>
  <c r="I422" i="18" l="1"/>
  <c r="C423" i="18" s="1"/>
  <c r="F422" i="18"/>
  <c r="G422" i="18" l="1"/>
  <c r="H423" i="18"/>
  <c r="J423" i="18" s="1"/>
  <c r="E423" i="18"/>
  <c r="I423" i="18" l="1"/>
  <c r="C424" i="18" s="1"/>
  <c r="F423" i="18"/>
  <c r="G423" i="18" l="1"/>
  <c r="E424" i="18"/>
  <c r="H424" i="18"/>
  <c r="J424" i="18" s="1"/>
  <c r="F424" i="18" l="1"/>
  <c r="I424" i="18"/>
  <c r="C425" i="18" s="1"/>
  <c r="E425" i="18" l="1"/>
  <c r="H425" i="18"/>
  <c r="J425" i="18" s="1"/>
  <c r="G424" i="18"/>
  <c r="F425" i="18" l="1"/>
  <c r="I425" i="18"/>
  <c r="C426" i="18" s="1"/>
  <c r="H426" i="18" l="1"/>
  <c r="J426" i="18" s="1"/>
  <c r="E426" i="18"/>
  <c r="G425" i="18"/>
  <c r="I426" i="18" l="1"/>
  <c r="C427" i="18" s="1"/>
  <c r="F426" i="18"/>
  <c r="G426" i="18" l="1"/>
  <c r="H427" i="18"/>
  <c r="J427" i="18" s="1"/>
  <c r="E427" i="18"/>
  <c r="F427" i="18" l="1"/>
  <c r="I427" i="18"/>
  <c r="C428" i="18" s="1"/>
  <c r="E428" i="18" l="1"/>
  <c r="H428" i="18"/>
  <c r="J428" i="18" s="1"/>
  <c r="G427" i="18"/>
  <c r="I428" i="18" l="1"/>
  <c r="C429" i="18" s="1"/>
  <c r="F428" i="18"/>
  <c r="G428" i="18" l="1"/>
  <c r="H429" i="18"/>
  <c r="J429" i="18" s="1"/>
  <c r="E429" i="18"/>
  <c r="F429" i="18" l="1"/>
  <c r="I429" i="18"/>
  <c r="C430" i="18" s="1"/>
  <c r="H430" i="18" l="1"/>
  <c r="J430" i="18" s="1"/>
  <c r="E430" i="18"/>
  <c r="G429" i="18"/>
  <c r="F430" i="18" l="1"/>
  <c r="I430" i="18"/>
  <c r="C431" i="18" s="1"/>
  <c r="H431" i="18" l="1"/>
  <c r="J431" i="18" s="1"/>
  <c r="E431" i="18"/>
  <c r="G430" i="18"/>
  <c r="I431" i="18" l="1"/>
  <c r="C432" i="18" s="1"/>
  <c r="F431" i="18"/>
  <c r="G431" i="18" l="1"/>
  <c r="E432" i="18"/>
  <c r="H432" i="18"/>
  <c r="J432" i="18" s="1"/>
  <c r="I432" i="18" l="1"/>
  <c r="C433" i="18" s="1"/>
  <c r="F432" i="18"/>
  <c r="G432" i="18" l="1"/>
  <c r="H433" i="18"/>
  <c r="J433" i="18" s="1"/>
  <c r="E433" i="18"/>
  <c r="I433" i="18" l="1"/>
  <c r="C434" i="18" s="1"/>
  <c r="F433" i="18"/>
  <c r="G433" i="18" l="1"/>
  <c r="H434" i="18"/>
  <c r="J434" i="18" s="1"/>
  <c r="E434" i="18"/>
  <c r="F434" i="18" l="1"/>
  <c r="I434" i="18"/>
  <c r="C435" i="18" s="1"/>
  <c r="H435" i="18" l="1"/>
  <c r="J435" i="18" s="1"/>
  <c r="E435" i="18"/>
  <c r="G434" i="18"/>
  <c r="I435" i="18" l="1"/>
  <c r="C436" i="18" s="1"/>
  <c r="F435" i="18"/>
  <c r="G435" i="18" l="1"/>
  <c r="E436" i="18"/>
  <c r="H436" i="18"/>
  <c r="J436" i="18" s="1"/>
  <c r="F436" i="18" l="1"/>
  <c r="I436" i="18"/>
  <c r="C437" i="18" s="1"/>
  <c r="H437" i="18" l="1"/>
  <c r="J437" i="18" s="1"/>
  <c r="E437" i="18"/>
  <c r="G436" i="18"/>
  <c r="F437" i="18" l="1"/>
  <c r="I437" i="18"/>
  <c r="C438" i="18" s="1"/>
  <c r="H438" i="18" l="1"/>
  <c r="J438" i="18" s="1"/>
  <c r="E438" i="18"/>
  <c r="G437" i="18"/>
  <c r="F438" i="18" l="1"/>
  <c r="I438" i="18"/>
  <c r="C439" i="18" s="1"/>
  <c r="H439" i="18" l="1"/>
  <c r="J439" i="18" s="1"/>
  <c r="E439" i="18"/>
  <c r="G438" i="18"/>
  <c r="F439" i="18" l="1"/>
  <c r="I439" i="18"/>
  <c r="C440" i="18" s="1"/>
  <c r="E440" i="18" l="1"/>
  <c r="H440" i="18"/>
  <c r="J440" i="18" s="1"/>
  <c r="G439" i="18"/>
  <c r="I440" i="18" l="1"/>
  <c r="C441" i="18" s="1"/>
  <c r="F440" i="18"/>
  <c r="G440" i="18" l="1"/>
  <c r="H441" i="18"/>
  <c r="J441" i="18" s="1"/>
  <c r="E441" i="18"/>
  <c r="I441" i="18" l="1"/>
  <c r="C442" i="18" s="1"/>
  <c r="F441" i="18"/>
  <c r="G441" i="18" l="1"/>
  <c r="E442" i="18"/>
  <c r="H442" i="18"/>
  <c r="J442" i="18" s="1"/>
  <c r="I442" i="18" l="1"/>
  <c r="C443" i="18" s="1"/>
  <c r="F442" i="18"/>
  <c r="G442" i="18" l="1"/>
  <c r="H443" i="18"/>
  <c r="J443" i="18" s="1"/>
  <c r="E443" i="18"/>
  <c r="F443" i="18" l="1"/>
  <c r="I443" i="18"/>
  <c r="C444" i="18" s="1"/>
  <c r="E444" i="18" l="1"/>
  <c r="H444" i="18"/>
  <c r="J444" i="18" s="1"/>
  <c r="G443" i="18"/>
  <c r="F444" i="18" l="1"/>
  <c r="I444" i="18"/>
  <c r="C445" i="18" s="1"/>
  <c r="E445" i="18" l="1"/>
  <c r="H445" i="18"/>
  <c r="J445" i="18" s="1"/>
  <c r="G444" i="18"/>
  <c r="F445" i="18" l="1"/>
  <c r="I445" i="18"/>
  <c r="C446" i="18" s="1"/>
  <c r="H446" i="18" l="1"/>
  <c r="J446" i="18" s="1"/>
  <c r="E446" i="18"/>
  <c r="G445" i="18"/>
  <c r="I446" i="18" l="1"/>
  <c r="C447" i="18" s="1"/>
  <c r="F446" i="18"/>
  <c r="G446" i="18" l="1"/>
  <c r="H447" i="18"/>
  <c r="J447" i="18" s="1"/>
  <c r="E447" i="18"/>
  <c r="F447" i="18" l="1"/>
  <c r="I447" i="18"/>
  <c r="C448" i="18" s="1"/>
  <c r="E448" i="18" l="1"/>
  <c r="H448" i="18"/>
  <c r="J448" i="18" s="1"/>
  <c r="G447" i="18"/>
  <c r="F448" i="18" l="1"/>
  <c r="I448" i="18"/>
  <c r="C449" i="18" s="1"/>
  <c r="E449" i="18" l="1"/>
  <c r="H449" i="18"/>
  <c r="J449" i="18" s="1"/>
  <c r="G448" i="18"/>
  <c r="F449" i="18" l="1"/>
  <c r="I449" i="18"/>
  <c r="C450" i="18" s="1"/>
  <c r="H450" i="18" l="1"/>
  <c r="J450" i="18" s="1"/>
  <c r="E450" i="18"/>
  <c r="G449" i="18"/>
  <c r="F450" i="18" l="1"/>
  <c r="I450" i="18"/>
  <c r="C451" i="18" s="1"/>
  <c r="H451" i="18" l="1"/>
  <c r="J451" i="18" s="1"/>
  <c r="E451" i="18"/>
  <c r="G450" i="18"/>
  <c r="F451" i="18" l="1"/>
  <c r="I451" i="18"/>
  <c r="C452" i="18" s="1"/>
  <c r="H452" i="18" l="1"/>
  <c r="J452" i="18" s="1"/>
  <c r="E452" i="18"/>
  <c r="G451" i="18"/>
  <c r="I452" i="18" l="1"/>
  <c r="C453" i="18" s="1"/>
  <c r="F452" i="18"/>
  <c r="G452" i="18" l="1"/>
  <c r="E453" i="18"/>
  <c r="H453" i="18"/>
  <c r="J453" i="18" s="1"/>
  <c r="I453" i="18" l="1"/>
  <c r="C454" i="18" s="1"/>
  <c r="F453" i="18"/>
  <c r="G453" i="18" l="1"/>
  <c r="H454" i="18"/>
  <c r="J454" i="18" s="1"/>
  <c r="E454" i="18"/>
  <c r="F454" i="18" l="1"/>
  <c r="I454" i="18"/>
  <c r="C455" i="18" s="1"/>
  <c r="H455" i="18" l="1"/>
  <c r="J455" i="18" s="1"/>
  <c r="E455" i="18"/>
  <c r="G454" i="18"/>
  <c r="I455" i="18" l="1"/>
  <c r="C456" i="18" s="1"/>
  <c r="F455" i="18"/>
  <c r="G455" i="18" l="1"/>
  <c r="H456" i="18"/>
  <c r="J456" i="18" s="1"/>
  <c r="E456" i="18"/>
  <c r="I456" i="18" l="1"/>
  <c r="C457" i="18" s="1"/>
  <c r="F456" i="18"/>
  <c r="G456" i="18" l="1"/>
  <c r="H457" i="18"/>
  <c r="J457" i="18" s="1"/>
  <c r="E457" i="18"/>
  <c r="I457" i="18" l="1"/>
  <c r="C458" i="18" s="1"/>
  <c r="F457" i="18"/>
  <c r="G457" i="18" l="1"/>
  <c r="H458" i="18"/>
  <c r="J458" i="18" s="1"/>
  <c r="E458" i="18"/>
  <c r="I458" i="18" l="1"/>
  <c r="C459" i="18" s="1"/>
  <c r="F458" i="18"/>
  <c r="G458" i="18" l="1"/>
  <c r="H459" i="18"/>
  <c r="J459" i="18" s="1"/>
  <c r="E459" i="18"/>
  <c r="F459" i="18" l="1"/>
  <c r="I459" i="18"/>
  <c r="C460" i="18" s="1"/>
  <c r="E460" i="18" l="1"/>
  <c r="H460" i="18"/>
  <c r="J460" i="18" s="1"/>
  <c r="G459" i="18"/>
  <c r="I460" i="18" l="1"/>
  <c r="C461" i="18" s="1"/>
  <c r="F460" i="18"/>
  <c r="G460" i="18" l="1"/>
  <c r="H461" i="18"/>
  <c r="J461" i="18" s="1"/>
  <c r="E461" i="18"/>
  <c r="F461" i="18" l="1"/>
  <c r="I461" i="18"/>
  <c r="C462" i="18" s="1"/>
  <c r="H462" i="18" l="1"/>
  <c r="J462" i="18" s="1"/>
  <c r="E462" i="18"/>
  <c r="G461" i="18"/>
  <c r="I462" i="18" l="1"/>
  <c r="C463" i="18" s="1"/>
  <c r="F462" i="18"/>
  <c r="G462" i="18" l="1"/>
  <c r="H463" i="18"/>
  <c r="J463" i="18" s="1"/>
  <c r="E463" i="18"/>
  <c r="F463" i="18" l="1"/>
  <c r="I463" i="18"/>
  <c r="C464" i="18" s="1"/>
  <c r="E464" i="18" l="1"/>
  <c r="H464" i="18"/>
  <c r="J464" i="18" s="1"/>
  <c r="G463" i="18"/>
  <c r="I464" i="18" l="1"/>
  <c r="C465" i="18" s="1"/>
  <c r="F464" i="18"/>
  <c r="G464" i="18" l="1"/>
  <c r="H465" i="18"/>
  <c r="J465" i="18" s="1"/>
  <c r="E465" i="18"/>
  <c r="I465" i="18" l="1"/>
  <c r="C466" i="18" s="1"/>
  <c r="F465" i="18"/>
  <c r="G465" i="18" l="1"/>
  <c r="H466" i="18"/>
  <c r="J466" i="18" s="1"/>
  <c r="E466" i="18"/>
  <c r="I466" i="18" l="1"/>
  <c r="C467" i="18" s="1"/>
  <c r="F466" i="18"/>
  <c r="G466" i="18" l="1"/>
  <c r="H467" i="18"/>
  <c r="J467" i="18" s="1"/>
  <c r="E467" i="18"/>
  <c r="F467" i="18" l="1"/>
  <c r="I467" i="18"/>
  <c r="C468" i="18" s="1"/>
  <c r="H468" i="18" l="1"/>
  <c r="J468" i="18" s="1"/>
  <c r="E468" i="18"/>
  <c r="G467" i="18"/>
  <c r="F468" i="18" l="1"/>
  <c r="I468" i="18"/>
  <c r="C469" i="18" s="1"/>
  <c r="E469" i="18" l="1"/>
  <c r="H469" i="18"/>
  <c r="J469" i="18" s="1"/>
  <c r="G468" i="18"/>
  <c r="I469" i="18" l="1"/>
  <c r="C470" i="18" s="1"/>
  <c r="F469" i="18"/>
  <c r="G469" i="18" l="1"/>
  <c r="H470" i="18"/>
  <c r="J470" i="18" s="1"/>
  <c r="E470" i="18"/>
  <c r="I470" i="18" l="1"/>
  <c r="C471" i="18" s="1"/>
  <c r="F470" i="18"/>
  <c r="G470" i="18" l="1"/>
  <c r="H471" i="18"/>
  <c r="J471" i="18" s="1"/>
  <c r="E471" i="18"/>
  <c r="I471" i="18" l="1"/>
  <c r="C472" i="18" s="1"/>
  <c r="F471" i="18"/>
  <c r="G471" i="18" l="1"/>
  <c r="E472" i="18"/>
  <c r="H472" i="18"/>
  <c r="J472" i="18" s="1"/>
  <c r="F472" i="18" l="1"/>
  <c r="I472" i="18"/>
  <c r="C473" i="18" s="1"/>
  <c r="E473" i="18" l="1"/>
  <c r="H473" i="18"/>
  <c r="J473" i="18" s="1"/>
  <c r="G472" i="18"/>
  <c r="F473" i="18" l="1"/>
  <c r="I473" i="18"/>
  <c r="C474" i="18" s="1"/>
  <c r="E474" i="18" l="1"/>
  <c r="H474" i="18"/>
  <c r="J474" i="18" s="1"/>
  <c r="G473" i="18"/>
  <c r="F474" i="18" l="1"/>
  <c r="I474" i="18"/>
  <c r="C475" i="18" s="1"/>
  <c r="H475" i="18" l="1"/>
  <c r="J475" i="18" s="1"/>
  <c r="E475" i="18"/>
  <c r="G474" i="18"/>
  <c r="I475" i="18" l="1"/>
  <c r="C476" i="18" s="1"/>
  <c r="F475" i="18"/>
  <c r="G475" i="18" l="1"/>
  <c r="E476" i="18"/>
  <c r="H476" i="18"/>
  <c r="J476" i="18" s="1"/>
  <c r="F476" i="18" l="1"/>
  <c r="I476" i="18"/>
  <c r="C477" i="18" s="1"/>
  <c r="E477" i="18" l="1"/>
  <c r="H477" i="18"/>
  <c r="J477" i="18" s="1"/>
  <c r="G476" i="18"/>
  <c r="I477" i="18" l="1"/>
  <c r="C478" i="18" s="1"/>
  <c r="F477" i="18"/>
  <c r="G477" i="18" l="1"/>
  <c r="H478" i="18"/>
  <c r="J478" i="18" s="1"/>
  <c r="E478" i="18"/>
  <c r="F478" i="18" l="1"/>
  <c r="I478" i="18"/>
  <c r="C479" i="18" s="1"/>
  <c r="G478" i="18" l="1"/>
  <c r="H479" i="18"/>
  <c r="J479" i="18" s="1"/>
  <c r="E479" i="18"/>
  <c r="I479" i="18" l="1"/>
  <c r="C480" i="18" s="1"/>
  <c r="F479" i="18"/>
  <c r="G479" i="18" l="1"/>
  <c r="H480" i="18"/>
  <c r="J480" i="18" s="1"/>
  <c r="E480" i="18"/>
  <c r="I480" i="18" l="1"/>
  <c r="C481" i="18" s="1"/>
  <c r="F480" i="18"/>
  <c r="G480" i="18" l="1"/>
  <c r="H481" i="18"/>
  <c r="J481" i="18" s="1"/>
  <c r="E481" i="18"/>
  <c r="I481" i="18" l="1"/>
  <c r="C482" i="18" s="1"/>
  <c r="F481" i="18"/>
  <c r="G481" i="18" l="1"/>
  <c r="H482" i="18"/>
  <c r="J482" i="18" s="1"/>
  <c r="E482" i="18"/>
  <c r="F482" i="18" l="1"/>
  <c r="I482" i="18"/>
  <c r="C483" i="18" s="1"/>
  <c r="H483" i="18" l="1"/>
  <c r="J483" i="18" s="1"/>
  <c r="E483" i="18"/>
  <c r="G482" i="18"/>
  <c r="F483" i="18" l="1"/>
  <c r="I483" i="18"/>
  <c r="C484" i="18" s="1"/>
  <c r="H484" i="18" l="1"/>
  <c r="J484" i="18" s="1"/>
  <c r="E484" i="18"/>
  <c r="G483" i="18"/>
  <c r="I484" i="18" l="1"/>
  <c r="C485" i="18" s="1"/>
  <c r="F484" i="18"/>
  <c r="G484" i="18" l="1"/>
  <c r="H485" i="18"/>
  <c r="J485" i="18" s="1"/>
  <c r="E485" i="18"/>
  <c r="I485" i="18" l="1"/>
  <c r="C486" i="18" s="1"/>
  <c r="F485" i="18"/>
  <c r="G485" i="18" l="1"/>
  <c r="H486" i="18"/>
  <c r="J486" i="18" s="1"/>
  <c r="E486" i="18"/>
  <c r="I486" i="18" l="1"/>
  <c r="C487" i="18" s="1"/>
  <c r="F486" i="18"/>
  <c r="G486" i="18" l="1"/>
  <c r="H487" i="18"/>
  <c r="J487" i="18" s="1"/>
  <c r="E487" i="18"/>
  <c r="F487" i="18" l="1"/>
  <c r="I487" i="18"/>
  <c r="C488" i="18" s="1"/>
  <c r="E488" i="18" l="1"/>
  <c r="H488" i="18"/>
  <c r="J488" i="18" s="1"/>
  <c r="G487" i="18"/>
  <c r="I488" i="18" l="1"/>
  <c r="C489" i="18" s="1"/>
  <c r="F488" i="18"/>
  <c r="G488" i="18" l="1"/>
  <c r="H489" i="18"/>
  <c r="J489" i="18" s="1"/>
  <c r="E489" i="18"/>
  <c r="I489" i="18" l="1"/>
  <c r="C490" i="18" s="1"/>
  <c r="F489" i="18"/>
  <c r="G489" i="18" l="1"/>
  <c r="H490" i="18"/>
  <c r="J490" i="18" s="1"/>
  <c r="E490" i="18"/>
  <c r="I490" i="18" l="1"/>
  <c r="C491" i="18" s="1"/>
  <c r="F490" i="18"/>
  <c r="G490" i="18" l="1"/>
  <c r="H491" i="18"/>
  <c r="J491" i="18" s="1"/>
  <c r="E491" i="18"/>
  <c r="F491" i="18" l="1"/>
  <c r="I491" i="18"/>
  <c r="C492" i="18" s="1"/>
  <c r="H492" i="18" l="1"/>
  <c r="J492" i="18" s="1"/>
  <c r="E492" i="18"/>
  <c r="G491" i="18"/>
  <c r="I492" i="18" l="1"/>
  <c r="C493" i="18" s="1"/>
  <c r="F492" i="18"/>
  <c r="G492" i="18" l="1"/>
  <c r="H493" i="18"/>
  <c r="J493" i="18" s="1"/>
  <c r="E493" i="18"/>
  <c r="F493" i="18" l="1"/>
  <c r="I493" i="18"/>
  <c r="C494" i="18" s="1"/>
  <c r="H494" i="18" l="1"/>
  <c r="J494" i="18" s="1"/>
  <c r="E494" i="18"/>
  <c r="G493" i="18"/>
  <c r="F494" i="18" l="1"/>
  <c r="I494" i="18"/>
  <c r="C495" i="18" s="1"/>
  <c r="E495" i="18" l="1"/>
  <c r="H495" i="18"/>
  <c r="J495" i="18" s="1"/>
  <c r="G494" i="18"/>
  <c r="F495" i="18" l="1"/>
  <c r="I495" i="18"/>
  <c r="C496" i="18" s="1"/>
  <c r="H496" i="18" l="1"/>
  <c r="J496" i="18" s="1"/>
  <c r="E496" i="18"/>
  <c r="G495" i="18"/>
  <c r="F496" i="18" l="1"/>
  <c r="I496" i="18"/>
  <c r="C497" i="18" s="1"/>
  <c r="J9" i="18" l="1"/>
  <c r="J8" i="18"/>
  <c r="H497" i="18"/>
  <c r="J497" i="18" s="1"/>
  <c r="E497" i="18"/>
  <c r="G496" i="18"/>
  <c r="I497" i="18" l="1"/>
  <c r="F497" i="18"/>
  <c r="G497" i="18" l="1"/>
  <c r="J7" i="18"/>
  <c r="G5" i="19" l="1"/>
  <c r="C6" i="19" s="1"/>
  <c r="E6" i="19" s="1"/>
  <c r="F6" i="19" s="1"/>
  <c r="G6" i="19" s="1"/>
  <c r="C7" i="19" s="1"/>
  <c r="E7" i="19" l="1"/>
  <c r="F7" i="19" s="1"/>
  <c r="G7" i="19" l="1"/>
  <c r="C8" i="19" s="1"/>
  <c r="E8" i="19" s="1"/>
  <c r="F8" i="19" s="1"/>
  <c r="G8" i="19" l="1"/>
  <c r="C9" i="19" s="1"/>
  <c r="E9" i="19" s="1"/>
  <c r="F9" i="19" s="1"/>
  <c r="G9" i="19" l="1"/>
  <c r="C10" i="19" s="1"/>
  <c r="E10" i="19" s="1"/>
  <c r="F10" i="19" s="1"/>
  <c r="G10" i="19" l="1"/>
  <c r="C11" i="19" s="1"/>
  <c r="E11" i="19" s="1"/>
  <c r="F11" i="19" s="1"/>
  <c r="G11" i="19" l="1"/>
  <c r="C12" i="19" s="1"/>
  <c r="E12" i="19" s="1"/>
  <c r="F12" i="19" s="1"/>
  <c r="G12" i="19" s="1"/>
  <c r="C13" i="19" s="1"/>
  <c r="E13" i="19" s="1"/>
  <c r="F13" i="19" s="1"/>
  <c r="G13" i="19" l="1"/>
  <c r="C14" i="19" s="1"/>
  <c r="E14" i="19" s="1"/>
  <c r="F14" i="19" s="1"/>
  <c r="G14" i="19" l="1"/>
  <c r="C15" i="19" s="1"/>
  <c r="E15" i="19" s="1"/>
  <c r="F15" i="19" s="1"/>
  <c r="G15" i="19" l="1"/>
  <c r="C16" i="19" s="1"/>
  <c r="E16" i="19" s="1"/>
  <c r="F16" i="19" s="1"/>
  <c r="G16" i="19" l="1"/>
  <c r="C17" i="19" s="1"/>
  <c r="E17" i="19" s="1"/>
  <c r="F17" i="19" s="1"/>
  <c r="G17" i="19" l="1"/>
  <c r="C18" i="19" s="1"/>
  <c r="E18" i="19" s="1"/>
  <c r="F18" i="19" s="1"/>
  <c r="G18" i="19" l="1"/>
  <c r="C19" i="19" s="1"/>
  <c r="E19" i="19" s="1"/>
  <c r="F19" i="19" s="1"/>
  <c r="G19" i="19" l="1"/>
  <c r="C20" i="19" s="1"/>
  <c r="E20" i="19" s="1"/>
  <c r="F20" i="19" s="1"/>
  <c r="G20" i="19" l="1"/>
  <c r="C21" i="19" s="1"/>
  <c r="E21" i="19" s="1"/>
  <c r="F21" i="19" s="1"/>
  <c r="G21" i="19" l="1"/>
  <c r="C22" i="19" s="1"/>
  <c r="E22" i="19" s="1"/>
  <c r="F22" i="19" s="1"/>
  <c r="G22" i="19" l="1"/>
  <c r="C23" i="19" s="1"/>
  <c r="E23" i="19" s="1"/>
  <c r="F23" i="19" s="1"/>
  <c r="G23" i="19" l="1"/>
  <c r="C24" i="19" s="1"/>
  <c r="E24" i="19" s="1"/>
  <c r="F24" i="19" s="1"/>
  <c r="G24" i="19" l="1"/>
  <c r="C25" i="19" s="1"/>
  <c r="E25" i="19" s="1"/>
  <c r="F25" i="19" s="1"/>
  <c r="G25" i="19" l="1"/>
  <c r="C26" i="19" s="1"/>
  <c r="E26" i="19" s="1"/>
  <c r="F26" i="19" s="1"/>
  <c r="G26" i="19" l="1"/>
  <c r="C27" i="19" s="1"/>
  <c r="E27" i="19" s="1"/>
  <c r="F27" i="19" s="1"/>
  <c r="G27" i="19" l="1"/>
  <c r="C28" i="19" s="1"/>
  <c r="E28" i="19" s="1"/>
  <c r="F28" i="19" s="1"/>
  <c r="G28" i="19" l="1"/>
  <c r="C29" i="19" s="1"/>
  <c r="E29" i="19" s="1"/>
  <c r="F29" i="19" s="1"/>
  <c r="G29" i="19" l="1"/>
  <c r="C30" i="19" s="1"/>
  <c r="E30" i="19" s="1"/>
  <c r="F30" i="19" s="1"/>
  <c r="G30" i="19" l="1"/>
  <c r="C31" i="19" s="1"/>
  <c r="E31" i="19" s="1"/>
  <c r="F31" i="19" s="1"/>
  <c r="G31" i="19" l="1"/>
  <c r="C32" i="19" s="1"/>
  <c r="E32" i="19" l="1"/>
  <c r="F32" i="19" s="1"/>
  <c r="G32" i="19" l="1"/>
  <c r="C33" i="19" s="1"/>
  <c r="E33" i="19" l="1"/>
  <c r="F33" i="19" s="1"/>
  <c r="G33" i="19" l="1"/>
  <c r="C34" i="19" s="1"/>
  <c r="E34" i="19" l="1"/>
  <c r="F34" i="19" s="1"/>
  <c r="G34" i="19" l="1"/>
  <c r="C35" i="19" s="1"/>
  <c r="E35" i="19" l="1"/>
  <c r="F35" i="19" s="1"/>
  <c r="G35" i="19" l="1"/>
  <c r="C36" i="19" s="1"/>
  <c r="E36" i="19" s="1"/>
  <c r="F36" i="19" s="1"/>
  <c r="G36" i="19" l="1"/>
  <c r="C37" i="19" s="1"/>
  <c r="E37" i="19" s="1"/>
  <c r="F37" i="19" s="1"/>
  <c r="G37" i="19" l="1"/>
  <c r="C38" i="19" s="1"/>
  <c r="E38" i="19" s="1"/>
  <c r="F38" i="19" s="1"/>
  <c r="G38" i="19" l="1"/>
  <c r="C39" i="19" s="1"/>
  <c r="E39" i="19" s="1"/>
  <c r="F39" i="19" s="1"/>
  <c r="G39" i="19" l="1"/>
  <c r="C40" i="19" s="1"/>
  <c r="E40" i="19" s="1"/>
  <c r="F40" i="19" s="1"/>
  <c r="G40" i="19" l="1"/>
  <c r="C41" i="19" s="1"/>
  <c r="E41" i="19" s="1"/>
  <c r="F41" i="19" s="1"/>
  <c r="G41" i="19" l="1"/>
  <c r="C42" i="19" s="1"/>
  <c r="E42" i="19" s="1"/>
  <c r="F42" i="19" s="1"/>
  <c r="G42" i="19" l="1"/>
  <c r="C43" i="19" s="1"/>
  <c r="E43" i="19" s="1"/>
  <c r="F43" i="19" s="1"/>
  <c r="G43" i="19" l="1"/>
  <c r="C44" i="19" s="1"/>
  <c r="E44" i="19" s="1"/>
  <c r="F44" i="19" s="1"/>
  <c r="G44" i="19" l="1"/>
  <c r="C45" i="19" s="1"/>
  <c r="E45" i="19" s="1"/>
  <c r="F45" i="19" s="1"/>
  <c r="G45" i="19" l="1"/>
  <c r="C46" i="19" s="1"/>
  <c r="E46" i="19" s="1"/>
  <c r="F46" i="19" s="1"/>
  <c r="G46" i="19" l="1"/>
  <c r="C47" i="19" s="1"/>
  <c r="E47" i="19" s="1"/>
  <c r="F47" i="19" s="1"/>
  <c r="G47" i="19" l="1"/>
  <c r="C48" i="19" s="1"/>
  <c r="E48" i="19" s="1"/>
  <c r="F48" i="19" s="1"/>
  <c r="G48" i="19" l="1"/>
  <c r="C49" i="19" s="1"/>
  <c r="E49" i="19" s="1"/>
  <c r="F49" i="19" s="1"/>
  <c r="G49" i="19" l="1"/>
  <c r="C50" i="19" s="1"/>
  <c r="E50" i="19" s="1"/>
  <c r="F50" i="19" s="1"/>
  <c r="G50" i="19" l="1"/>
  <c r="C51" i="19" s="1"/>
  <c r="E51" i="19" s="1"/>
  <c r="F51" i="19" s="1"/>
  <c r="G51" i="19" l="1"/>
  <c r="C52" i="19" s="1"/>
  <c r="E52" i="19" s="1"/>
  <c r="F52" i="19" s="1"/>
  <c r="G52" i="19" l="1"/>
  <c r="C53" i="19" s="1"/>
  <c r="E53" i="19" s="1"/>
  <c r="F53" i="19" s="1"/>
  <c r="G53" i="19" l="1"/>
  <c r="C54" i="19" s="1"/>
  <c r="E54" i="19" s="1"/>
  <c r="F54" i="19" s="1"/>
  <c r="G54" i="19" l="1"/>
  <c r="C55" i="19" s="1"/>
  <c r="E55" i="19" s="1"/>
  <c r="F55" i="19" s="1"/>
  <c r="G55" i="19" l="1"/>
  <c r="C56" i="19" s="1"/>
  <c r="E56" i="19" s="1"/>
  <c r="F56" i="19" s="1"/>
  <c r="G56" i="19" l="1"/>
  <c r="C57" i="19" s="1"/>
  <c r="E57" i="19" s="1"/>
  <c r="F57" i="19" s="1"/>
  <c r="G57" i="19" l="1"/>
  <c r="C58" i="19" s="1"/>
  <c r="E58" i="19" s="1"/>
  <c r="F58" i="19" s="1"/>
  <c r="G58" i="19" l="1"/>
  <c r="C59" i="19" s="1"/>
  <c r="E59" i="19" s="1"/>
  <c r="F59" i="19" s="1"/>
  <c r="G59" i="19" l="1"/>
  <c r="C60" i="19" s="1"/>
  <c r="E60" i="19" s="1"/>
  <c r="F60" i="19" s="1"/>
  <c r="G60" i="19" l="1"/>
  <c r="C61" i="19" s="1"/>
  <c r="E61" i="19" s="1"/>
  <c r="F61" i="19" s="1"/>
  <c r="G61" i="19" l="1"/>
  <c r="C62" i="19" s="1"/>
  <c r="E62" i="19" s="1"/>
  <c r="F62" i="19" s="1"/>
  <c r="G62" i="19" l="1"/>
  <c r="C63" i="19" s="1"/>
  <c r="E63" i="19" s="1"/>
  <c r="F63" i="19" s="1"/>
  <c r="G63" i="19" l="1"/>
  <c r="C64" i="19" s="1"/>
  <c r="E64" i="19" s="1"/>
  <c r="F64" i="19" s="1"/>
  <c r="G64" i="19" l="1"/>
  <c r="I1" i="19" l="1"/>
</calcChain>
</file>

<file path=xl/sharedStrings.xml><?xml version="1.0" encoding="utf-8"?>
<sst xmlns="http://schemas.openxmlformats.org/spreadsheetml/2006/main" count="402" uniqueCount="304">
  <si>
    <t xml:space="preserve">NOTE: Some functions used in these spreadsheets may require that </t>
  </si>
  <si>
    <t>Year</t>
  </si>
  <si>
    <t>Beginning
Amount</t>
  </si>
  <si>
    <t>Simple 
Interest</t>
  </si>
  <si>
    <t>Compound
Interest</t>
  </si>
  <si>
    <t>Total
Interest</t>
  </si>
  <si>
    <t>Ending
Amount</t>
  </si>
  <si>
    <t>RWJ Excel Tip</t>
  </si>
  <si>
    <t>Amount 
with 
Simple 
Interest</t>
  </si>
  <si>
    <t>Totals</t>
  </si>
  <si>
    <t>Amount with Simple
Interest</t>
  </si>
  <si>
    <t>Total Compound
Interest</t>
  </si>
  <si>
    <t>Interest Rate</t>
  </si>
  <si>
    <t>In these spreadsheets, you will learn how to use the following Excel functions:</t>
  </si>
  <si>
    <t>The following conventions are used in these spreadsheets:</t>
  </si>
  <si>
    <t>1) Given data in blue</t>
  </si>
  <si>
    <t>2) Calculations in red</t>
  </si>
  <si>
    <t>the "Analysis ToolPak" or "Solver Add-In" be installed in Excel.</t>
  </si>
  <si>
    <t>then "Excel Options," "Add-Ins" and select</t>
  </si>
  <si>
    <t>"Solver Add-In," then click "OK."</t>
  </si>
  <si>
    <t>Number of years:</t>
  </si>
  <si>
    <t>Interest rate per year:</t>
  </si>
  <si>
    <t>Initial investment:</t>
  </si>
  <si>
    <t xml:space="preserve">Number of </t>
  </si>
  <si>
    <t>Periods</t>
  </si>
  <si>
    <t>How much will you have at the end of the investment. Using the FV function, we find that you will have:</t>
  </si>
  <si>
    <t>Future value:</t>
  </si>
  <si>
    <t>To use the FV function, we entered the following:</t>
  </si>
  <si>
    <t>Interest rate:</t>
  </si>
  <si>
    <t>Value today:</t>
  </si>
  <si>
    <t>Purchase price:</t>
  </si>
  <si>
    <t>Present Value and Discounting</t>
  </si>
  <si>
    <t>Number of periods:</t>
  </si>
  <si>
    <t>Present value:</t>
  </si>
  <si>
    <t>To use the PV function, we entered the following:</t>
  </si>
  <si>
    <t>Number of Periods</t>
  </si>
  <si>
    <t>To find the interest rate, we used the RATE function and entered the following:</t>
  </si>
  <si>
    <t>You are saving up to buy the Godot Company and have the following information. How long must you wait to buy the company?</t>
  </si>
  <si>
    <t>To see the effect of compound interest, change the interest rate and see how the compound interest grows as the interest rate changes.</t>
  </si>
  <si>
    <t>Graphically, the present value factors look like this:</t>
  </si>
  <si>
    <t>a.</t>
  </si>
  <si>
    <t>b.</t>
  </si>
  <si>
    <t>Now we can graph the contribution of compounding to the future value of our investment.</t>
  </si>
  <si>
    <t>Future Value with Changing Interest Rates</t>
  </si>
  <si>
    <t>Interest rate</t>
  </si>
  <si>
    <t>To use the FVSCHEDULE, we entered:</t>
  </si>
  <si>
    <t>If for some reason you do need more accurate calculations, www.precisioncalc.com has an add-in to Excel available that will calculate to 32,767 digits.</t>
  </si>
  <si>
    <t>Excel contains numerous financial functions, many of which relate to the time value of money. We will begin by using equations before moving to Excel's functions.</t>
  </si>
  <si>
    <t>What is the value of the investment each year over the next 5 years? How much of the interest is simple interest and how much is compound interest? We will answer this question with the following table:</t>
  </si>
  <si>
    <t>So what does simple interest look like compared to compound interest? We can use Excel to draw a graph for us. First we need to set up a table that shows the value with simple interest and the total compound interest.</t>
  </si>
  <si>
    <t>An important fact about compound interest is that it results in exponential growth. To see the exponential growth in practice, we can graph the future value table. It looks like this:</t>
  </si>
  <si>
    <t>There is a "bug" in Excel when graphing a table like the one above. If a table has text in the header row and column, Excel will automatically use the text in the legend of the graph. However, when the header row and column are numbers, Excel will not use the numbers in the legend, but rather include them in the graph. To include the numbers in the legend and on the vertical axis, try the following: First, select just the data in the data and ignore the header row and column. Next, right click on the entire chart and choose "Select Data." In the left hand column, highlight the data series you want to include a legend for (Series 1, Series 2, etc.,) then select "Edit." This brings up a box that allows you to choose the "Series Name." To include the number in the legend, simply select the cell that has the header you want to include. You will need to repeat this for every column in the table. To include the column with the number of years as the horizontal axis, go to the "Horizontal (Category) Axis Labels," select "Edit", then highlight the array that has the correct values for the horizontal axis.</t>
  </si>
  <si>
    <t>Now that we have calculated the future value of a lump sum with the equation, we will use Excel's FV function to calculate the future value. Suppose you have the following investment opportunity:</t>
  </si>
  <si>
    <t>The Rate is simply the interest rate, Nper is the number if periods, and Pv is the present value. We left the payment and type blank for now, but we will discuss this in more detail later. Notice also that we put a negative sign in front of the present value. Excel works like a calculator in that it expects cash flows. If we had left the present value as a positive number we would have simply gotten a negative answer. Since we prefer our answers to show as positive, we entered a negative in front of the present value.</t>
  </si>
  <si>
    <t>Consider Peter Minuit's purchase of Manhattan Island from the American Indians. Using the FV function, if the purchase price of the island was invested, how much would that investment be worth today?</t>
  </si>
  <si>
    <t>We have the legend on the left hand side of the table running vertically. To do this, we merged the cells, typed in the text, right clicked on the cells and selected "Format Cells." Using the "Alignment" option, we moved the "Text" wheel to vertical.</t>
  </si>
  <si>
    <t>To find the number of periods, we used the NPER function and entered the following:</t>
  </si>
  <si>
    <t>Suppose you are going to make a lump sum deposit today, and the interest rate you will receive will change every year. With the following assumptions, how much will you have in 6 years?</t>
  </si>
  <si>
    <t>Value at 
year end</t>
  </si>
  <si>
    <t xml:space="preserve">In this function, Principal is the beginning deposit and Schedule is an array that contains the interest rates for each period. </t>
  </si>
  <si>
    <t xml:space="preserve">"Go." Check "Analysis ToolPak" and </t>
  </si>
  <si>
    <t>In the past, future value tables were very common. Future value tables calculated the future interest factor for a variety of interest rates and time periods. We can construct a future value table relatively quickly in Excel. By the way, we will show you a much more efficient method in the next section.</t>
  </si>
  <si>
    <t>Now that we have used the FV function, we will skip entering an equation to find the present value, but rather talk about the PV function. The PV syntax is similar to the FV syntax.</t>
  </si>
  <si>
    <t>The Rate is simply the interest rate, Nper is the number of periods, and Fv is the future value. We left the payment and type blank for now, but we will discuss these later on. Notice also that we put a negative sign in front of the future value. Excel works like a calculator in that it expects cash flows. If we had left the future value as a positive number we would have simply gotten a negative answer. Since we prefer our answers to show as positive, we entered a negative in front of the future value.</t>
  </si>
  <si>
    <t>Suppose we want to create a table with the present value factors for different interest rates and periods. A two-way data table allows us to do this very easily. First, we'll set up a basic PV problem, with $1 as the future value.</t>
  </si>
  <si>
    <t>To set up a two-way data table, first create the rows and columns for the table. Next, in the upper left hand corner, enter the equation you would like to use into the calculations in the cell. Next, select the cell with the equation you want to use in the data table, go to the Data tab, What-If Analysis, then Data Table. Excel will prompt you to enter the variables in your table that correspond to the row and column numbers you entered. For this data table , our entries were:</t>
  </si>
  <si>
    <t>Notice that Excel made our choices absolute references by default. Just hit OK and the data table will be filled in automatically. We left the calculation in the upper left hand corner showing in this case, but remember we could hide this number by right-clicking, selecting Format Cells, choosing Custom, and entering the custom type as a semicolon.</t>
  </si>
  <si>
    <t xml:space="preserve">Finding the interest rate necessary for a present value to reach a desired future value in a desired time period is a relatively simple problem using Excel. </t>
  </si>
  <si>
    <t>NPER is the number of periods, Pv is the present value, and Fv is the present value. We left the payment and type blank for now, but we will discuss these later on. Notice also that we put a negative sign in front of the present value. Excel works like a calculator in that it expects cash flows. We could have also made the present value positive and the future value negative.</t>
  </si>
  <si>
    <t>Rate is the interest rate, Pv is the present value, and Fv is the future value. We left the payment and type blank for now, but we will discuss these later on. Notice also that we put a negative sign in front of the present value. Excel works like a calculator in that it expects cash flows. We could have also made the present value positive and the future value negative.</t>
  </si>
  <si>
    <t>One way to calculate the future value is to compound the value each year. In year 1, we will receive the year 1 interest rate. We will use the value at the end of year 1 to calculate the future value in year 2 at the year 2 interest rate, and so on. Doing this, we find that the value each year is:</t>
  </si>
  <si>
    <t>While this process is more repetitive than difficult, Excel has a function that will calculate the future value of this amount. Using the FVSCHEDULE function, we find that the future value is:</t>
  </si>
  <si>
    <t>by Brad Jordan and Joe Smolira</t>
  </si>
  <si>
    <t>Chapter 4 - Section 2</t>
  </si>
  <si>
    <t>The Multiperiod Case</t>
  </si>
  <si>
    <t>Suh-Pyng Ku has made the following deposit at the First National bank of Kent. How much will she have at the end of her savings period?</t>
  </si>
  <si>
    <t>At the end of the investment, she will have:</t>
  </si>
  <si>
    <r>
      <t xml:space="preserve">As shown in the textbook, the future value of $1 is found by the equation FV = $1 </t>
    </r>
    <r>
      <rPr>
        <sz val="12"/>
        <color indexed="8"/>
        <rFont val="Symbol"/>
        <family val="1"/>
        <charset val="2"/>
      </rPr>
      <t>´</t>
    </r>
    <r>
      <rPr>
        <sz val="12"/>
        <color indexed="8"/>
        <rFont val="Calibri"/>
        <family val="2"/>
      </rPr>
      <t xml:space="preserve"> (1 + </t>
    </r>
    <r>
      <rPr>
        <i/>
        <sz val="12"/>
        <color indexed="8"/>
        <rFont val="Calibri"/>
        <family val="2"/>
      </rPr>
      <t>r</t>
    </r>
    <r>
      <rPr>
        <sz val="12"/>
        <color indexed="8"/>
        <rFont val="Calibri"/>
        <family val="2"/>
      </rPr>
      <t>)</t>
    </r>
    <r>
      <rPr>
        <i/>
        <vertAlign val="superscript"/>
        <sz val="12"/>
        <color indexed="8"/>
        <rFont val="Calibri"/>
        <family val="2"/>
      </rPr>
      <t>t</t>
    </r>
    <r>
      <rPr>
        <i/>
        <sz val="12"/>
        <color indexed="8"/>
        <rFont val="Calibri"/>
        <family val="2"/>
      </rPr>
      <t xml:space="preserve">. </t>
    </r>
    <r>
      <rPr>
        <sz val="12"/>
        <color indexed="8"/>
        <rFont val="Calibri"/>
        <family val="2"/>
      </rPr>
      <t>In Excel, the carat ( ^ ) raises a number to a power. Of course, compounding only occurs with compound interest, not simple interest. To see the difference between simple interest and compound interest, consider the following example:</t>
    </r>
  </si>
  <si>
    <t>Example 4.3: Interest on Interest</t>
  </si>
  <si>
    <t>Example 4.6: How Much for That Island?</t>
  </si>
  <si>
    <t>Example 4.7: Multiperiod Discounting</t>
  </si>
  <si>
    <t>Bernard Dumas will receive a lump sum payment in the future. What is the value of that payment today?</t>
  </si>
  <si>
    <t>Finding the Number of Periods</t>
  </si>
  <si>
    <t>Finding the Interest Rate</t>
  </si>
  <si>
    <t>Example 4.8: Finding the Rate</t>
  </si>
  <si>
    <t>Excel also has a built-in function to calculate the number of periods necessary for a lump sum today to reach a desired amount in the future.</t>
  </si>
  <si>
    <t>Example 4.9: Waiting for Godot</t>
  </si>
  <si>
    <t>t</t>
  </si>
  <si>
    <t>Cash flow</t>
  </si>
  <si>
    <t>Return:</t>
  </si>
  <si>
    <t>NPV:</t>
  </si>
  <si>
    <t>To calculate the NPV of the project using the NPV function, we entered the following:</t>
  </si>
  <si>
    <t>Notice one very important thing: We did not include the cash flow at time 0 in the NPV function. The reason is simple. When the programmers created the NPV function, they did not truly create a function that calculated the NPV, but rather created a function that calculated the present value of cash flows. So, to calculate the NPV of a series of cash flows, we use the NPV function to calculate the present value of the cash flows beyond time 0, then add the cash flow at time zero to the result. To see how we did this, simply go to the NPV cell above.</t>
  </si>
  <si>
    <t>Net Present Value</t>
  </si>
  <si>
    <t>Net present value is the present value of all outflows, plus the present value of all inflows. Unfortunately, as we will see, computer programmers don't understand net present value.</t>
  </si>
  <si>
    <t>Example 4.11: NPV</t>
  </si>
  <si>
    <t>Salary</t>
  </si>
  <si>
    <t>Contract present value:</t>
  </si>
  <si>
    <t>Excel has functions to calculate the effective annual rate and the annual percentage rate.</t>
  </si>
  <si>
    <t>APR:</t>
  </si>
  <si>
    <t>Compounding periods per year:</t>
  </si>
  <si>
    <t>EAR:</t>
  </si>
  <si>
    <t>To calculate the effective annual rate, we can use the EFFECT function as follows:</t>
  </si>
  <si>
    <t>In the EFFECT function, Nominal_rate is the APR and Npery is the number of compounding periods per year.</t>
  </si>
  <si>
    <t>As a lender, you know the interest rate and the number of compounding periods per year. In order to earn this interest rate, what rate do you quote?</t>
  </si>
  <si>
    <t>To calculate the annual percentage rate, we can use the NOMINAL function as follows:</t>
  </si>
  <si>
    <t>In the NOMINAL function, Effect_rate is the EAR and Npery is the number of compounding periods per year.</t>
  </si>
  <si>
    <r>
      <t>Excel does not have a function for continuous compounding, but it does have a function that calculates the exponential function (</t>
    </r>
    <r>
      <rPr>
        <i/>
        <sz val="12"/>
        <color theme="1"/>
        <rFont val="Calibri"/>
        <family val="2"/>
        <scheme val="minor"/>
      </rPr>
      <t>e</t>
    </r>
    <r>
      <rPr>
        <sz val="12"/>
        <color theme="1"/>
        <rFont val="Calibri"/>
        <family val="2"/>
        <scheme val="minor"/>
      </rPr>
      <t xml:space="preserve">). </t>
    </r>
  </si>
  <si>
    <t>To calculate the exponential function, we use EXP, found under the Math &amp; Trig functions, as follows:</t>
  </si>
  <si>
    <t>Chapter 4 - Section 3</t>
  </si>
  <si>
    <t>Compounding Periods</t>
  </si>
  <si>
    <t>Example 4.12: EARs</t>
  </si>
  <si>
    <t>Suppose Jane Christine makes a deposit in an account with the following stated annual interest rate and compounding periods per year. What is the EAR of this account?</t>
  </si>
  <si>
    <t xml:space="preserve">Of course, you may have the EAR and need to find the APR. Remember that the APR is the legally quoted interest rate on loans. </t>
  </si>
  <si>
    <t>Continuous Compounding</t>
  </si>
  <si>
    <t>Example 4.15: Continuous Compounding</t>
  </si>
  <si>
    <t>Suppose Linda DeFond makes a deposit into an account with the following APR. The account has continuous compounding. What is the EAR of this account?</t>
  </si>
  <si>
    <t>Present Value for Annuity Cash Flows</t>
  </si>
  <si>
    <t>Annual payment:</t>
  </si>
  <si>
    <t>Number of years for payments:</t>
  </si>
  <si>
    <t>To find the present value of this annuity, we used the following arguments:</t>
  </si>
  <si>
    <t>Rate is simply the interest rate, Nper is the number of periods, and Pmt is the annuity payment. Since there is no present value, we left this blank. Notice also that we put a negative sign in front of the payment. Excel works like a calculator in that one of the cash flows must be positive and one of the cash flows must be negative. If we had left the payment as a positive number we would have gotten a negative answer. Since we prefer our answers to show as positive, we entered a negative in front of the payment.</t>
  </si>
  <si>
    <t>Number of months for repayment:</t>
  </si>
  <si>
    <t>Monthly interest rate:</t>
  </si>
  <si>
    <t>Monthly payment:</t>
  </si>
  <si>
    <t>To find the annuity payment, we used the following arguments:</t>
  </si>
  <si>
    <t>Rate is simply the interest rate, Nper is the number of periods, and Pv is the present value. Since there is no future value, we left this blank. Notice also that we put a negative sign in front of the present value. Excel works like a calculator in that one of the cash flows must be positive and one of the cash flows must be negative. If we had left the present value as a positive number we would have gotten a negative answer. Since we prefer our answers to show as positive, we entered a negative in front of the present value.</t>
  </si>
  <si>
    <t>To find the interest rate for an annuity, Excel uses the RATE function. Suppose you are saving for retirement and know how much you will save every year, as well as a target retirement balance. What interest rate is necessary for you to reach your goal?</t>
  </si>
  <si>
    <t>Retirement goal:</t>
  </si>
  <si>
    <t>Annual amount to save:</t>
  </si>
  <si>
    <t>Number of years to save:</t>
  </si>
  <si>
    <t>To find the interest rate, we used the following arguments:</t>
  </si>
  <si>
    <t>Nper is the number of periods, Pmt is the annuity payment, and Fv is the future value. Since there is no present value, we left this blank. Notice also that we put a negative sign in front of the payment. Excel requires that one of the cash flows be positive and one of the cash flows be negative. We could have made the payment positive and the future value negative and would have received the same answer.</t>
  </si>
  <si>
    <t>Amount owed:</t>
  </si>
  <si>
    <t>Number of months to pay off card:</t>
  </si>
  <si>
    <t>Number of years to pay off card:</t>
  </si>
  <si>
    <t xml:space="preserve">To find the number of periods, Excel uses the NPER function. </t>
  </si>
  <si>
    <t>To find the number of periods, we used the following arguments:</t>
  </si>
  <si>
    <t>Rate is the interest rate per period, Pmt is the annuity payment, and Pv is the present value. Since there is no future value, we left this blank. Notice also that we put a negative sign in front of the payment. Excel requires that one of the cash flows be positive and one of the cash flows negative. We could have made the payment positive and the future value negative and would have received the same answer.</t>
  </si>
  <si>
    <t>Future Value for Annuities</t>
  </si>
  <si>
    <t>We can find the future value of an annuity using the Pmt argument in the FV function. Suppose you are saving for retirement. Based on the following assumptions, how much will you have when you retire?</t>
  </si>
  <si>
    <t>Annual savings:</t>
  </si>
  <si>
    <t>To find the future value of this annuity, we used the following arguments:</t>
  </si>
  <si>
    <t>The NPER and RATE functions can be used with the future value to find the number of periods or interest rate in the same manner we used these functions with the present value.</t>
  </si>
  <si>
    <t>Beginning of period annuity deposit:</t>
  </si>
  <si>
    <t>In the FV and PV functions, the Type represents the payment type. If this argument is left blank or a 0 (zero) is entered, Excel uses end of period payments. If a 1 (one) is entered, Excel uses beginning of period payments.</t>
  </si>
  <si>
    <t>Chapter 4 - Section 4</t>
  </si>
  <si>
    <t>Simplifications</t>
  </si>
  <si>
    <t>Excel does not have built-in functions for perpetuities, growing perpetuities, or growing annuities. Each of these can be calculated by inputting the equations directly into a cell. We'll leave this up to you and instead concentrate on the broad array of annuity calculations in this section.</t>
  </si>
  <si>
    <t>Finding the present value of an annuity is a simple task in Excel. Remember the Pmt argument in the PV and FV functions that we left blank in Section 4.2? The Pmt stands for the annuity payment. Finding the present value of an annuity uses the PV function with the  annuity payment in the Pmt argument.</t>
  </si>
  <si>
    <t>Example 4.20: Lottery Valuation</t>
  </si>
  <si>
    <t>Mark Young just won the state lottery and will receive the following set of equal payments beginning one year from now. What is the value of the payments today?</t>
  </si>
  <si>
    <t>Finding the Annuity Payment</t>
  </si>
  <si>
    <t>Example 4.21: Retirement Investing</t>
  </si>
  <si>
    <t>Suppose you make the following deposits into a Roth IRA for retirement? How much will you have in your account when your golden years start?</t>
  </si>
  <si>
    <t>To find the annuity payment, Excel uses the PMT function. Suppose you are buying a house with the following terms. What is your monthly mortgage payment?</t>
  </si>
  <si>
    <t>Finding the Number of Payments</t>
  </si>
  <si>
    <t>You ran a little short on your vacation, so you charged on your credit card. With the following assumptions, how long will it take you to pay off your credit card?</t>
  </si>
  <si>
    <t>Chapter 4</t>
  </si>
  <si>
    <t>One of the tricks of annuities is getting the timing right. When we are dealing with a  delayed annuity, there are a couple of ways to handle the calculation in Excel.</t>
  </si>
  <si>
    <t>Example 4.22 Delayed Annuities</t>
  </si>
  <si>
    <t>Number of payments:</t>
  </si>
  <si>
    <t>Amount of each payment:</t>
  </si>
  <si>
    <t xml:space="preserve">Date of first payment: </t>
  </si>
  <si>
    <t>Suppose Danielle Caravello will receive the following annuity payments. What is the value of the payments today?</t>
  </si>
  <si>
    <t>Balloon payment:</t>
  </si>
  <si>
    <t>First, we can find the present value of the annuity payments, which is:</t>
  </si>
  <si>
    <t>Annuity present value:</t>
  </si>
  <si>
    <t>Of course, we could solve this question with one calculation cell. Excel allows you to "nest" one function inside another. Below, we nested the present value of the annuity calculation inside the present value of the lump sum without the intermediate step of calculating the present value of the annuity. Although this is a little more difficult, it also results in a cleaner looking spreadsheet.</t>
  </si>
  <si>
    <t>Of course, there is another way to calculate the value of this annuity today. Suppose we set up the cash flows in a table like this:</t>
  </si>
  <si>
    <t>With the cash flows set up like this, we can use the NPV function to find the value of the cash flows today, which will be:</t>
  </si>
  <si>
    <t>Trick 1: A Delayed Annuity</t>
  </si>
  <si>
    <t>Trick 2: Annuity Due</t>
  </si>
  <si>
    <t xml:space="preserve">So far, we have talked about ordinary annuities, that is, the payments occur at the end of the period. What about annuities due, where the payments occur at the beginning of the period. </t>
  </si>
  <si>
    <t>Example 4.23: Annuity Due</t>
  </si>
  <si>
    <t>Suppose Mark DeYoung, who won the lottery in a previous example, still wins the lottery but now the payments are in the form of an annuity due. What is the value of his winnings today?</t>
  </si>
  <si>
    <t>To calculate the present value of an annuity due, we use the PV function and set the type of payments to beginning of period like this:</t>
  </si>
  <si>
    <t>Example 4.24: Infrequent Annuities</t>
  </si>
  <si>
    <t>Annuity payment:</t>
  </si>
  <si>
    <t>Years between payments:</t>
  </si>
  <si>
    <t>Years for payments:</t>
  </si>
  <si>
    <t>We can answer this problem in two steps. First, we need to find the effective rate for the years between the annuity payments, which is:</t>
  </si>
  <si>
    <t>Effective multi-year rate:</t>
  </si>
  <si>
    <t>Now we can use this rate to find the value today, which is:</t>
  </si>
  <si>
    <t>Of course, we could always nest the functions to calculate the value today in one cell:</t>
  </si>
  <si>
    <t>Equal Principal Payment</t>
  </si>
  <si>
    <t>Amortization tables are an excellent application of Excel's abilities. Because an amortization table is repetitive, once we get the first couple of rows, we can copy and paste to fill in the rest of the amortization table. Suppose we have the following 15 year loan that requires equal principal payments each year:</t>
  </si>
  <si>
    <t>Loan amount:</t>
  </si>
  <si>
    <t>This means that the equal annual principal payments will be:</t>
  </si>
  <si>
    <t>Principal payments:</t>
  </si>
  <si>
    <t>So, the equal principal payment amortization table will look like this:</t>
  </si>
  <si>
    <t>Beginning
Balance</t>
  </si>
  <si>
    <t>Total
Payment</t>
  </si>
  <si>
    <t>Interest
Paid</t>
  </si>
  <si>
    <t>Principal
Payment</t>
  </si>
  <si>
    <t>Ending
Balance</t>
  </si>
  <si>
    <t>Total</t>
  </si>
  <si>
    <t xml:space="preserve">To create the table, we first set up the header row and column. The beginning balance references the loan amount, the principal payment is an absolute reference to the earlier calculation of the principal payment, and the interest paid is the beginning balance multiplied by the interest rate (which is an absolute reference.) We then repeated this for the second period, except that the beginning balance in period 2 is the ending balance in period 1. Since we have used absolute references for the principal payment and interest rate, we can copy and paste the second row to fill in the table. To find the total payments, total interest payments, and total principal payments, we used the sum button. </t>
  </si>
  <si>
    <t xml:space="preserve">Equal Payment </t>
  </si>
  <si>
    <t>Creating an equal payment amortization schedule is similar to the equal principal amortization schedule. First, we need to calculate the loan payment for the 15 year loan, which we can calculate using the PMT function we discussed earlier. The loan payment will be:</t>
  </si>
  <si>
    <t>This means that the equal annual payments will be:</t>
  </si>
  <si>
    <t>Equal payments:</t>
  </si>
  <si>
    <t>So, the equal annual payment amortization table will look like this:</t>
  </si>
  <si>
    <t xml:space="preserve">To create the table, we first set up the header row and column. The beginning balance referenced the loan amount, the total payment is an absolute reference to the earlier calculation of the payment amount, the interest payment is the beginning balance multiplied by the interest rate (which is an absolute reference,) and the principal payment is the total payment minus the interest paid. The ending balance is the beginning balance minus the principal payment.  We then repeated this for the second period, except that the beginning balance in period 2 is the ending balance in period 1. Since we have used absolute references for the total payment and interest rate, we can copy and paste the second row to fill in the table. To find the total payments, total interest payments, and total principal payments over the life of the loan, we used the sum button. </t>
  </si>
  <si>
    <t>Loan amortization tables are so common that Excel has a built-in worksheet to calculate a loan amortization. To find this worksheet, right-click on one of the worksheet tabs, select Insert, then the Spreadsheet Solutions tab. Below you will see the built-in spreadsheet options. We selected the Loan Amortization worksheet and Excel inserted the Loan Amortization worksheet. We entered the values in the table at the top and the entire loan amortization table was constructed automatically.</t>
  </si>
  <si>
    <t>"Balloon" or "Bullet" Loans</t>
  </si>
  <si>
    <t>Balloon loans are loans that are amortized over a relatively long schedule, but at some point during the life of the loan, the remaining principal of the loan is repaid. We are going to be a little fancier here and set up the problem so that it works with any repayment schedule, whether annually, monthly, or any other period. Suppose we have a loan with the following characteristics:</t>
  </si>
  <si>
    <t>Amortization period (years):</t>
  </si>
  <si>
    <t>Time balloon payment due (years):</t>
  </si>
  <si>
    <t>Payments per year:</t>
  </si>
  <si>
    <t>Interest rate (APR):</t>
  </si>
  <si>
    <t>So, based on the original amortization schedule, the payments will be:</t>
  </si>
  <si>
    <t>The balloon payment is the present value of the remaining payments, so the balloon payment will be:</t>
  </si>
  <si>
    <t>Loan Amortization Schedule</t>
  </si>
  <si>
    <t>Enter values</t>
  </si>
  <si>
    <t>Loan summary</t>
  </si>
  <si>
    <t>Loan amount</t>
  </si>
  <si>
    <t>Scheduled payment</t>
  </si>
  <si>
    <t>Annual interest rate</t>
  </si>
  <si>
    <t>Scheduled number of payments</t>
  </si>
  <si>
    <t>Loan period in years</t>
  </si>
  <si>
    <t>Actual number of payments</t>
  </si>
  <si>
    <t>Number of payments per year</t>
  </si>
  <si>
    <t>Total early payments</t>
  </si>
  <si>
    <t>Start date of loan</t>
  </si>
  <si>
    <t>Total interest</t>
  </si>
  <si>
    <t>Optional extra payments</t>
  </si>
  <si>
    <t>Lender name:</t>
  </si>
  <si>
    <t>Pmt. No.</t>
  </si>
  <si>
    <t>Payment Date</t>
  </si>
  <si>
    <t>Beginning Balance</t>
  </si>
  <si>
    <t>Scheduled Payment</t>
  </si>
  <si>
    <t>Extra Payment</t>
  </si>
  <si>
    <t>Total Payment</t>
  </si>
  <si>
    <t>Principal</t>
  </si>
  <si>
    <t>Interest</t>
  </si>
  <si>
    <t>Ending Balance</t>
  </si>
  <si>
    <t>Cumulative Interest</t>
  </si>
  <si>
    <t>Excel is a tool for solving problems, but with many time value of money problems, you may still need to draw a time line.</t>
  </si>
  <si>
    <t>This is a classic retirement problem. A friend is celebrating her birthday and wants to start saving for her anticipated retirement. She has the following years to retirement and retirement spending goals:</t>
  </si>
  <si>
    <t>Years until retirement:</t>
  </si>
  <si>
    <t>Amount to withdraw each year:</t>
  </si>
  <si>
    <t>Years to withdraw in retirement:</t>
  </si>
  <si>
    <t>Because your friend is planning ahead, the first withdrawal will not take place until one year after she retires. She wants to make equal annual deposits into her account for her retirement fund.</t>
  </si>
  <si>
    <r>
      <rPr>
        <i/>
        <sz val="12"/>
        <color theme="1"/>
        <rFont val="Calibri"/>
        <family val="2"/>
        <scheme val="minor"/>
      </rPr>
      <t>a.</t>
    </r>
    <r>
      <rPr>
        <sz val="12"/>
        <color theme="1"/>
        <rFont val="Calibri"/>
        <family val="2"/>
        <scheme val="minor"/>
      </rPr>
      <t xml:space="preserve"> </t>
    </r>
  </si>
  <si>
    <t>If she starts making these deposits in one year and makes her last deposit on the day she retires, what amount must she deposit annually to be able to make the desired withdrawals at retirement?</t>
  </si>
  <si>
    <t>Suppose your friend has just inherited a large sum of money. Rather than making equal annual payments, she has decided to make one lump sum deposit today to cover her retirement needs. What amount does she have to deposit today?</t>
  </si>
  <si>
    <t>c.</t>
  </si>
  <si>
    <t>Suppose your friend's employer will contribute to the account each year as part of the company's profit sharing plan. In addition, your friend expects a distribution from a family trust several years from now. What amount must she deposit annually now to be able to make the desired withdrawals at retirement?</t>
  </si>
  <si>
    <t>Employer's annual contribution:</t>
  </si>
  <si>
    <t>Years until trust fund distribution:</t>
  </si>
  <si>
    <t>Amount of trust fund distribution:</t>
  </si>
  <si>
    <t>In order to answer any of these questions, first we need to know how much your friend will need when she is ready to retire. Since this amount will be the same for each of the parts of the problem, we will solve for this amount now, which will be:</t>
  </si>
  <si>
    <t>Amount needed at retirement:</t>
  </si>
  <si>
    <t>The amount your friend must save each year to fund her retirement is:</t>
  </si>
  <si>
    <t>Amount to save each year:</t>
  </si>
  <si>
    <t>The lump sum your friend must deposit today to fund her retirement is:</t>
  </si>
  <si>
    <t>Lump sum deposited today:</t>
  </si>
  <si>
    <t>To find the amount of the annual deposit now, it is easier to break down the components of the problem. Doing so for each of the following to find your friend's annual deposit, we get:</t>
  </si>
  <si>
    <t>Value of employer's contribution at retirement:</t>
  </si>
  <si>
    <t>Value of trust fund at retirement:</t>
  </si>
  <si>
    <t>Amount to save each year now:</t>
  </si>
  <si>
    <t>Example 4.28: Partial Amortization, or "Bite the Bullet"</t>
  </si>
  <si>
    <t>Chapter 4 - Section 5</t>
  </si>
  <si>
    <t>Loan Amortization</t>
  </si>
  <si>
    <t>Suppose we have a commercial mortgage with the following characteristics. What will the monthly payment be? How big will the balloon payment be?</t>
  </si>
  <si>
    <t>Of course, we could have nested the functions to find the balloon payment as well like this:</t>
  </si>
  <si>
    <t>Now that we have the lump sum value, we can find the present value of the lump sum. We also need to remember that the present value of an annuity is one period before the first payment, so we need to subtract one from the date of the first payment. So, the value of the annuity today is:</t>
  </si>
  <si>
    <t>Ann Chen is going to received the following annuity payments. What is the value of the payments today?</t>
  </si>
  <si>
    <t>To insert this bar chart, we highlighted the columns we wanted in the graph, went to the Insert tab, and then selected Column. We chose the 2-D Stacked Column option. To get the border shadowing effect, we right-clicked on the graph, selected Format Plot Area and chose the Shadow option.</t>
  </si>
  <si>
    <t>A customer of Chafkin Corp. wants to buy a tugboat today. Rather than paying immediately, he will pay at some point in the future. What interest rate would the Chafkin Corp. charge to neither gain or lose on the sale?</t>
  </si>
  <si>
    <t>Finance.com has the following investment opportunity for a new high-speed computer. Should Finance.com make this investment? What is the net present value?</t>
  </si>
  <si>
    <t>Chapter 4 - Master It!</t>
  </si>
  <si>
    <t>Master It! Solution</t>
  </si>
  <si>
    <r>
      <t xml:space="preserve">Ross, Westerfield, Jaffe, and Jordan's </t>
    </r>
    <r>
      <rPr>
        <b/>
        <i/>
        <sz val="12"/>
        <color rgb="FF000000"/>
        <rFont val="Calibri"/>
        <family val="2"/>
        <scheme val="minor"/>
      </rPr>
      <t>Spreadsheet Master</t>
    </r>
  </si>
  <si>
    <t>Version 11.0</t>
  </si>
  <si>
    <t>Two things about the above example. First, we did not want to change the column width for the entire spreadsheet to display the future value. To get the future value to display, we merged 3 cells by using the merge icon:              In merging cells, you simply select the cells you want merged into one cell and click on the icon. The second thing is that if you notice, the future value has all zeroes in the last three digits of the dollar amount and in the cents. You might think this is strange, and indeed it is. The reason is that while Excel is very precise, it only calculates to 15 significant digits. Although this generally does not create a problem in most calculations, it is something that you should consider if you are using very large or very small numbers.</t>
  </si>
  <si>
    <t>We can use the NPV function to find the present value of any series of cash flows. For example, to find the present value of the Colin Kaepernick contract we discussed in the text, we would do something like the following:</t>
  </si>
  <si>
    <r>
      <t xml:space="preserve">Corporate Finance, </t>
    </r>
    <r>
      <rPr>
        <b/>
        <sz val="12"/>
        <color rgb="FF000000"/>
        <rFont val="Calibri"/>
        <family val="2"/>
        <scheme val="minor"/>
      </rPr>
      <t>11th edition</t>
    </r>
  </si>
  <si>
    <t>To install these, click on the File tab</t>
  </si>
  <si>
    <t>Ending</t>
  </si>
  <si>
    <t>Principle</t>
  </si>
  <si>
    <t xml:space="preserve">Beginning </t>
  </si>
  <si>
    <t>Intrest</t>
  </si>
  <si>
    <t>Payment</t>
  </si>
  <si>
    <t>Loan Amount</t>
  </si>
  <si>
    <t>Infinite</t>
  </si>
  <si>
    <t>    </t>
  </si>
  <si>
    <t>APR</t>
  </si>
  <si>
    <t>Bond</t>
  </si>
  <si>
    <t>Stock</t>
  </si>
  <si>
    <t>Return</t>
  </si>
  <si>
    <t>C</t>
  </si>
  <si>
    <t>n</t>
  </si>
  <si>
    <t>Retire</t>
  </si>
  <si>
    <t>How Much can you withdrawal from your account assuming a 30 yearwithdrawal period?</t>
  </si>
  <si>
    <t>Amount</t>
  </si>
  <si>
    <t>down</t>
  </si>
  <si>
    <t>n*p</t>
  </si>
  <si>
    <t>P</t>
  </si>
  <si>
    <t>Charge</t>
  </si>
  <si>
    <t>Periods Left</t>
  </si>
  <si>
    <t>Sum Payment Left</t>
  </si>
  <si>
    <t>Owed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</si>
</sst>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0%"/>
    <numFmt numFmtId="165" formatCode="0.000"/>
    <numFmt numFmtId="166" formatCode="_(&quot;$&quot;* #,##0.0000_);_(&quot;$&quot;* \(#,##0.0000\);_(&quot;$&quot;* &quot;-&quot;??_);_(@_)"/>
    <numFmt numFmtId="167" formatCode="0.00000"/>
    <numFmt numFmtId="168" formatCode="_(* #,##0.00_);_(* \(#,##0.00\);_(* &quot;-&quot;_);_(@_)"/>
    <numFmt numFmtId="169" formatCode="0.00?%_)"/>
    <numFmt numFmtId="170" formatCode="0_)"/>
    <numFmt numFmtId="171" formatCode="0.00000000%"/>
  </numFmts>
  <fonts count="48" x14ac:knownFonts="1">
    <font>
      <sz val="11"/>
      <color theme="1"/>
      <name val="Calibri"/>
      <family val="2"/>
      <scheme val="minor"/>
    </font>
    <font>
      <sz val="10"/>
      <name val="Arial"/>
      <family val="2"/>
    </font>
    <font>
      <sz val="12"/>
      <color indexed="8"/>
      <name val="Calibri"/>
      <family val="2"/>
    </font>
    <font>
      <sz val="12"/>
      <color indexed="8"/>
      <name val="Symbol"/>
      <family val="1"/>
      <charset val="2"/>
    </font>
    <font>
      <i/>
      <sz val="12"/>
      <color indexed="8"/>
      <name val="Calibri"/>
      <family val="2"/>
    </font>
    <font>
      <i/>
      <vertAlign val="superscript"/>
      <sz val="12"/>
      <color indexed="8"/>
      <name val="Calibri"/>
      <family val="2"/>
    </font>
    <font>
      <sz val="11"/>
      <color theme="1"/>
      <name val="Calibri"/>
      <family val="2"/>
      <scheme val="minor"/>
    </font>
    <font>
      <b/>
      <sz val="14"/>
      <color theme="0"/>
      <name val="Calibri"/>
      <family val="2"/>
      <scheme val="minor"/>
    </font>
    <font>
      <sz val="12"/>
      <color theme="1"/>
      <name val="Calibri"/>
      <family val="2"/>
      <scheme val="minor"/>
    </font>
    <font>
      <b/>
      <sz val="12"/>
      <color theme="1"/>
      <name val="Calibri"/>
      <family val="2"/>
      <scheme val="minor"/>
    </font>
    <font>
      <sz val="12"/>
      <color rgb="FF0000FF"/>
      <name val="Calibri"/>
      <family val="2"/>
      <scheme val="minor"/>
    </font>
    <font>
      <sz val="12"/>
      <color rgb="FFFF0000"/>
      <name val="Calibri"/>
      <family val="2"/>
      <scheme val="minor"/>
    </font>
    <font>
      <b/>
      <i/>
      <sz val="12"/>
      <color theme="1"/>
      <name val="Calibri"/>
      <family val="2"/>
      <scheme val="minor"/>
    </font>
    <font>
      <sz val="10"/>
      <color indexed="8"/>
      <name val="Calibri"/>
      <family val="2"/>
      <scheme val="minor"/>
    </font>
    <font>
      <b/>
      <sz val="12"/>
      <color rgb="FF000000"/>
      <name val="Calibri"/>
      <family val="2"/>
      <scheme val="minor"/>
    </font>
    <font>
      <b/>
      <i/>
      <sz val="12"/>
      <color rgb="FF000000"/>
      <name val="Calibri"/>
      <family val="2"/>
      <scheme val="minor"/>
    </font>
    <font>
      <sz val="48"/>
      <color indexed="52"/>
      <name val="Calibri"/>
      <family val="2"/>
      <scheme val="minor"/>
    </font>
    <font>
      <sz val="10"/>
      <color indexed="19"/>
      <name val="Calibri"/>
      <family val="2"/>
      <scheme val="minor"/>
    </font>
    <font>
      <sz val="10"/>
      <name val="Calibri"/>
      <family val="2"/>
      <scheme val="minor"/>
    </font>
    <font>
      <b/>
      <sz val="14"/>
      <color indexed="48"/>
      <name val="Calibri"/>
      <family val="2"/>
      <scheme val="minor"/>
    </font>
    <font>
      <b/>
      <sz val="14"/>
      <color indexed="10"/>
      <name val="Calibri"/>
      <family val="2"/>
      <scheme val="minor"/>
    </font>
    <font>
      <sz val="12"/>
      <color indexed="8"/>
      <name val="Calibri"/>
      <family val="2"/>
      <scheme val="minor"/>
    </font>
    <font>
      <b/>
      <sz val="12"/>
      <color indexed="9"/>
      <name val="Calibri"/>
      <family val="2"/>
      <scheme val="minor"/>
    </font>
    <font>
      <b/>
      <sz val="12"/>
      <color theme="0"/>
      <name val="Calibri"/>
      <family val="2"/>
      <scheme val="minor"/>
    </font>
    <font>
      <i/>
      <sz val="11"/>
      <color theme="1"/>
      <name val="Calibri"/>
      <family val="2"/>
      <scheme val="minor"/>
    </font>
    <font>
      <i/>
      <sz val="12"/>
      <color theme="1"/>
      <name val="Calibri"/>
      <family val="2"/>
      <scheme val="minor"/>
    </font>
    <font>
      <b/>
      <sz val="16"/>
      <color rgb="FF000099"/>
      <name val="Calibri"/>
      <family val="2"/>
    </font>
    <font>
      <sz val="12"/>
      <color rgb="FF000099"/>
      <name val="Calibri"/>
      <family val="2"/>
      <scheme val="minor"/>
    </font>
    <font>
      <b/>
      <sz val="16"/>
      <color rgb="FF000099"/>
      <name val="Calibri"/>
      <family val="2"/>
      <scheme val="minor"/>
    </font>
    <font>
      <sz val="11"/>
      <color rgb="FF000099"/>
      <name val="Calibri"/>
      <family val="2"/>
      <scheme val="minor"/>
    </font>
    <font>
      <sz val="12"/>
      <name val="Calibri"/>
      <family val="2"/>
      <scheme val="minor"/>
    </font>
    <font>
      <i/>
      <sz val="12"/>
      <name val="Calibri"/>
      <family val="2"/>
      <scheme val="minor"/>
    </font>
    <font>
      <sz val="16"/>
      <color theme="1"/>
      <name val="Calibri"/>
      <family val="2"/>
      <scheme val="minor"/>
    </font>
    <font>
      <sz val="16"/>
      <color rgb="FF000099"/>
      <name val="Calibri"/>
      <family val="2"/>
      <scheme val="minor"/>
    </font>
    <font>
      <sz val="11"/>
      <color theme="1"/>
      <name val="Agency FB"/>
      <family val="2"/>
    </font>
    <font>
      <b/>
      <sz val="11"/>
      <color rgb="FFFA7D00"/>
      <name val="Agency FB"/>
      <family val="2"/>
    </font>
    <font>
      <sz val="11"/>
      <color rgb="FF3F3F76"/>
      <name val="Agency FB"/>
      <family val="2"/>
    </font>
    <font>
      <sz val="10"/>
      <name val="Calibri"/>
      <family val="1"/>
      <scheme val="minor"/>
    </font>
    <font>
      <b/>
      <sz val="12"/>
      <color rgb="FF000099"/>
      <name val="Calibri"/>
      <family val="2"/>
      <scheme val="minor"/>
    </font>
    <font>
      <b/>
      <sz val="18"/>
      <name val="Cambria"/>
      <family val="2"/>
      <scheme val="major"/>
    </font>
    <font>
      <b/>
      <sz val="10"/>
      <color theme="1"/>
      <name val="Calibri"/>
      <family val="1"/>
      <scheme val="minor"/>
    </font>
    <font>
      <sz val="10"/>
      <color rgb="FF3F3F76"/>
      <name val="Calibri"/>
      <family val="1"/>
      <scheme val="minor"/>
    </font>
    <font>
      <b/>
      <sz val="10"/>
      <color rgb="FFFA7D00"/>
      <name val="Calibri"/>
      <family val="1"/>
      <scheme val="minor"/>
    </font>
    <font>
      <b/>
      <sz val="10"/>
      <name val="Calibri"/>
      <family val="1"/>
      <scheme val="minor"/>
    </font>
    <font>
      <sz val="11"/>
      <color theme="1"/>
      <name val="Calibri"/>
      <family val="1"/>
      <scheme val="minor"/>
    </font>
    <font>
      <sz val="10"/>
      <color indexed="23"/>
      <name val="Calibri"/>
      <family val="1"/>
      <scheme val="minor"/>
    </font>
    <font>
      <sz val="11"/>
      <name val="Calibri"/>
      <family val="2"/>
      <scheme val="minor"/>
    </font>
    <font>
      <b/>
      <sz val="11"/>
      <color theme="1"/>
      <name val="Calibri"/>
      <family val="2"/>
      <scheme val="minor"/>
    </font>
  </fonts>
  <fills count="16">
    <fill>
      <patternFill patternType="none"/>
    </fill>
    <fill>
      <patternFill patternType="gray125"/>
    </fill>
    <fill>
      <patternFill patternType="solid">
        <fgColor indexed="8"/>
        <bgColor indexed="64"/>
      </patternFill>
    </fill>
    <fill>
      <patternFill patternType="solid">
        <fgColor theme="1"/>
        <bgColor indexed="64"/>
      </patternFill>
    </fill>
    <fill>
      <patternFill patternType="solid">
        <fgColor rgb="FFFFFF99"/>
        <bgColor indexed="64"/>
      </patternFill>
    </fill>
    <fill>
      <patternFill patternType="solid">
        <fgColor rgb="FF66FFFF"/>
        <bgColor indexed="64"/>
      </patternFill>
    </fill>
    <fill>
      <patternFill patternType="solid">
        <fgColor rgb="FFFFFF00"/>
        <bgColor indexed="64"/>
      </patternFill>
    </fill>
    <fill>
      <patternFill patternType="solid">
        <fgColor rgb="FFCCFFFF"/>
        <bgColor indexed="64"/>
      </patternFill>
    </fill>
    <fill>
      <patternFill patternType="solid">
        <fgColor rgb="FF66CCFF"/>
        <bgColor indexed="64"/>
      </patternFill>
    </fill>
    <fill>
      <patternFill patternType="solid">
        <fgColor rgb="FFCCFFCC"/>
        <bgColor indexed="64"/>
      </patternFill>
    </fill>
    <fill>
      <patternFill patternType="solid">
        <fgColor rgb="FFFFCC99"/>
      </patternFill>
    </fill>
    <fill>
      <patternFill patternType="solid">
        <fgColor rgb="FFF2F2F2"/>
      </patternFill>
    </fill>
    <fill>
      <patternFill patternType="solid">
        <fgColor theme="6" tint="0.79998168889431442"/>
        <bgColor theme="6" tint="0.79998168889431442"/>
      </patternFill>
    </fill>
    <fill>
      <patternFill patternType="solid">
        <fgColor indexed="9"/>
      </patternFill>
    </fill>
    <fill>
      <patternFill patternType="solid">
        <fgColor theme="8" tint="0.39997558519241921"/>
        <bgColor indexed="64"/>
      </patternFill>
    </fill>
    <fill>
      <patternFill patternType="solid">
        <fgColor rgb="FFFF0000"/>
        <bgColor indexed="64"/>
      </patternFill>
    </fill>
  </fills>
  <borders count="28">
    <border>
      <left/>
      <right/>
      <top/>
      <bottom/>
      <diagonal/>
    </border>
    <border>
      <left style="thin">
        <color indexed="64"/>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7F7F7F"/>
      </left>
      <right style="thin">
        <color rgb="FF7F7F7F"/>
      </right>
      <top style="thin">
        <color rgb="FF7F7F7F"/>
      </top>
      <bottom style="thin">
        <color rgb="FF7F7F7F"/>
      </bottom>
      <diagonal/>
    </border>
    <border>
      <left/>
      <right/>
      <top/>
      <bottom style="hair">
        <color indexed="16"/>
      </bottom>
      <diagonal/>
    </border>
    <border>
      <left style="hair">
        <color indexed="16"/>
      </left>
      <right/>
      <top style="hair">
        <color indexed="16"/>
      </top>
      <bottom style="hair">
        <color indexed="16"/>
      </bottom>
      <diagonal/>
    </border>
    <border>
      <left/>
      <right/>
      <top style="hair">
        <color indexed="16"/>
      </top>
      <bottom style="hair">
        <color indexed="16"/>
      </bottom>
      <diagonal/>
    </border>
    <border>
      <left/>
      <right style="hair">
        <color indexed="16"/>
      </right>
      <top style="hair">
        <color indexed="16"/>
      </top>
      <bottom style="hair">
        <color indexed="16"/>
      </bottom>
      <diagonal/>
    </border>
    <border>
      <left style="hair">
        <color indexed="16"/>
      </left>
      <right/>
      <top/>
      <bottom/>
      <diagonal/>
    </border>
    <border>
      <left style="hair">
        <color indexed="16"/>
      </left>
      <right/>
      <top/>
      <bottom style="hair">
        <color indexed="16"/>
      </bottom>
      <diagonal/>
    </border>
    <border>
      <left style="hair">
        <color indexed="16"/>
      </left>
      <right/>
      <top style="hair">
        <color indexed="16"/>
      </top>
      <bottom/>
      <diagonal/>
    </border>
    <border>
      <left/>
      <right style="hair">
        <color indexed="16"/>
      </right>
      <top style="hair">
        <color indexed="16"/>
      </top>
      <bottom/>
      <diagonal/>
    </border>
    <border>
      <left/>
      <right/>
      <top style="hair">
        <color indexed="16"/>
      </top>
      <bottom/>
      <diagonal/>
    </border>
    <border>
      <left style="thin">
        <color auto="1"/>
      </left>
      <right style="thin">
        <color auto="1"/>
      </right>
      <top/>
      <bottom/>
      <diagonal/>
    </border>
  </borders>
  <cellStyleXfs count="9">
    <xf numFmtId="0" fontId="0" fillId="0" borderId="0"/>
    <xf numFmtId="0" fontId="1" fillId="0" borderId="0"/>
    <xf numFmtId="9" fontId="6" fillId="0" borderId="0" applyFont="0" applyFill="0" applyBorder="0" applyAlignment="0" applyProtection="0"/>
    <xf numFmtId="0" fontId="34" fillId="12" borderId="0" applyNumberFormat="0" applyBorder="0" applyAlignment="0" applyProtection="0"/>
    <xf numFmtId="0" fontId="35" fillId="11" borderId="17" applyNumberFormat="0" applyAlignment="0" applyProtection="0"/>
    <xf numFmtId="44" fontId="1" fillId="0" borderId="0" applyFont="0" applyFill="0" applyBorder="0" applyAlignment="0" applyProtection="0"/>
    <xf numFmtId="0" fontId="36" fillId="10" borderId="17" applyNumberFormat="0" applyAlignment="0" applyProtection="0"/>
    <xf numFmtId="0" fontId="37" fillId="0" borderId="0"/>
    <xf numFmtId="43" fontId="6" fillId="0" borderId="0" applyFont="0" applyFill="0" applyBorder="0" applyAlignment="0" applyProtection="0"/>
  </cellStyleXfs>
  <cellXfs count="189">
    <xf numFmtId="0" fontId="0" fillId="0" borderId="0" xfId="0"/>
    <xf numFmtId="0" fontId="7" fillId="3" borderId="0" xfId="0" applyFont="1" applyFill="1"/>
    <xf numFmtId="0" fontId="0" fillId="4" borderId="0" xfId="0" applyFill="1"/>
    <xf numFmtId="0" fontId="8" fillId="4" borderId="0" xfId="0" applyFont="1" applyFill="1"/>
    <xf numFmtId="0" fontId="9" fillId="4" borderId="0" xfId="0" applyFont="1" applyFill="1"/>
    <xf numFmtId="9" fontId="10" fillId="4" borderId="0" xfId="2" applyFont="1" applyFill="1"/>
    <xf numFmtId="164" fontId="10" fillId="4" borderId="0" xfId="2" applyNumberFormat="1" applyFont="1" applyFill="1" applyAlignment="1">
      <alignment horizontal="center"/>
    </xf>
    <xf numFmtId="42" fontId="10" fillId="4" borderId="0" xfId="0" applyNumberFormat="1" applyFont="1" applyFill="1"/>
    <xf numFmtId="44" fontId="11" fillId="4" borderId="0" xfId="0" applyNumberFormat="1" applyFont="1" applyFill="1"/>
    <xf numFmtId="6" fontId="10" fillId="4" borderId="0" xfId="0" applyNumberFormat="1" applyFont="1" applyFill="1"/>
    <xf numFmtId="0" fontId="8" fillId="4" borderId="0" xfId="0" applyFont="1" applyFill="1" applyAlignment="1">
      <alignment horizontal="center"/>
    </xf>
    <xf numFmtId="0" fontId="12" fillId="5" borderId="1" xfId="0" applyFont="1" applyFill="1" applyBorder="1"/>
    <xf numFmtId="0" fontId="8" fillId="5" borderId="0" xfId="0" applyFont="1" applyFill="1" applyBorder="1"/>
    <xf numFmtId="2" fontId="8" fillId="5" borderId="0" xfId="0" applyNumberFormat="1" applyFont="1" applyFill="1" applyBorder="1"/>
    <xf numFmtId="0" fontId="8" fillId="5" borderId="0" xfId="0" applyFont="1" applyFill="1"/>
    <xf numFmtId="0" fontId="0" fillId="5" borderId="0" xfId="0" applyFill="1"/>
    <xf numFmtId="43" fontId="11" fillId="4" borderId="0" xfId="0" applyNumberFormat="1" applyFont="1" applyFill="1"/>
    <xf numFmtId="0" fontId="13" fillId="2" borderId="0" xfId="1" applyFont="1" applyFill="1" applyBorder="1"/>
    <xf numFmtId="0" fontId="14" fillId="6" borderId="0" xfId="1" applyFont="1" applyFill="1" applyBorder="1"/>
    <xf numFmtId="0" fontId="13" fillId="6" borderId="0" xfId="1" applyFont="1" applyFill="1" applyBorder="1"/>
    <xf numFmtId="0" fontId="15" fillId="6" borderId="0" xfId="1" applyFont="1" applyFill="1" applyBorder="1"/>
    <xf numFmtId="2" fontId="16" fillId="2" borderId="0" xfId="1" applyNumberFormat="1" applyFont="1" applyFill="1" applyBorder="1" applyAlignment="1"/>
    <xf numFmtId="0" fontId="17" fillId="2" borderId="0" xfId="1" applyFont="1" applyFill="1" applyBorder="1"/>
    <xf numFmtId="0" fontId="19" fillId="6" borderId="0" xfId="1" applyFont="1" applyFill="1" applyBorder="1"/>
    <xf numFmtId="0" fontId="20" fillId="6" borderId="0" xfId="1" applyFont="1" applyFill="1" applyBorder="1"/>
    <xf numFmtId="0" fontId="21" fillId="2" borderId="0" xfId="1" applyFont="1" applyFill="1" applyBorder="1"/>
    <xf numFmtId="0" fontId="22" fillId="2" borderId="0" xfId="1" applyFont="1" applyFill="1" applyBorder="1"/>
    <xf numFmtId="0" fontId="23" fillId="2" borderId="0" xfId="1" applyFont="1" applyFill="1" applyBorder="1"/>
    <xf numFmtId="0" fontId="18" fillId="2" borderId="0" xfId="1" applyFont="1" applyFill="1" applyBorder="1"/>
    <xf numFmtId="164" fontId="10" fillId="4" borderId="0" xfId="2" applyNumberFormat="1" applyFont="1" applyFill="1" applyAlignment="1">
      <alignment horizontal="right"/>
    </xf>
    <xf numFmtId="41" fontId="10" fillId="4" borderId="0" xfId="0" applyNumberFormat="1" applyFont="1" applyFill="1"/>
    <xf numFmtId="166" fontId="11" fillId="4" borderId="0" xfId="0" applyNumberFormat="1" applyFont="1" applyFill="1"/>
    <xf numFmtId="10" fontId="11" fillId="4" borderId="0" xfId="2" applyNumberFormat="1" applyFont="1" applyFill="1"/>
    <xf numFmtId="168" fontId="11" fillId="4" borderId="0" xfId="2" applyNumberFormat="1" applyFont="1" applyFill="1"/>
    <xf numFmtId="0" fontId="12" fillId="5" borderId="0" xfId="0" applyFont="1" applyFill="1" applyBorder="1"/>
    <xf numFmtId="44" fontId="11" fillId="7" borderId="0" xfId="0" applyNumberFormat="1" applyFont="1" applyFill="1"/>
    <xf numFmtId="44" fontId="11" fillId="4" borderId="0" xfId="2" applyNumberFormat="1" applyFont="1" applyFill="1"/>
    <xf numFmtId="0" fontId="26" fillId="8" borderId="3" xfId="0" applyFont="1" applyFill="1" applyBorder="1"/>
    <xf numFmtId="0" fontId="27" fillId="8" borderId="4" xfId="0" applyFont="1" applyFill="1" applyBorder="1"/>
    <xf numFmtId="0" fontId="27" fillId="8" borderId="5" xfId="0" applyFont="1" applyFill="1" applyBorder="1"/>
    <xf numFmtId="0" fontId="26" fillId="8" borderId="6" xfId="0" applyFont="1" applyFill="1" applyBorder="1"/>
    <xf numFmtId="0" fontId="28" fillId="8" borderId="7" xfId="0" applyFont="1" applyFill="1" applyBorder="1"/>
    <xf numFmtId="0" fontId="28" fillId="8" borderId="8" xfId="0" applyFont="1" applyFill="1" applyBorder="1"/>
    <xf numFmtId="43" fontId="11" fillId="9" borderId="2" xfId="0" applyNumberFormat="1" applyFont="1" applyFill="1" applyBorder="1"/>
    <xf numFmtId="43" fontId="11" fillId="9" borderId="0" xfId="0" applyNumberFormat="1" applyFont="1" applyFill="1" applyBorder="1"/>
    <xf numFmtId="0" fontId="8" fillId="9" borderId="9" xfId="0" applyFont="1" applyFill="1" applyBorder="1" applyAlignment="1">
      <alignment horizontal="center"/>
    </xf>
    <xf numFmtId="0" fontId="8" fillId="9" borderId="10" xfId="0" applyFont="1" applyFill="1" applyBorder="1" applyAlignment="1">
      <alignment horizontal="center" wrapText="1"/>
    </xf>
    <xf numFmtId="0" fontId="8" fillId="9" borderId="11" xfId="0" applyFont="1" applyFill="1" applyBorder="1" applyAlignment="1">
      <alignment horizontal="center" wrapText="1"/>
    </xf>
    <xf numFmtId="0" fontId="8" fillId="9" borderId="1" xfId="0" applyFont="1" applyFill="1" applyBorder="1" applyAlignment="1">
      <alignment horizontal="center"/>
    </xf>
    <xf numFmtId="44" fontId="11" fillId="9" borderId="0" xfId="0" applyNumberFormat="1" applyFont="1" applyFill="1" applyBorder="1"/>
    <xf numFmtId="44" fontId="11" fillId="9" borderId="12" xfId="0" applyNumberFormat="1" applyFont="1" applyFill="1" applyBorder="1"/>
    <xf numFmtId="43" fontId="11" fillId="9" borderId="12" xfId="0" applyNumberFormat="1" applyFont="1" applyFill="1" applyBorder="1"/>
    <xf numFmtId="0" fontId="8" fillId="9" borderId="13" xfId="0" applyFont="1" applyFill="1" applyBorder="1" applyAlignment="1">
      <alignment horizontal="center"/>
    </xf>
    <xf numFmtId="0" fontId="8" fillId="9" borderId="2" xfId="0" applyFont="1" applyFill="1" applyBorder="1"/>
    <xf numFmtId="44" fontId="11" fillId="9" borderId="2" xfId="0" applyNumberFormat="1" applyFont="1" applyFill="1" applyBorder="1"/>
    <xf numFmtId="0" fontId="8" fillId="9" borderId="14" xfId="0" applyFont="1" applyFill="1" applyBorder="1"/>
    <xf numFmtId="0" fontId="8" fillId="9" borderId="9" xfId="0" applyFont="1" applyFill="1" applyBorder="1"/>
    <xf numFmtId="37" fontId="8" fillId="9" borderId="1" xfId="0" applyNumberFormat="1" applyFont="1" applyFill="1" applyBorder="1" applyAlignment="1">
      <alignment horizontal="center"/>
    </xf>
    <xf numFmtId="37" fontId="8" fillId="9" borderId="13" xfId="0" applyNumberFormat="1" applyFont="1" applyFill="1" applyBorder="1" applyAlignment="1">
      <alignment horizontal="center"/>
    </xf>
    <xf numFmtId="44" fontId="11" fillId="9" borderId="14" xfId="0" applyNumberFormat="1" applyFont="1" applyFill="1" applyBorder="1"/>
    <xf numFmtId="0" fontId="8" fillId="9" borderId="1" xfId="0" applyFont="1" applyFill="1" applyBorder="1" applyAlignment="1">
      <alignment wrapText="1"/>
    </xf>
    <xf numFmtId="9" fontId="10" fillId="9" borderId="0" xfId="2" applyFont="1" applyFill="1" applyBorder="1"/>
    <xf numFmtId="9" fontId="10" fillId="9" borderId="12" xfId="2" applyFont="1" applyFill="1" applyBorder="1"/>
    <xf numFmtId="0" fontId="10" fillId="9" borderId="1" xfId="0" applyFont="1" applyFill="1" applyBorder="1" applyAlignment="1">
      <alignment horizontal="center" wrapText="1"/>
    </xf>
    <xf numFmtId="165" fontId="11" fillId="9" borderId="0" xfId="0" applyNumberFormat="1" applyFont="1" applyFill="1" applyBorder="1"/>
    <xf numFmtId="165" fontId="11" fillId="9" borderId="12" xfId="0" applyNumberFormat="1" applyFont="1" applyFill="1" applyBorder="1"/>
    <xf numFmtId="0" fontId="10" fillId="9" borderId="1" xfId="0" applyFont="1" applyFill="1" applyBorder="1" applyAlignment="1">
      <alignment horizontal="center"/>
    </xf>
    <xf numFmtId="0" fontId="10" fillId="9" borderId="13" xfId="0" applyFont="1" applyFill="1" applyBorder="1" applyAlignment="1">
      <alignment horizontal="center"/>
    </xf>
    <xf numFmtId="165" fontId="11" fillId="9" borderId="2" xfId="0" applyNumberFormat="1" applyFont="1" applyFill="1" applyBorder="1"/>
    <xf numFmtId="165" fontId="11" fillId="9" borderId="14" xfId="0" applyNumberFormat="1" applyFont="1" applyFill="1" applyBorder="1"/>
    <xf numFmtId="0" fontId="8" fillId="9" borderId="1" xfId="0" applyFont="1" applyFill="1" applyBorder="1"/>
    <xf numFmtId="166" fontId="11" fillId="9" borderId="0" xfId="0" applyNumberFormat="1" applyFont="1" applyFill="1" applyBorder="1"/>
    <xf numFmtId="0" fontId="10" fillId="9" borderId="0" xfId="0" applyFont="1" applyFill="1" applyBorder="1" applyAlignment="1">
      <alignment horizontal="center"/>
    </xf>
    <xf numFmtId="167" fontId="11" fillId="9" borderId="0" xfId="0" applyNumberFormat="1" applyFont="1" applyFill="1" applyBorder="1"/>
    <xf numFmtId="167" fontId="11" fillId="9" borderId="12" xfId="0" applyNumberFormat="1" applyFont="1" applyFill="1" applyBorder="1"/>
    <xf numFmtId="0" fontId="10" fillId="9" borderId="2" xfId="0" applyFont="1" applyFill="1" applyBorder="1" applyAlignment="1">
      <alignment horizontal="center"/>
    </xf>
    <xf numFmtId="167" fontId="11" fillId="9" borderId="2" xfId="0" applyNumberFormat="1" applyFont="1" applyFill="1" applyBorder="1"/>
    <xf numFmtId="167" fontId="11" fillId="9" borderId="14" xfId="0" applyNumberFormat="1" applyFont="1" applyFill="1" applyBorder="1"/>
    <xf numFmtId="9" fontId="10" fillId="9" borderId="12" xfId="2" applyFont="1" applyFill="1" applyBorder="1" applyAlignment="1">
      <alignment horizontal="center"/>
    </xf>
    <xf numFmtId="9" fontId="10" fillId="9" borderId="14" xfId="2" applyFont="1" applyFill="1" applyBorder="1" applyAlignment="1">
      <alignment horizontal="center"/>
    </xf>
    <xf numFmtId="43" fontId="11" fillId="9" borderId="14" xfId="0" applyNumberFormat="1" applyFont="1" applyFill="1" applyBorder="1"/>
    <xf numFmtId="0" fontId="30" fillId="9" borderId="1" xfId="0" applyFont="1" applyFill="1" applyBorder="1" applyAlignment="1">
      <alignment horizontal="center"/>
    </xf>
    <xf numFmtId="0" fontId="30" fillId="9" borderId="13" xfId="0" applyFont="1" applyFill="1" applyBorder="1" applyAlignment="1">
      <alignment horizontal="center"/>
    </xf>
    <xf numFmtId="0" fontId="31" fillId="9" borderId="9" xfId="0" applyFont="1" applyFill="1" applyBorder="1" applyAlignment="1">
      <alignment horizontal="center"/>
    </xf>
    <xf numFmtId="0" fontId="31" fillId="9" borderId="11" xfId="0" applyFont="1" applyFill="1" applyBorder="1"/>
    <xf numFmtId="0" fontId="31" fillId="9" borderId="11" xfId="0" applyFont="1" applyFill="1" applyBorder="1" applyAlignment="1">
      <alignment horizontal="center" wrapText="1"/>
    </xf>
    <xf numFmtId="0" fontId="13" fillId="2" borderId="0" xfId="1" applyFont="1" applyFill="1"/>
    <xf numFmtId="0" fontId="18" fillId="2" borderId="0" xfId="1" applyFont="1" applyFill="1"/>
    <xf numFmtId="0" fontId="8" fillId="4" borderId="0" xfId="0" applyFont="1" applyFill="1" applyAlignment="1">
      <alignment wrapText="1"/>
    </xf>
    <xf numFmtId="0" fontId="8" fillId="4" borderId="0" xfId="0" applyFont="1" applyFill="1" applyAlignment="1">
      <alignment horizontal="left" wrapText="1"/>
    </xf>
    <xf numFmtId="0" fontId="8" fillId="5" borderId="0" xfId="0" applyFont="1" applyFill="1" applyBorder="1" applyAlignment="1">
      <alignment horizontal="left" wrapText="1"/>
    </xf>
    <xf numFmtId="0" fontId="9" fillId="4" borderId="0" xfId="0" applyFont="1" applyFill="1" applyAlignment="1">
      <alignment horizontal="left"/>
    </xf>
    <xf numFmtId="8" fontId="11" fillId="4" borderId="0" xfId="0" applyNumberFormat="1" applyFont="1" applyFill="1"/>
    <xf numFmtId="0" fontId="25" fillId="9" borderId="9" xfId="0" applyFont="1" applyFill="1" applyBorder="1" applyAlignment="1">
      <alignment horizontal="center"/>
    </xf>
    <xf numFmtId="0" fontId="25" fillId="9" borderId="11" xfId="0" applyFont="1" applyFill="1" applyBorder="1" applyAlignment="1">
      <alignment horizontal="center"/>
    </xf>
    <xf numFmtId="42" fontId="10" fillId="9" borderId="12" xfId="0" applyNumberFormat="1" applyFont="1" applyFill="1" applyBorder="1"/>
    <xf numFmtId="41" fontId="10" fillId="9" borderId="12" xfId="0" applyNumberFormat="1" applyFont="1" applyFill="1" applyBorder="1"/>
    <xf numFmtId="41" fontId="10" fillId="9" borderId="14" xfId="0" applyNumberFormat="1" applyFont="1" applyFill="1" applyBorder="1"/>
    <xf numFmtId="0" fontId="25" fillId="4" borderId="0" xfId="0" applyFont="1" applyFill="1" applyAlignment="1">
      <alignment horizontal="right"/>
    </xf>
    <xf numFmtId="0" fontId="28" fillId="8" borderId="3" xfId="0" applyFont="1" applyFill="1" applyBorder="1"/>
    <xf numFmtId="0" fontId="29" fillId="8" borderId="4" xfId="0" applyFont="1" applyFill="1" applyBorder="1"/>
    <xf numFmtId="0" fontId="32" fillId="4" borderId="0" xfId="0" applyFont="1" applyFill="1"/>
    <xf numFmtId="0" fontId="33" fillId="8" borderId="7" xfId="0" applyFont="1" applyFill="1" applyBorder="1"/>
    <xf numFmtId="0" fontId="33" fillId="8" borderId="8" xfId="0" applyFont="1" applyFill="1" applyBorder="1"/>
    <xf numFmtId="10" fontId="10" fillId="4" borderId="0" xfId="2" applyNumberFormat="1" applyFont="1" applyFill="1"/>
    <xf numFmtId="41" fontId="10" fillId="4" borderId="0" xfId="2" applyNumberFormat="1" applyFont="1" applyFill="1"/>
    <xf numFmtId="10" fontId="11" fillId="4" borderId="0" xfId="0" applyNumberFormat="1" applyFont="1" applyFill="1"/>
    <xf numFmtId="10" fontId="10" fillId="4" borderId="0" xfId="0" applyNumberFormat="1" applyFont="1" applyFill="1"/>
    <xf numFmtId="2" fontId="11" fillId="4" borderId="0" xfId="0" applyNumberFormat="1" applyFont="1" applyFill="1"/>
    <xf numFmtId="42" fontId="10" fillId="9" borderId="12" xfId="0" applyNumberFormat="1" applyFont="1" applyFill="1" applyBorder="1" applyAlignment="1">
      <alignment horizontal="center" wrapText="1"/>
    </xf>
    <xf numFmtId="9" fontId="10" fillId="9" borderId="14" xfId="2" applyFont="1" applyFill="1" applyBorder="1"/>
    <xf numFmtId="0" fontId="9" fillId="4" borderId="0" xfId="0" applyFont="1" applyFill="1" applyAlignment="1"/>
    <xf numFmtId="0" fontId="33" fillId="8" borderId="5" xfId="0" applyFont="1" applyFill="1" applyBorder="1"/>
    <xf numFmtId="0" fontId="38" fillId="8" borderId="8" xfId="0" applyFont="1" applyFill="1" applyBorder="1"/>
    <xf numFmtId="0" fontId="25" fillId="9" borderId="10" xfId="0" applyFont="1" applyFill="1" applyBorder="1" applyAlignment="1">
      <alignment horizontal="center" wrapText="1"/>
    </xf>
    <xf numFmtId="0" fontId="25" fillId="9" borderId="11" xfId="0" applyFont="1" applyFill="1" applyBorder="1" applyAlignment="1">
      <alignment horizontal="center" wrapText="1"/>
    </xf>
    <xf numFmtId="0" fontId="39" fillId="13" borderId="0" xfId="7" applyFont="1" applyFill="1" applyBorder="1" applyAlignment="1"/>
    <xf numFmtId="0" fontId="37" fillId="0" borderId="0" xfId="7" applyFont="1" applyAlignment="1"/>
    <xf numFmtId="0" fontId="37" fillId="13" borderId="0" xfId="7" applyFont="1" applyFill="1" applyBorder="1" applyAlignment="1">
      <alignment horizontal="left"/>
    </xf>
    <xf numFmtId="0" fontId="37" fillId="0" borderId="0" xfId="7" applyFont="1" applyBorder="1"/>
    <xf numFmtId="0" fontId="37" fillId="13" borderId="18" xfId="7" applyFont="1" applyFill="1" applyBorder="1" applyAlignment="1">
      <alignment horizontal="left"/>
    </xf>
    <xf numFmtId="0" fontId="37" fillId="13" borderId="18" xfId="7" applyFont="1" applyFill="1" applyBorder="1"/>
    <xf numFmtId="0" fontId="37" fillId="13" borderId="0" xfId="7" applyFont="1" applyFill="1" applyBorder="1"/>
    <xf numFmtId="0" fontId="37" fillId="13" borderId="22" xfId="7" applyFont="1" applyFill="1" applyBorder="1" applyAlignment="1">
      <alignment horizontal="left"/>
    </xf>
    <xf numFmtId="0" fontId="37" fillId="13" borderId="0" xfId="7" applyFont="1" applyFill="1" applyBorder="1" applyAlignment="1">
      <alignment horizontal="right"/>
    </xf>
    <xf numFmtId="44" fontId="41" fillId="10" borderId="17" xfId="6" applyNumberFormat="1" applyFont="1" applyAlignment="1" applyProtection="1">
      <alignment horizontal="right"/>
      <protection locked="0"/>
    </xf>
    <xf numFmtId="44" fontId="42" fillId="11" borderId="17" xfId="4" applyNumberFormat="1" applyFont="1" applyAlignment="1">
      <alignment horizontal="right"/>
    </xf>
    <xf numFmtId="169" fontId="41" fillId="10" borderId="17" xfId="6" applyNumberFormat="1" applyFont="1" applyAlignment="1" applyProtection="1">
      <alignment horizontal="right"/>
      <protection locked="0"/>
    </xf>
    <xf numFmtId="170" fontId="42" fillId="11" borderId="17" xfId="4" applyNumberFormat="1" applyFont="1" applyAlignment="1">
      <alignment horizontal="right"/>
    </xf>
    <xf numFmtId="170" fontId="41" fillId="10" borderId="17" xfId="6" applyNumberFormat="1" applyFont="1" applyAlignment="1" applyProtection="1">
      <alignment horizontal="right"/>
      <protection locked="0"/>
    </xf>
    <xf numFmtId="14" fontId="41" fillId="10" borderId="17" xfId="6" applyNumberFormat="1" applyFont="1" applyAlignment="1" applyProtection="1">
      <alignment horizontal="right"/>
      <protection locked="0"/>
    </xf>
    <xf numFmtId="0" fontId="37" fillId="13" borderId="23" xfId="7" applyFont="1" applyFill="1" applyBorder="1" applyAlignment="1">
      <alignment horizontal="left"/>
    </xf>
    <xf numFmtId="0" fontId="37" fillId="13" borderId="18" xfId="7" applyFont="1" applyFill="1" applyBorder="1" applyAlignment="1">
      <alignment horizontal="right"/>
    </xf>
    <xf numFmtId="0" fontId="37" fillId="13" borderId="0" xfId="7" applyNumberFormat="1" applyFont="1" applyFill="1" applyBorder="1" applyAlignment="1">
      <alignment horizontal="left"/>
    </xf>
    <xf numFmtId="0" fontId="43" fillId="13" borderId="0" xfId="7" applyFont="1" applyFill="1" applyBorder="1" applyAlignment="1">
      <alignment horizontal="right"/>
    </xf>
    <xf numFmtId="0" fontId="37" fillId="13" borderId="0" xfId="7" applyFont="1" applyFill="1"/>
    <xf numFmtId="0" fontId="37" fillId="13" borderId="26" xfId="7" applyFont="1" applyFill="1" applyBorder="1" applyAlignment="1" applyProtection="1">
      <alignment horizontal="left"/>
    </xf>
    <xf numFmtId="0" fontId="44" fillId="12" borderId="0" xfId="3" applyFont="1" applyBorder="1" applyAlignment="1">
      <alignment horizontal="left"/>
    </xf>
    <xf numFmtId="0" fontId="44" fillId="12" borderId="0" xfId="3" applyFont="1" applyBorder="1"/>
    <xf numFmtId="0" fontId="40" fillId="12" borderId="12" xfId="3" applyFont="1" applyBorder="1" applyAlignment="1" applyProtection="1">
      <alignment horizontal="center" vertical="center" wrapText="1"/>
    </xf>
    <xf numFmtId="0" fontId="40" fillId="12" borderId="27" xfId="3" applyFont="1" applyBorder="1" applyAlignment="1" applyProtection="1">
      <alignment horizontal="center" vertical="center" wrapText="1"/>
    </xf>
    <xf numFmtId="0" fontId="40" fillId="12" borderId="1" xfId="3" applyFont="1" applyBorder="1" applyAlignment="1" applyProtection="1">
      <alignment horizontal="center" vertical="center" wrapText="1"/>
    </xf>
    <xf numFmtId="0" fontId="37" fillId="0" borderId="0" xfId="7" applyFont="1" applyBorder="1" applyAlignment="1">
      <alignment wrapText="1"/>
    </xf>
    <xf numFmtId="0" fontId="44" fillId="12" borderId="18" xfId="3" applyFont="1" applyBorder="1" applyAlignment="1">
      <alignment horizontal="left"/>
    </xf>
    <xf numFmtId="0" fontId="44" fillId="12" borderId="18" xfId="3" applyFont="1" applyBorder="1" applyAlignment="1" applyProtection="1">
      <alignment horizontal="left" wrapText="1" indent="2"/>
    </xf>
    <xf numFmtId="0" fontId="44" fillId="12" borderId="18" xfId="3" applyFont="1" applyBorder="1" applyAlignment="1" applyProtection="1">
      <alignment horizontal="left" wrapText="1" indent="3"/>
    </xf>
    <xf numFmtId="0" fontId="45" fillId="13" borderId="0" xfId="7" applyFont="1" applyFill="1" applyBorder="1" applyAlignment="1">
      <alignment horizontal="left"/>
    </xf>
    <xf numFmtId="14" fontId="45" fillId="13" borderId="0" xfId="7" applyNumberFormat="1" applyFont="1" applyFill="1" applyBorder="1" applyAlignment="1">
      <alignment horizontal="right"/>
    </xf>
    <xf numFmtId="44" fontId="45" fillId="13" borderId="0" xfId="5" applyNumberFormat="1" applyFont="1" applyFill="1" applyBorder="1" applyAlignment="1">
      <alignment horizontal="right"/>
    </xf>
    <xf numFmtId="44" fontId="45" fillId="13" borderId="0" xfId="5" applyNumberFormat="1" applyFont="1" applyFill="1" applyBorder="1" applyAlignment="1" applyProtection="1">
      <alignment horizontal="right"/>
      <protection locked="0"/>
    </xf>
    <xf numFmtId="0" fontId="37" fillId="0" borderId="0" xfId="7" applyFont="1" applyBorder="1" applyAlignment="1">
      <alignment horizontal="left"/>
    </xf>
    <xf numFmtId="0" fontId="37" fillId="0" borderId="0" xfId="7" applyFont="1" applyBorder="1" applyAlignment="1">
      <alignment horizontal="center"/>
    </xf>
    <xf numFmtId="0" fontId="8" fillId="4" borderId="0" xfId="0" applyFont="1" applyFill="1" applyAlignment="1">
      <alignment vertical="center"/>
    </xf>
    <xf numFmtId="9" fontId="10" fillId="4" borderId="0" xfId="0" applyNumberFormat="1" applyFont="1" applyFill="1"/>
    <xf numFmtId="0" fontId="25" fillId="4" borderId="0" xfId="0" applyFont="1" applyFill="1" applyAlignment="1">
      <alignment vertical="center"/>
    </xf>
    <xf numFmtId="0" fontId="24" fillId="4" borderId="0" xfId="0" applyFont="1" applyFill="1" applyAlignment="1">
      <alignment vertical="center"/>
    </xf>
    <xf numFmtId="43" fontId="0" fillId="0" borderId="0" xfId="0" applyNumberFormat="1"/>
    <xf numFmtId="14" fontId="0" fillId="0" borderId="0" xfId="0" applyNumberFormat="1"/>
    <xf numFmtId="0" fontId="0" fillId="6" borderId="0" xfId="0" applyFill="1"/>
    <xf numFmtId="14" fontId="0" fillId="6" borderId="0" xfId="0" applyNumberFormat="1" applyFill="1"/>
    <xf numFmtId="10" fontId="0" fillId="0" borderId="0" xfId="2" applyNumberFormat="1" applyFont="1"/>
    <xf numFmtId="43" fontId="0" fillId="0" borderId="0" xfId="8" applyFont="1"/>
    <xf numFmtId="8" fontId="0" fillId="0" borderId="0" xfId="0" applyNumberFormat="1"/>
    <xf numFmtId="8" fontId="0" fillId="6" borderId="0" xfId="0" applyNumberFormat="1" applyFill="1"/>
    <xf numFmtId="0" fontId="46" fillId="14" borderId="0" xfId="0" applyFont="1" applyFill="1"/>
    <xf numFmtId="165" fontId="46" fillId="14" borderId="0" xfId="0" applyNumberFormat="1" applyFont="1" applyFill="1"/>
    <xf numFmtId="171" fontId="46" fillId="14" borderId="0" xfId="2" applyNumberFormat="1" applyFont="1" applyFill="1"/>
    <xf numFmtId="8" fontId="11" fillId="4" borderId="0" xfId="0" applyNumberFormat="1" applyFont="1" applyFill="1" applyAlignment="1">
      <alignment horizontal="left"/>
    </xf>
    <xf numFmtId="0" fontId="8" fillId="5" borderId="0" xfId="0" applyFont="1" applyFill="1" applyBorder="1" applyAlignment="1">
      <alignment horizontal="left" wrapText="1"/>
    </xf>
    <xf numFmtId="0" fontId="8" fillId="5" borderId="0" xfId="0" applyFont="1" applyFill="1" applyAlignment="1">
      <alignment horizontal="left" wrapText="1"/>
    </xf>
    <xf numFmtId="0" fontId="9" fillId="4" borderId="0" xfId="0" applyFont="1" applyFill="1" applyAlignment="1">
      <alignment horizontal="left"/>
    </xf>
    <xf numFmtId="0" fontId="8" fillId="4" borderId="0" xfId="0" applyFont="1" applyFill="1" applyAlignment="1">
      <alignment horizontal="left" wrapText="1"/>
    </xf>
    <xf numFmtId="0" fontId="8" fillId="4" borderId="0" xfId="0" applyFont="1" applyFill="1" applyAlignment="1">
      <alignment horizontal="left"/>
    </xf>
    <xf numFmtId="0" fontId="9" fillId="9" borderId="10" xfId="0" applyFont="1" applyFill="1" applyBorder="1" applyAlignment="1">
      <alignment horizontal="center"/>
    </xf>
    <xf numFmtId="0" fontId="9" fillId="9" borderId="11" xfId="0" applyFont="1" applyFill="1" applyBorder="1" applyAlignment="1">
      <alignment horizontal="center"/>
    </xf>
    <xf numFmtId="0" fontId="9" fillId="9" borderId="1" xfId="0" applyFont="1" applyFill="1" applyBorder="1" applyAlignment="1">
      <alignment horizontal="center" vertical="center" textRotation="90"/>
    </xf>
    <xf numFmtId="0" fontId="9" fillId="9" borderId="13" xfId="0" applyFont="1" applyFill="1" applyBorder="1" applyAlignment="1">
      <alignment horizontal="center" vertical="center" textRotation="90"/>
    </xf>
    <xf numFmtId="44" fontId="11" fillId="4" borderId="0" xfId="0" applyNumberFormat="1" applyFont="1" applyFill="1" applyAlignment="1">
      <alignment horizontal="center"/>
    </xf>
    <xf numFmtId="0" fontId="9" fillId="4" borderId="0" xfId="0" applyFont="1" applyFill="1" applyAlignment="1">
      <alignment horizontal="left" wrapText="1"/>
    </xf>
    <xf numFmtId="0" fontId="37" fillId="13" borderId="24" xfId="7" applyFont="1" applyFill="1" applyBorder="1" applyAlignment="1" applyProtection="1">
      <alignment horizontal="left"/>
      <protection locked="0"/>
    </xf>
    <xf numFmtId="0" fontId="37" fillId="13" borderId="25" xfId="7" applyFont="1" applyFill="1" applyBorder="1" applyAlignment="1" applyProtection="1">
      <alignment horizontal="left"/>
      <protection locked="0"/>
    </xf>
    <xf numFmtId="0" fontId="40" fillId="12" borderId="19" xfId="3" applyFont="1" applyBorder="1" applyAlignment="1">
      <alignment horizontal="right"/>
    </xf>
    <xf numFmtId="0" fontId="40" fillId="12" borderId="20" xfId="3" applyFont="1" applyBorder="1" applyAlignment="1">
      <alignment horizontal="right"/>
    </xf>
    <xf numFmtId="0" fontId="40" fillId="12" borderId="21" xfId="3" applyFont="1" applyBorder="1" applyAlignment="1">
      <alignment horizontal="right"/>
    </xf>
    <xf numFmtId="0" fontId="28" fillId="8" borderId="15" xfId="0" applyFont="1" applyFill="1" applyBorder="1" applyAlignment="1">
      <alignment horizontal="left"/>
    </xf>
    <xf numFmtId="0" fontId="28" fillId="8" borderId="16" xfId="0" applyFont="1" applyFill="1" applyBorder="1" applyAlignment="1">
      <alignment horizontal="left"/>
    </xf>
    <xf numFmtId="0" fontId="26" fillId="8" borderId="15" xfId="0" applyFont="1" applyFill="1" applyBorder="1" applyAlignment="1">
      <alignment horizontal="left"/>
    </xf>
    <xf numFmtId="0" fontId="26" fillId="8" borderId="16" xfId="0" applyFont="1" applyFill="1" applyBorder="1" applyAlignment="1">
      <alignment horizontal="left"/>
    </xf>
    <xf numFmtId="0" fontId="47" fillId="15" borderId="0" xfId="0" applyFont="1" applyFill="1"/>
  </cellXfs>
  <cellStyles count="9">
    <cellStyle name="20% - Accent3 2" xfId="3"/>
    <cellStyle name="Calculation 2" xfId="4"/>
    <cellStyle name="Comma" xfId="8" builtinId="3"/>
    <cellStyle name="Currency 2" xfId="5"/>
    <cellStyle name="Input 2" xfId="6"/>
    <cellStyle name="Normal" xfId="0" builtinId="0"/>
    <cellStyle name="Normal 2" xfId="1"/>
    <cellStyle name="Normal 3" xfId="7"/>
    <cellStyle name="Percent" xfId="2" builtinId="5"/>
  </cellStyles>
  <dxfs count="6">
    <dxf>
      <fill>
        <patternFill patternType="solid">
          <fgColor indexed="64"/>
          <bgColor indexed="26"/>
        </patternFill>
      </fill>
    </dxf>
    <dxf>
      <fill>
        <patternFill patternType="solid">
          <fgColor indexed="64"/>
          <bgColor indexed="26"/>
        </patternFill>
      </fill>
      <border diagonalUp="0" diagonalDown="0">
        <left/>
        <right/>
        <top/>
        <bottom style="thin">
          <color indexed="22"/>
        </bottom>
      </border>
    </dxf>
    <dxf>
      <font>
        <color indexed="9"/>
      </font>
      <fill>
        <patternFill patternType="solid">
          <fgColor indexed="64"/>
          <bgColor indexed="9"/>
        </patternFill>
      </fill>
    </dxf>
    <dxf>
      <fill>
        <patternFill patternType="solid">
          <fgColor indexed="64"/>
          <bgColor indexed="26"/>
        </patternFill>
      </fill>
    </dxf>
    <dxf>
      <fill>
        <patternFill patternType="solid">
          <fgColor indexed="64"/>
          <bgColor indexed="26"/>
        </patternFill>
      </fill>
      <border diagonalUp="0" diagonalDown="0">
        <left/>
        <right/>
        <top/>
        <bottom style="thin">
          <color indexed="22"/>
        </bottom>
      </border>
    </dxf>
    <dxf>
      <font>
        <color indexed="9"/>
      </font>
      <fill>
        <patternFill patternType="solid">
          <fgColor indexed="64"/>
          <bgColor indexed="9"/>
        </patternFill>
      </fill>
    </dxf>
  </dxfs>
  <tableStyles count="0" defaultTableStyle="TableStyleMedium9" defaultPivotStyle="PivotStyleLight16"/>
  <colors>
    <mruColors>
      <color rgb="FF0000FF"/>
      <color rgb="FF66FFFF"/>
      <color rgb="FFCCFFCC"/>
      <color rgb="FFFFFF99"/>
      <color rgb="FF66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Future Value, Simple</a:t>
            </a:r>
            <a:r>
              <a:rPr lang="en-US" baseline="0"/>
              <a:t> Interest, and Compound Interest</a:t>
            </a:r>
            <a:endParaRPr lang="en-US"/>
          </a:p>
        </c:rich>
      </c:tx>
      <c:layout>
        <c:manualLayout>
          <c:xMode val="edge"/>
          <c:yMode val="edge"/>
          <c:x val="0.20833342510507871"/>
          <c:y val="3.4374944704945599E-2"/>
        </c:manualLayout>
      </c:layout>
      <c:overlay val="0"/>
    </c:title>
    <c:autoTitleDeleted val="0"/>
    <c:plotArea>
      <c:layout/>
      <c:barChart>
        <c:barDir val="col"/>
        <c:grouping val="stacked"/>
        <c:varyColors val="0"/>
        <c:ser>
          <c:idx val="1"/>
          <c:order val="0"/>
          <c:tx>
            <c:v>Amount with simple interest</c:v>
          </c:tx>
          <c:invertIfNegative val="0"/>
          <c:val>
            <c:numRef>
              <c:f>'Section 4.2'!$C$35:$C$39</c:f>
              <c:numCache>
                <c:formatCode>_("$"* #,##0.00_);_("$"* \(#,##0.00\);_("$"* "-"??_);_(@_)</c:formatCode>
                <c:ptCount val="5"/>
                <c:pt idx="0">
                  <c:v>550</c:v>
                </c:pt>
                <c:pt idx="1">
                  <c:v>600</c:v>
                </c:pt>
                <c:pt idx="2">
                  <c:v>650</c:v>
                </c:pt>
                <c:pt idx="3">
                  <c:v>700</c:v>
                </c:pt>
                <c:pt idx="4">
                  <c:v>750</c:v>
                </c:pt>
              </c:numCache>
            </c:numRef>
          </c:val>
          <c:extLst>
            <c:ext xmlns:c16="http://schemas.microsoft.com/office/drawing/2014/chart" uri="{C3380CC4-5D6E-409C-BE32-E72D297353CC}">
              <c16:uniqueId val="{00000000-923E-4147-A4ED-72CB2AD2B668}"/>
            </c:ext>
          </c:extLst>
        </c:ser>
        <c:ser>
          <c:idx val="2"/>
          <c:order val="1"/>
          <c:tx>
            <c:v>Compound interest</c:v>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'Section 4.2'!$D$35:$D$39</c:f>
              <c:numCache>
                <c:formatCode>_("$"* #,##0.00_);_("$"* \(#,##0.00\);_("$"* "-"??_);_(@_)</c:formatCode>
                <c:ptCount val="5"/>
                <c:pt idx="0">
                  <c:v>0</c:v>
                </c:pt>
                <c:pt idx="1">
                  <c:v>5</c:v>
                </c:pt>
                <c:pt idx="2">
                  <c:v>15.5</c:v>
                </c:pt>
                <c:pt idx="3">
                  <c:v>32.050000000000068</c:v>
                </c:pt>
                <c:pt idx="4">
                  <c:v>55.255000000000109</c:v>
                </c:pt>
              </c:numCache>
            </c:numRef>
          </c:val>
          <c:extLst>
            <c:ext xmlns:c16="http://schemas.microsoft.com/office/drawing/2014/chart" uri="{C3380CC4-5D6E-409C-BE32-E72D297353CC}">
              <c16:uniqueId val="{00000001-923E-4147-A4ED-72CB2AD2B668}"/>
            </c:ext>
          </c:extLst>
        </c:ser>
        <c:dLbls>
          <c:showLegendKey val="0"/>
          <c:showVal val="0"/>
          <c:showCatName val="0"/>
          <c:showSerName val="0"/>
          <c:showPercent val="0"/>
          <c:showBubbleSize val="0"/>
        </c:dLbls>
        <c:gapWidth val="150"/>
        <c:overlap val="100"/>
        <c:axId val="68195456"/>
        <c:axId val="68197376"/>
      </c:barChart>
      <c:catAx>
        <c:axId val="68195456"/>
        <c:scaling>
          <c:orientation val="minMax"/>
        </c:scaling>
        <c:delete val="0"/>
        <c:axPos val="b"/>
        <c:title>
          <c:tx>
            <c:rich>
              <a:bodyPr/>
              <a:lstStyle/>
              <a:p>
                <a:pPr>
                  <a:defRPr/>
                </a:pPr>
                <a:r>
                  <a:rPr lang="en-US"/>
                  <a:t>Time (years)</a:t>
                </a:r>
              </a:p>
            </c:rich>
          </c:tx>
          <c:overlay val="0"/>
        </c:title>
        <c:numFmt formatCode="General" sourceLinked="1"/>
        <c:majorTickMark val="out"/>
        <c:minorTickMark val="none"/>
        <c:tickLblPos val="nextTo"/>
        <c:crossAx val="68197376"/>
        <c:crosses val="autoZero"/>
        <c:auto val="1"/>
        <c:lblAlgn val="ctr"/>
        <c:lblOffset val="100"/>
        <c:noMultiLvlLbl val="0"/>
      </c:catAx>
      <c:valAx>
        <c:axId val="68197376"/>
        <c:scaling>
          <c:orientation val="minMax"/>
        </c:scaling>
        <c:delete val="0"/>
        <c:axPos val="l"/>
        <c:majorGridlines/>
        <c:title>
          <c:tx>
            <c:rich>
              <a:bodyPr rot="-5400000" vert="horz"/>
              <a:lstStyle/>
              <a:p>
                <a:pPr>
                  <a:defRPr/>
                </a:pPr>
                <a:r>
                  <a:rPr lang="en-US"/>
                  <a:t>Future Value ($)</a:t>
                </a:r>
              </a:p>
            </c:rich>
          </c:tx>
          <c:overlay val="0"/>
        </c:title>
        <c:numFmt formatCode="_(&quot;$&quot;* #,##0_);_(&quot;$&quot;* \(#,##0\);_(&quot;$&quot;* &quot;-&quot;_);_(@_)" sourceLinked="0"/>
        <c:majorTickMark val="out"/>
        <c:minorTickMark val="none"/>
        <c:tickLblPos val="nextTo"/>
        <c:crossAx val="68195456"/>
        <c:crosses val="autoZero"/>
        <c:crossBetween val="between"/>
      </c:valAx>
      <c:spPr>
        <a:effectLst>
          <a:innerShdw blurRad="114300">
            <a:prstClr val="black"/>
          </a:innerShdw>
        </a:effectLst>
      </c:spPr>
    </c:plotArea>
    <c:legend>
      <c:legendPos val="r"/>
      <c:overlay val="0"/>
    </c:legend>
    <c:plotVisOnly val="1"/>
    <c:dispBlanksAs val="gap"/>
    <c:showDLblsOverMax val="0"/>
  </c:chart>
  <c:spPr>
    <a:scene3d>
      <a:camera prst="orthographicFront"/>
      <a:lightRig rig="threePt" dir="t"/>
    </a:scene3d>
    <a:sp3d prstMaterial="metal"/>
  </c:spPr>
  <c:txPr>
    <a:bodyPr/>
    <a:lstStyle/>
    <a:p>
      <a:pPr>
        <a:defRPr sz="1000"/>
      </a:pPr>
      <a:endParaRPr lang="en-US"/>
    </a:p>
  </c:txPr>
  <c:printSettings>
    <c:headerFooter/>
    <c:pageMargins b="0.75000000000000233" l="0.70000000000000062" r="0.70000000000000062" t="0.75000000000000233" header="0.30000000000000032" footer="0.30000000000000032"/>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Future Value of $1 for Different Periods and Rates</a:t>
            </a:r>
          </a:p>
        </c:rich>
      </c:tx>
      <c:overlay val="0"/>
    </c:title>
    <c:autoTitleDeleted val="0"/>
    <c:plotArea>
      <c:layout/>
      <c:lineChart>
        <c:grouping val="standard"/>
        <c:varyColors val="0"/>
        <c:ser>
          <c:idx val="0"/>
          <c:order val="0"/>
          <c:tx>
            <c:strRef>
              <c:f>'Section 4.2'!$C$71</c:f>
              <c:strCache>
                <c:ptCount val="1"/>
                <c:pt idx="0">
                  <c:v>0%</c:v>
                </c:pt>
              </c:strCache>
            </c:strRef>
          </c:tx>
          <c:spPr>
            <a:ln>
              <a:solidFill>
                <a:srgbClr val="FF0000"/>
              </a:solidFill>
            </a:ln>
          </c:spPr>
          <c:marker>
            <c:symbol val="none"/>
          </c:marker>
          <c:cat>
            <c:numRef>
              <c:f>'Section 4.2'!$B$72:$B$82</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'Section 4.2'!$C$72:$C$82</c:f>
              <c:numCache>
                <c:formatCode>0.000</c:formatCode>
                <c:ptCount val="11"/>
                <c:pt idx="0">
                  <c:v>1</c:v>
                </c:pt>
                <c:pt idx="1">
                  <c:v>1</c:v>
                </c:pt>
                <c:pt idx="2">
                  <c:v>1</c:v>
                </c:pt>
                <c:pt idx="3">
                  <c:v>1</c:v>
                </c:pt>
                <c:pt idx="4">
                  <c:v>1</c:v>
                </c:pt>
                <c:pt idx="5">
                  <c:v>1</c:v>
                </c:pt>
                <c:pt idx="6">
                  <c:v>1</c:v>
                </c:pt>
                <c:pt idx="7">
                  <c:v>1</c:v>
                </c:pt>
                <c:pt idx="8">
                  <c:v>1</c:v>
                </c:pt>
                <c:pt idx="9">
                  <c:v>1</c:v>
                </c:pt>
                <c:pt idx="10">
                  <c:v>1</c:v>
                </c:pt>
              </c:numCache>
            </c:numRef>
          </c:val>
          <c:smooth val="0"/>
          <c:extLst>
            <c:ext xmlns:c16="http://schemas.microsoft.com/office/drawing/2014/chart" uri="{C3380CC4-5D6E-409C-BE32-E72D297353CC}">
              <c16:uniqueId val="{00000000-9DB1-4882-8760-D70201FF28DA}"/>
            </c:ext>
          </c:extLst>
        </c:ser>
        <c:ser>
          <c:idx val="1"/>
          <c:order val="1"/>
          <c:tx>
            <c:strRef>
              <c:f>'Section 4.2'!$D$71</c:f>
              <c:strCache>
                <c:ptCount val="1"/>
                <c:pt idx="0">
                  <c:v>5%</c:v>
                </c:pt>
              </c:strCache>
            </c:strRef>
          </c:tx>
          <c:marker>
            <c:symbol val="none"/>
          </c:marker>
          <c:cat>
            <c:numRef>
              <c:f>'Section 4.2'!$B$72:$B$82</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'Section 4.2'!$D$72:$D$82</c:f>
              <c:numCache>
                <c:formatCode>0.000</c:formatCode>
                <c:ptCount val="11"/>
                <c:pt idx="0">
                  <c:v>1</c:v>
                </c:pt>
                <c:pt idx="1">
                  <c:v>1.05</c:v>
                </c:pt>
                <c:pt idx="2">
                  <c:v>1.1025</c:v>
                </c:pt>
                <c:pt idx="3">
                  <c:v>1.1576250000000001</c:v>
                </c:pt>
                <c:pt idx="4">
                  <c:v>1.21550625</c:v>
                </c:pt>
                <c:pt idx="5">
                  <c:v>1.2762815625000001</c:v>
                </c:pt>
                <c:pt idx="6">
                  <c:v>1.340095640625</c:v>
                </c:pt>
                <c:pt idx="7">
                  <c:v>1.4071004226562502</c:v>
                </c:pt>
                <c:pt idx="8">
                  <c:v>1.4774554437890626</c:v>
                </c:pt>
                <c:pt idx="9">
                  <c:v>1.5513282159785158</c:v>
                </c:pt>
                <c:pt idx="10">
                  <c:v>1.6288946267774416</c:v>
                </c:pt>
              </c:numCache>
            </c:numRef>
          </c:val>
          <c:smooth val="0"/>
          <c:extLst>
            <c:ext xmlns:c16="http://schemas.microsoft.com/office/drawing/2014/chart" uri="{C3380CC4-5D6E-409C-BE32-E72D297353CC}">
              <c16:uniqueId val="{00000001-9DB1-4882-8760-D70201FF28DA}"/>
            </c:ext>
          </c:extLst>
        </c:ser>
        <c:ser>
          <c:idx val="2"/>
          <c:order val="2"/>
          <c:tx>
            <c:strRef>
              <c:f>'Section 4.2'!$E$71</c:f>
              <c:strCache>
                <c:ptCount val="1"/>
                <c:pt idx="0">
                  <c:v>10%</c:v>
                </c:pt>
              </c:strCache>
            </c:strRef>
          </c:tx>
          <c:marker>
            <c:symbol val="none"/>
          </c:marker>
          <c:cat>
            <c:numRef>
              <c:f>'Section 4.2'!$B$72:$B$82</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'Section 4.2'!$E$72:$E$82</c:f>
              <c:numCache>
                <c:formatCode>0.000</c:formatCode>
                <c:ptCount val="11"/>
                <c:pt idx="0">
                  <c:v>1</c:v>
                </c:pt>
                <c:pt idx="1">
                  <c:v>1.1000000000000001</c:v>
                </c:pt>
                <c:pt idx="2">
                  <c:v>1.2100000000000002</c:v>
                </c:pt>
                <c:pt idx="3">
                  <c:v>1.3310000000000004</c:v>
                </c:pt>
                <c:pt idx="4">
                  <c:v>1.4641000000000004</c:v>
                </c:pt>
                <c:pt idx="5">
                  <c:v>1.6105100000000006</c:v>
                </c:pt>
                <c:pt idx="6">
                  <c:v>1.7715610000000008</c:v>
                </c:pt>
                <c:pt idx="7">
                  <c:v>1.9487171000000012</c:v>
                </c:pt>
                <c:pt idx="8">
                  <c:v>2.1435888100000011</c:v>
                </c:pt>
                <c:pt idx="9">
                  <c:v>2.3579476910000015</c:v>
                </c:pt>
                <c:pt idx="10">
                  <c:v>2.5937424601000019</c:v>
                </c:pt>
              </c:numCache>
            </c:numRef>
          </c:val>
          <c:smooth val="0"/>
          <c:extLst>
            <c:ext xmlns:c16="http://schemas.microsoft.com/office/drawing/2014/chart" uri="{C3380CC4-5D6E-409C-BE32-E72D297353CC}">
              <c16:uniqueId val="{00000002-9DB1-4882-8760-D70201FF28DA}"/>
            </c:ext>
          </c:extLst>
        </c:ser>
        <c:ser>
          <c:idx val="3"/>
          <c:order val="3"/>
          <c:tx>
            <c:strRef>
              <c:f>'Section 4.2'!$F$71</c:f>
              <c:strCache>
                <c:ptCount val="1"/>
                <c:pt idx="0">
                  <c:v>15%</c:v>
                </c:pt>
              </c:strCache>
            </c:strRef>
          </c:tx>
          <c:marker>
            <c:symbol val="none"/>
          </c:marker>
          <c:cat>
            <c:numRef>
              <c:f>'Section 4.2'!$B$72:$B$82</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'Section 4.2'!$F$72:$F$82</c:f>
              <c:numCache>
                <c:formatCode>0.000</c:formatCode>
                <c:ptCount val="11"/>
                <c:pt idx="0">
                  <c:v>1</c:v>
                </c:pt>
                <c:pt idx="1">
                  <c:v>1.1499999999999999</c:v>
                </c:pt>
                <c:pt idx="2">
                  <c:v>1.3224999999999998</c:v>
                </c:pt>
                <c:pt idx="3">
                  <c:v>1.5208749999999995</c:v>
                </c:pt>
                <c:pt idx="4">
                  <c:v>1.7490062499999994</c:v>
                </c:pt>
                <c:pt idx="5">
                  <c:v>2.0113571874999994</c:v>
                </c:pt>
                <c:pt idx="6">
                  <c:v>2.3130607656249991</c:v>
                </c:pt>
                <c:pt idx="7">
                  <c:v>2.6600198804687483</c:v>
                </c:pt>
                <c:pt idx="8">
                  <c:v>3.0590228625390603</c:v>
                </c:pt>
                <c:pt idx="9">
                  <c:v>3.5178762919199191</c:v>
                </c:pt>
                <c:pt idx="10">
                  <c:v>4.0455577357079067</c:v>
                </c:pt>
              </c:numCache>
            </c:numRef>
          </c:val>
          <c:smooth val="0"/>
          <c:extLst>
            <c:ext xmlns:c16="http://schemas.microsoft.com/office/drawing/2014/chart" uri="{C3380CC4-5D6E-409C-BE32-E72D297353CC}">
              <c16:uniqueId val="{00000003-9DB1-4882-8760-D70201FF28DA}"/>
            </c:ext>
          </c:extLst>
        </c:ser>
        <c:ser>
          <c:idx val="4"/>
          <c:order val="4"/>
          <c:tx>
            <c:strRef>
              <c:f>'Section 4.2'!$G$71</c:f>
              <c:strCache>
                <c:ptCount val="1"/>
                <c:pt idx="0">
                  <c:v>20%</c:v>
                </c:pt>
              </c:strCache>
            </c:strRef>
          </c:tx>
          <c:marker>
            <c:symbol val="none"/>
          </c:marker>
          <c:cat>
            <c:numRef>
              <c:f>'Section 4.2'!$B$72:$B$82</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'Section 4.2'!$G$72:$G$82</c:f>
              <c:numCache>
                <c:formatCode>0.000</c:formatCode>
                <c:ptCount val="11"/>
                <c:pt idx="0">
                  <c:v>1</c:v>
                </c:pt>
                <c:pt idx="1">
                  <c:v>1.2</c:v>
                </c:pt>
                <c:pt idx="2">
                  <c:v>1.44</c:v>
                </c:pt>
                <c:pt idx="3">
                  <c:v>1.728</c:v>
                </c:pt>
                <c:pt idx="4">
                  <c:v>2.0735999999999999</c:v>
                </c:pt>
                <c:pt idx="5">
                  <c:v>2.4883199999999999</c:v>
                </c:pt>
                <c:pt idx="6">
                  <c:v>2.9859839999999997</c:v>
                </c:pt>
                <c:pt idx="7">
                  <c:v>3.5831807999999996</c:v>
                </c:pt>
                <c:pt idx="8">
                  <c:v>4.2998169599999994</c:v>
                </c:pt>
                <c:pt idx="9">
                  <c:v>5.1597803519999994</c:v>
                </c:pt>
                <c:pt idx="10">
                  <c:v>6.1917364223999991</c:v>
                </c:pt>
              </c:numCache>
            </c:numRef>
          </c:val>
          <c:smooth val="0"/>
          <c:extLst>
            <c:ext xmlns:c16="http://schemas.microsoft.com/office/drawing/2014/chart" uri="{C3380CC4-5D6E-409C-BE32-E72D297353CC}">
              <c16:uniqueId val="{00000004-9DB1-4882-8760-D70201FF28DA}"/>
            </c:ext>
          </c:extLst>
        </c:ser>
        <c:ser>
          <c:idx val="5"/>
          <c:order val="5"/>
          <c:tx>
            <c:strRef>
              <c:f>'Section 4.2'!$C$71</c:f>
              <c:strCache>
                <c:ptCount val="1"/>
                <c:pt idx="0">
                  <c:v>0%</c:v>
                </c:pt>
              </c:strCache>
            </c:strRef>
          </c:tx>
          <c:marker>
            <c:symbol val="none"/>
          </c:marker>
          <c:cat>
            <c:numRef>
              <c:f>'Section 4.2'!$B$72:$B$82</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Lit>
              <c:formatCode>General</c:formatCode>
              <c:ptCount val="1"/>
              <c:pt idx="0">
                <c:v>1</c:v>
              </c:pt>
            </c:numLit>
          </c:val>
          <c:smooth val="0"/>
          <c:extLst>
            <c:ext xmlns:c16="http://schemas.microsoft.com/office/drawing/2014/chart" uri="{C3380CC4-5D6E-409C-BE32-E72D297353CC}">
              <c16:uniqueId val="{00000005-9DB1-4882-8760-D70201FF28DA}"/>
            </c:ext>
          </c:extLst>
        </c:ser>
        <c:dLbls>
          <c:showLegendKey val="0"/>
          <c:showVal val="0"/>
          <c:showCatName val="0"/>
          <c:showSerName val="0"/>
          <c:showPercent val="0"/>
          <c:showBubbleSize val="0"/>
        </c:dLbls>
        <c:smooth val="0"/>
        <c:axId val="76595584"/>
        <c:axId val="76597504"/>
      </c:lineChart>
      <c:catAx>
        <c:axId val="76595584"/>
        <c:scaling>
          <c:orientation val="minMax"/>
        </c:scaling>
        <c:delete val="0"/>
        <c:axPos val="b"/>
        <c:title>
          <c:tx>
            <c:rich>
              <a:bodyPr/>
              <a:lstStyle/>
              <a:p>
                <a:pPr>
                  <a:defRPr/>
                </a:pPr>
                <a:r>
                  <a:rPr lang="en-US"/>
                  <a:t>Time (years)</a:t>
                </a:r>
              </a:p>
            </c:rich>
          </c:tx>
          <c:overlay val="0"/>
        </c:title>
        <c:numFmt formatCode="General" sourceLinked="1"/>
        <c:majorTickMark val="out"/>
        <c:minorTickMark val="none"/>
        <c:tickLblPos val="nextTo"/>
        <c:crossAx val="76597504"/>
        <c:crosses val="autoZero"/>
        <c:auto val="1"/>
        <c:lblAlgn val="ctr"/>
        <c:lblOffset val="100"/>
        <c:tickLblSkip val="1"/>
        <c:noMultiLvlLbl val="0"/>
      </c:catAx>
      <c:valAx>
        <c:axId val="76597504"/>
        <c:scaling>
          <c:orientation val="minMax"/>
        </c:scaling>
        <c:delete val="0"/>
        <c:axPos val="l"/>
        <c:majorGridlines/>
        <c:title>
          <c:tx>
            <c:rich>
              <a:bodyPr rot="-5400000" vert="horz"/>
              <a:lstStyle/>
              <a:p>
                <a:pPr>
                  <a:defRPr/>
                </a:pPr>
                <a:r>
                  <a:rPr lang="en-US"/>
                  <a:t>Future value of</a:t>
                </a:r>
                <a:r>
                  <a:rPr lang="en-US" baseline="0"/>
                  <a:t> $1</a:t>
                </a:r>
                <a:endParaRPr lang="en-US"/>
              </a:p>
            </c:rich>
          </c:tx>
          <c:overlay val="0"/>
        </c:title>
        <c:numFmt formatCode="&quot;$&quot;#,##0" sourceLinked="0"/>
        <c:majorTickMark val="out"/>
        <c:minorTickMark val="none"/>
        <c:tickLblPos val="nextTo"/>
        <c:crossAx val="76595584"/>
        <c:crossesAt val="1"/>
        <c:crossBetween val="midCat"/>
      </c:valAx>
    </c:plotArea>
    <c:legend>
      <c:legendPos val="r"/>
      <c:legendEntry>
        <c:idx val="5"/>
        <c:delete val="1"/>
      </c:legendEntry>
      <c:overlay val="0"/>
    </c:legend>
    <c:plotVisOnly val="1"/>
    <c:dispBlanksAs val="gap"/>
    <c:showDLblsOverMax val="0"/>
  </c:chart>
  <c:spPr>
    <a:ln>
      <a:gradFill>
        <a:gsLst>
          <a:gs pos="0">
            <a:srgbClr val="000082"/>
          </a:gs>
          <a:gs pos="30000">
            <a:srgbClr val="66008F"/>
          </a:gs>
          <a:gs pos="64999">
            <a:srgbClr val="BA0066"/>
          </a:gs>
          <a:gs pos="89999">
            <a:srgbClr val="FF0000"/>
          </a:gs>
          <a:gs pos="100000">
            <a:srgbClr val="FF8200"/>
          </a:gs>
        </a:gsLst>
        <a:lin ang="5400000" scaled="0"/>
      </a:gradFill>
    </a:ln>
  </c:spPr>
  <c:printSettings>
    <c:headerFooter/>
    <c:pageMargins b="0.75000000000000222" l="0.70000000000000062" r="0.70000000000000062" t="0.75000000000000222"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Present Value of $1 for Different Periods and Rates</a:t>
            </a:r>
          </a:p>
        </c:rich>
      </c:tx>
      <c:overlay val="0"/>
    </c:title>
    <c:autoTitleDeleted val="0"/>
    <c:plotArea>
      <c:layout/>
      <c:lineChart>
        <c:grouping val="standard"/>
        <c:varyColors val="0"/>
        <c:ser>
          <c:idx val="0"/>
          <c:order val="0"/>
          <c:tx>
            <c:strRef>
              <c:f>'Section 4.2'!$D$215</c:f>
              <c:strCache>
                <c:ptCount val="1"/>
                <c:pt idx="0">
                  <c:v>0%</c:v>
                </c:pt>
              </c:strCache>
            </c:strRef>
          </c:tx>
          <c:marker>
            <c:symbol val="none"/>
          </c:marker>
          <c:val>
            <c:numRef>
              <c:f>'Section 4.2'!$D$216:$D$225</c:f>
              <c:numCache>
                <c:formatCode>0.00000</c:formatCode>
                <c:ptCount val="10"/>
                <c:pt idx="0">
                  <c:v>1</c:v>
                </c:pt>
                <c:pt idx="1">
                  <c:v>1</c:v>
                </c:pt>
                <c:pt idx="2">
                  <c:v>1</c:v>
                </c:pt>
                <c:pt idx="3">
                  <c:v>1</c:v>
                </c:pt>
                <c:pt idx="4">
                  <c:v>1</c:v>
                </c:pt>
                <c:pt idx="5">
                  <c:v>1</c:v>
                </c:pt>
                <c:pt idx="6">
                  <c:v>1</c:v>
                </c:pt>
                <c:pt idx="7">
                  <c:v>1</c:v>
                </c:pt>
                <c:pt idx="8">
                  <c:v>1</c:v>
                </c:pt>
                <c:pt idx="9">
                  <c:v>1</c:v>
                </c:pt>
              </c:numCache>
            </c:numRef>
          </c:val>
          <c:smooth val="0"/>
          <c:extLst>
            <c:ext xmlns:c16="http://schemas.microsoft.com/office/drawing/2014/chart" uri="{C3380CC4-5D6E-409C-BE32-E72D297353CC}">
              <c16:uniqueId val="{00000000-FB59-449E-8A60-300527928AE4}"/>
            </c:ext>
          </c:extLst>
        </c:ser>
        <c:ser>
          <c:idx val="1"/>
          <c:order val="1"/>
          <c:tx>
            <c:strRef>
              <c:f>'Section 4.2'!$E$215</c:f>
              <c:strCache>
                <c:ptCount val="1"/>
                <c:pt idx="0">
                  <c:v>5%</c:v>
                </c:pt>
              </c:strCache>
            </c:strRef>
          </c:tx>
          <c:marker>
            <c:symbol val="none"/>
          </c:marker>
          <c:val>
            <c:numRef>
              <c:f>'Section 4.2'!$E$216:$E$225</c:f>
              <c:numCache>
                <c:formatCode>0.00000</c:formatCode>
                <c:ptCount val="10"/>
                <c:pt idx="0">
                  <c:v>1</c:v>
                </c:pt>
                <c:pt idx="1">
                  <c:v>0.95238095238095233</c:v>
                </c:pt>
                <c:pt idx="2">
                  <c:v>0.90702947845804982</c:v>
                </c:pt>
                <c:pt idx="3">
                  <c:v>0.86383759853147601</c:v>
                </c:pt>
                <c:pt idx="4">
                  <c:v>0.82270247479188197</c:v>
                </c:pt>
                <c:pt idx="5">
                  <c:v>0.78352616646845896</c:v>
                </c:pt>
                <c:pt idx="6">
                  <c:v>0.74621539663662761</c:v>
                </c:pt>
                <c:pt idx="7">
                  <c:v>0.71068133013012147</c:v>
                </c:pt>
                <c:pt idx="8">
                  <c:v>0.67683936202868722</c:v>
                </c:pt>
                <c:pt idx="9">
                  <c:v>0.64460891621779726</c:v>
                </c:pt>
              </c:numCache>
            </c:numRef>
          </c:val>
          <c:smooth val="0"/>
          <c:extLst>
            <c:ext xmlns:c16="http://schemas.microsoft.com/office/drawing/2014/chart" uri="{C3380CC4-5D6E-409C-BE32-E72D297353CC}">
              <c16:uniqueId val="{00000001-FB59-449E-8A60-300527928AE4}"/>
            </c:ext>
          </c:extLst>
        </c:ser>
        <c:ser>
          <c:idx val="2"/>
          <c:order val="2"/>
          <c:tx>
            <c:strRef>
              <c:f>'Section 4.2'!$F$215</c:f>
              <c:strCache>
                <c:ptCount val="1"/>
                <c:pt idx="0">
                  <c:v>10%</c:v>
                </c:pt>
              </c:strCache>
            </c:strRef>
          </c:tx>
          <c:marker>
            <c:symbol val="none"/>
          </c:marker>
          <c:val>
            <c:numRef>
              <c:f>'Section 4.2'!$F$216:$F$225</c:f>
              <c:numCache>
                <c:formatCode>0.00000</c:formatCode>
                <c:ptCount val="10"/>
                <c:pt idx="0">
                  <c:v>1</c:v>
                </c:pt>
                <c:pt idx="1">
                  <c:v>0.90909090909090906</c:v>
                </c:pt>
                <c:pt idx="2">
                  <c:v>0.82644628099173545</c:v>
                </c:pt>
                <c:pt idx="3">
                  <c:v>0.75131480090157754</c:v>
                </c:pt>
                <c:pt idx="4">
                  <c:v>0.68301345536507052</c:v>
                </c:pt>
                <c:pt idx="5">
                  <c:v>0.62092132305915493</c:v>
                </c:pt>
                <c:pt idx="6">
                  <c:v>0.56447393005377722</c:v>
                </c:pt>
                <c:pt idx="7">
                  <c:v>0.51315811823070645</c:v>
                </c:pt>
                <c:pt idx="8">
                  <c:v>0.46650738020973315</c:v>
                </c:pt>
                <c:pt idx="9">
                  <c:v>0.42409761837248466</c:v>
                </c:pt>
              </c:numCache>
            </c:numRef>
          </c:val>
          <c:smooth val="0"/>
          <c:extLst>
            <c:ext xmlns:c16="http://schemas.microsoft.com/office/drawing/2014/chart" uri="{C3380CC4-5D6E-409C-BE32-E72D297353CC}">
              <c16:uniqueId val="{00000002-FB59-449E-8A60-300527928AE4}"/>
            </c:ext>
          </c:extLst>
        </c:ser>
        <c:ser>
          <c:idx val="3"/>
          <c:order val="3"/>
          <c:tx>
            <c:strRef>
              <c:f>'Section 4.2'!$G$215</c:f>
              <c:strCache>
                <c:ptCount val="1"/>
                <c:pt idx="0">
                  <c:v>15%</c:v>
                </c:pt>
              </c:strCache>
            </c:strRef>
          </c:tx>
          <c:marker>
            <c:symbol val="none"/>
          </c:marker>
          <c:val>
            <c:numRef>
              <c:f>'Section 4.2'!$G$216:$G$225</c:f>
              <c:numCache>
                <c:formatCode>0.00000</c:formatCode>
                <c:ptCount val="10"/>
                <c:pt idx="0">
                  <c:v>1</c:v>
                </c:pt>
                <c:pt idx="1">
                  <c:v>0.86956521739130443</c:v>
                </c:pt>
                <c:pt idx="2">
                  <c:v>0.7561436672967865</c:v>
                </c:pt>
                <c:pt idx="3">
                  <c:v>0.65751623243198831</c:v>
                </c:pt>
                <c:pt idx="4">
                  <c:v>0.57175324559303342</c:v>
                </c:pt>
                <c:pt idx="5">
                  <c:v>0.49717673529828987</c:v>
                </c:pt>
                <c:pt idx="6">
                  <c:v>0.43232759591155645</c:v>
                </c:pt>
                <c:pt idx="7">
                  <c:v>0.37593703992309269</c:v>
                </c:pt>
                <c:pt idx="8">
                  <c:v>0.32690177384616753</c:v>
                </c:pt>
                <c:pt idx="9">
                  <c:v>0.28426241204014574</c:v>
                </c:pt>
              </c:numCache>
            </c:numRef>
          </c:val>
          <c:smooth val="0"/>
          <c:extLst>
            <c:ext xmlns:c16="http://schemas.microsoft.com/office/drawing/2014/chart" uri="{C3380CC4-5D6E-409C-BE32-E72D297353CC}">
              <c16:uniqueId val="{00000003-FB59-449E-8A60-300527928AE4}"/>
            </c:ext>
          </c:extLst>
        </c:ser>
        <c:ser>
          <c:idx val="4"/>
          <c:order val="4"/>
          <c:tx>
            <c:strRef>
              <c:f>'Section 4.2'!$H$215</c:f>
              <c:strCache>
                <c:ptCount val="1"/>
                <c:pt idx="0">
                  <c:v>20%</c:v>
                </c:pt>
              </c:strCache>
            </c:strRef>
          </c:tx>
          <c:marker>
            <c:symbol val="none"/>
          </c:marker>
          <c:val>
            <c:numRef>
              <c:f>'Section 4.2'!$H$216:$H$225</c:f>
              <c:numCache>
                <c:formatCode>0.00000</c:formatCode>
                <c:ptCount val="10"/>
                <c:pt idx="0">
                  <c:v>1</c:v>
                </c:pt>
                <c:pt idx="1">
                  <c:v>0.83333333333333337</c:v>
                </c:pt>
                <c:pt idx="2">
                  <c:v>0.69444444444444442</c:v>
                </c:pt>
                <c:pt idx="3">
                  <c:v>0.57870370370370372</c:v>
                </c:pt>
                <c:pt idx="4">
                  <c:v>0.48225308641975312</c:v>
                </c:pt>
                <c:pt idx="5">
                  <c:v>0.4018775720164609</c:v>
                </c:pt>
                <c:pt idx="6">
                  <c:v>0.33489797668038412</c:v>
                </c:pt>
                <c:pt idx="7">
                  <c:v>0.27908164723365342</c:v>
                </c:pt>
                <c:pt idx="8">
                  <c:v>0.23256803936137788</c:v>
                </c:pt>
                <c:pt idx="9">
                  <c:v>0.1938066994678149</c:v>
                </c:pt>
              </c:numCache>
            </c:numRef>
          </c:val>
          <c:smooth val="0"/>
          <c:extLst>
            <c:ext xmlns:c16="http://schemas.microsoft.com/office/drawing/2014/chart" uri="{C3380CC4-5D6E-409C-BE32-E72D297353CC}">
              <c16:uniqueId val="{00000004-FB59-449E-8A60-300527928AE4}"/>
            </c:ext>
          </c:extLst>
        </c:ser>
        <c:dLbls>
          <c:showLegendKey val="0"/>
          <c:showVal val="0"/>
          <c:showCatName val="0"/>
          <c:showSerName val="0"/>
          <c:showPercent val="0"/>
          <c:showBubbleSize val="0"/>
        </c:dLbls>
        <c:smooth val="0"/>
        <c:axId val="76984320"/>
        <c:axId val="76986240"/>
      </c:lineChart>
      <c:catAx>
        <c:axId val="76984320"/>
        <c:scaling>
          <c:orientation val="minMax"/>
        </c:scaling>
        <c:delete val="0"/>
        <c:axPos val="b"/>
        <c:title>
          <c:tx>
            <c:rich>
              <a:bodyPr/>
              <a:lstStyle/>
              <a:p>
                <a:pPr>
                  <a:defRPr/>
                </a:pPr>
                <a:r>
                  <a:rPr lang="en-US"/>
                  <a:t>Time (years)</a:t>
                </a:r>
              </a:p>
            </c:rich>
          </c:tx>
          <c:overlay val="0"/>
        </c:title>
        <c:numFmt formatCode="General" sourceLinked="1"/>
        <c:majorTickMark val="out"/>
        <c:minorTickMark val="none"/>
        <c:tickLblPos val="nextTo"/>
        <c:crossAx val="76986240"/>
        <c:crosses val="autoZero"/>
        <c:auto val="1"/>
        <c:lblAlgn val="ctr"/>
        <c:lblOffset val="100"/>
        <c:noMultiLvlLbl val="0"/>
      </c:catAx>
      <c:valAx>
        <c:axId val="76986240"/>
        <c:scaling>
          <c:orientation val="minMax"/>
        </c:scaling>
        <c:delete val="0"/>
        <c:axPos val="l"/>
        <c:majorGridlines/>
        <c:title>
          <c:tx>
            <c:rich>
              <a:bodyPr rot="-5400000" vert="horz"/>
              <a:lstStyle/>
              <a:p>
                <a:pPr>
                  <a:defRPr/>
                </a:pPr>
                <a:r>
                  <a:rPr lang="en-US"/>
                  <a:t>Present value of $1</a:t>
                </a:r>
              </a:p>
            </c:rich>
          </c:tx>
          <c:overlay val="0"/>
        </c:title>
        <c:numFmt formatCode="_(&quot;$&quot;* #,##0.0000_);_(&quot;$&quot;* \(#,##0.0000\);_(&quot;$&quot;* &quot;-&quot;????_);_(@_)" sourceLinked="0"/>
        <c:majorTickMark val="out"/>
        <c:minorTickMark val="none"/>
        <c:tickLblPos val="nextTo"/>
        <c:crossAx val="76984320"/>
        <c:crossesAt val="1"/>
        <c:crossBetween val="midCat"/>
      </c:valAx>
    </c:plotArea>
    <c:legend>
      <c:legendPos val="r"/>
      <c:overlay val="0"/>
    </c:legend>
    <c:plotVisOnly val="1"/>
    <c:dispBlanksAs val="gap"/>
    <c:showDLblsOverMax val="0"/>
  </c:chart>
  <c:spPr>
    <a:ln>
      <a:gradFill>
        <a:gsLst>
          <a:gs pos="0">
            <a:srgbClr val="000082"/>
          </a:gs>
          <a:gs pos="30000">
            <a:srgbClr val="66008F"/>
          </a:gs>
          <a:gs pos="64999">
            <a:srgbClr val="BA0066"/>
          </a:gs>
          <a:gs pos="89999">
            <a:srgbClr val="FF0000"/>
          </a:gs>
          <a:gs pos="100000">
            <a:srgbClr val="FF8200"/>
          </a:gs>
        </a:gsLst>
        <a:lin ang="5400000" scaled="0"/>
      </a:gradFill>
    </a:ln>
  </c:spPr>
  <c:printSettings>
    <c:headerFooter/>
    <c:pageMargins b="0.75000000000000211" l="0.70000000000000062" r="0.70000000000000062" t="0.75000000000000211"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hyperlink" Target="#'Section 4.3'!A16"/><Relationship Id="rId13" Type="http://schemas.openxmlformats.org/officeDocument/2006/relationships/hyperlink" Target="#'Section 4.4'!A88"/><Relationship Id="rId18" Type="http://schemas.openxmlformats.org/officeDocument/2006/relationships/hyperlink" Target="#'Section 4.5'!A76"/><Relationship Id="rId3" Type="http://schemas.openxmlformats.org/officeDocument/2006/relationships/hyperlink" Target="#'Section 4.2'!A201"/><Relationship Id="rId7" Type="http://schemas.openxmlformats.org/officeDocument/2006/relationships/hyperlink" Target="#'Section 4.2'!A386"/><Relationship Id="rId12" Type="http://schemas.openxmlformats.org/officeDocument/2006/relationships/hyperlink" Target="#'Section 4.4'!A55"/><Relationship Id="rId17" Type="http://schemas.openxmlformats.org/officeDocument/2006/relationships/hyperlink" Target="#'Section 4.4'!A234"/><Relationship Id="rId2" Type="http://schemas.openxmlformats.org/officeDocument/2006/relationships/hyperlink" Target="#'Section 4.2'!A172"/><Relationship Id="rId16" Type="http://schemas.openxmlformats.org/officeDocument/2006/relationships/hyperlink" Target="#'Section 4.4'!A196"/><Relationship Id="rId1" Type="http://schemas.openxmlformats.org/officeDocument/2006/relationships/hyperlink" Target="#'Section 4.2'!A120"/><Relationship Id="rId6" Type="http://schemas.openxmlformats.org/officeDocument/2006/relationships/hyperlink" Target="#'Section 4.2'!A351"/><Relationship Id="rId11" Type="http://schemas.openxmlformats.org/officeDocument/2006/relationships/hyperlink" Target="#'Section 4.4'!A20"/><Relationship Id="rId5" Type="http://schemas.openxmlformats.org/officeDocument/2006/relationships/hyperlink" Target="#'Section 4.2'!A302"/><Relationship Id="rId15" Type="http://schemas.openxmlformats.org/officeDocument/2006/relationships/hyperlink" Target="#'Section 4.4'!A154"/><Relationship Id="rId10" Type="http://schemas.openxmlformats.org/officeDocument/2006/relationships/hyperlink" Target="#'Section 4.3'!A75"/><Relationship Id="rId19" Type="http://schemas.openxmlformats.org/officeDocument/2006/relationships/image" Target="../media/image1.png"/><Relationship Id="rId4" Type="http://schemas.openxmlformats.org/officeDocument/2006/relationships/hyperlink" Target="#'Section 4.2'!A267"/><Relationship Id="rId9" Type="http://schemas.openxmlformats.org/officeDocument/2006/relationships/hyperlink" Target="#'Section 4.3'!A44"/><Relationship Id="rId14" Type="http://schemas.openxmlformats.org/officeDocument/2006/relationships/hyperlink" Target="#'Section 4.4'!A119"/></Relationships>
</file>

<file path=xl/drawings/_rels/drawing2.xml.rels><?xml version="1.0" encoding="UTF-8" standalone="yes"?>
<Relationships xmlns="http://schemas.openxmlformats.org/package/2006/relationships"><Relationship Id="rId8" Type="http://schemas.openxmlformats.org/officeDocument/2006/relationships/image" Target="../media/image6.png"/><Relationship Id="rId3" Type="http://schemas.openxmlformats.org/officeDocument/2006/relationships/chart" Target="../charts/chart2.xml"/><Relationship Id="rId7" Type="http://schemas.openxmlformats.org/officeDocument/2006/relationships/image" Target="../media/image5.png"/><Relationship Id="rId2" Type="http://schemas.openxmlformats.org/officeDocument/2006/relationships/image" Target="../media/image2.png"/><Relationship Id="rId1" Type="http://schemas.openxmlformats.org/officeDocument/2006/relationships/chart" Target="../charts/chart1.xml"/><Relationship Id="rId6" Type="http://schemas.openxmlformats.org/officeDocument/2006/relationships/image" Target="../media/image4.png"/><Relationship Id="rId11" Type="http://schemas.openxmlformats.org/officeDocument/2006/relationships/image" Target="../media/image9.png"/><Relationship Id="rId5" Type="http://schemas.openxmlformats.org/officeDocument/2006/relationships/chart" Target="../charts/chart3.xml"/><Relationship Id="rId10" Type="http://schemas.openxmlformats.org/officeDocument/2006/relationships/image" Target="../media/image8.png"/><Relationship Id="rId4" Type="http://schemas.openxmlformats.org/officeDocument/2006/relationships/image" Target="../media/image3.png"/><Relationship Id="rId9" Type="http://schemas.openxmlformats.org/officeDocument/2006/relationships/image" Target="../media/image7.png"/></Relationships>
</file>

<file path=xl/drawings/_rels/drawing3.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_rels/drawing4.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 Id="rId6" Type="http://schemas.openxmlformats.org/officeDocument/2006/relationships/image" Target="../media/image18.png"/><Relationship Id="rId5" Type="http://schemas.openxmlformats.org/officeDocument/2006/relationships/image" Target="../media/image17.png"/><Relationship Id="rId4" Type="http://schemas.openxmlformats.org/officeDocument/2006/relationships/image" Target="../media/image16.png"/></Relationships>
</file>

<file path=xl/drawings/_rels/drawing5.xml.rels><?xml version="1.0" encoding="UTF-8" standalone="yes"?>
<Relationships xmlns="http://schemas.openxmlformats.org/package/2006/relationships"><Relationship Id="rId2" Type="http://schemas.openxmlformats.org/officeDocument/2006/relationships/image" Target="../media/image20.png"/><Relationship Id="rId1" Type="http://schemas.openxmlformats.org/officeDocument/2006/relationships/image" Target="../media/image19.png"/></Relationships>
</file>

<file path=xl/drawings/drawing1.xml><?xml version="1.0" encoding="utf-8"?>
<xdr:wsDr xmlns:xdr="http://schemas.openxmlformats.org/drawingml/2006/spreadsheetDrawing" xmlns:a="http://schemas.openxmlformats.org/drawingml/2006/main">
  <xdr:twoCellAnchor>
    <xdr:from>
      <xdr:col>3</xdr:col>
      <xdr:colOff>0</xdr:colOff>
      <xdr:row>11</xdr:row>
      <xdr:rowOff>0</xdr:rowOff>
    </xdr:from>
    <xdr:to>
      <xdr:col>3</xdr:col>
      <xdr:colOff>2743200</xdr:colOff>
      <xdr:row>11</xdr:row>
      <xdr:rowOff>274320</xdr:rowOff>
    </xdr:to>
    <xdr:sp macro="" textlink="">
      <xdr:nvSpPr>
        <xdr:cNvPr id="3" name="TextBox 2">
          <a:hlinkClick xmlns:r="http://schemas.openxmlformats.org/officeDocument/2006/relationships" r:id="rId1"/>
        </xdr:cNvPr>
        <xdr:cNvSpPr txBox="1"/>
      </xdr:nvSpPr>
      <xdr:spPr>
        <a:xfrm>
          <a:off x="1828800" y="2505075"/>
          <a:ext cx="2743200" cy="274320"/>
        </a:xfrm>
        <a:prstGeom prst="rect">
          <a:avLst/>
        </a:prstGeom>
        <a:gradFill>
          <a:gsLst>
            <a:gs pos="0">
              <a:schemeClr val="bg1">
                <a:lumMod val="75000"/>
              </a:schemeClr>
            </a:gs>
            <a:gs pos="50000">
              <a:schemeClr val="accent1">
                <a:tint val="44500"/>
                <a:satMod val="160000"/>
              </a:schemeClr>
            </a:gs>
            <a:gs pos="100000">
              <a:schemeClr val="accent1">
                <a:tint val="23500"/>
                <a:satMod val="160000"/>
              </a:schemeClr>
            </a:gs>
          </a:gsLst>
          <a:lin ang="5400000" scaled="0"/>
        </a:gradFill>
        <a:effectLst>
          <a:innerShdw blurRad="114300">
            <a:prstClr val="black"/>
          </a:innerShdw>
        </a:effectLst>
        <a:scene3d>
          <a:camera prst="orthographicFront"/>
          <a:lightRig rig="threePt" dir="t"/>
        </a:scene3d>
        <a:sp3d>
          <a:bevelT prst="angle"/>
        </a:sp3d>
      </xdr:spPr>
      <xdr:style>
        <a:lnRef idx="0">
          <a:scrgbClr r="0" g="0" b="0"/>
        </a:lnRef>
        <a:fillRef idx="0">
          <a:scrgbClr r="0" g="0" b="0"/>
        </a:fillRef>
        <a:effectRef idx="0">
          <a:scrgbClr r="0" g="0" b="0"/>
        </a:effectRef>
        <a:fontRef idx="minor">
          <a:schemeClr val="tx1"/>
        </a:fontRef>
      </xdr:style>
      <xdr:txBody>
        <a:bodyPr wrap="square" rtlCol="0" anchor="ctr" anchorCtr="0">
          <a:noAutofit/>
        </a:bodyPr>
        <a:lstStyle/>
        <a:p>
          <a:pPr algn="ctr"/>
          <a:r>
            <a:rPr lang="en-US" sz="1400" b="1"/>
            <a:t>FV </a:t>
          </a:r>
        </a:p>
      </xdr:txBody>
    </xdr:sp>
    <xdr:clientData/>
  </xdr:twoCellAnchor>
  <xdr:oneCellAnchor>
    <xdr:from>
      <xdr:col>3</xdr:col>
      <xdr:colOff>0</xdr:colOff>
      <xdr:row>12</xdr:row>
      <xdr:rowOff>0</xdr:rowOff>
    </xdr:from>
    <xdr:ext cx="2743200" cy="274320"/>
    <xdr:sp macro="" textlink="">
      <xdr:nvSpPr>
        <xdr:cNvPr id="4" name="TextBox 3">
          <a:hlinkClick xmlns:r="http://schemas.openxmlformats.org/officeDocument/2006/relationships" r:id="rId2"/>
        </xdr:cNvPr>
        <xdr:cNvSpPr txBox="1"/>
      </xdr:nvSpPr>
      <xdr:spPr>
        <a:xfrm>
          <a:off x="1828800" y="3000375"/>
          <a:ext cx="2743200" cy="274320"/>
        </a:xfrm>
        <a:prstGeom prst="rect">
          <a:avLst/>
        </a:prstGeom>
        <a:gradFill>
          <a:gsLst>
            <a:gs pos="0">
              <a:schemeClr val="bg1">
                <a:lumMod val="75000"/>
              </a:schemeClr>
            </a:gs>
            <a:gs pos="50000">
              <a:schemeClr val="accent1">
                <a:tint val="44500"/>
                <a:satMod val="160000"/>
              </a:schemeClr>
            </a:gs>
            <a:gs pos="100000">
              <a:schemeClr val="accent1">
                <a:tint val="23500"/>
                <a:satMod val="160000"/>
              </a:schemeClr>
            </a:gs>
          </a:gsLst>
          <a:lin ang="5400000" scaled="0"/>
        </a:gradFill>
        <a:effectLst>
          <a:innerShdw blurRad="114300">
            <a:prstClr val="black"/>
          </a:innerShdw>
        </a:effectLst>
        <a:scene3d>
          <a:camera prst="orthographicFront"/>
          <a:lightRig rig="threePt" dir="t"/>
        </a:scene3d>
        <a:sp3d>
          <a:bevelT prst="angle"/>
        </a:sp3d>
      </xdr:spPr>
      <xdr:style>
        <a:lnRef idx="0">
          <a:scrgbClr r="0" g="0" b="0"/>
        </a:lnRef>
        <a:fillRef idx="0">
          <a:scrgbClr r="0" g="0" b="0"/>
        </a:fillRef>
        <a:effectRef idx="0">
          <a:scrgbClr r="0" g="0" b="0"/>
        </a:effectRef>
        <a:fontRef idx="minor">
          <a:schemeClr val="tx1"/>
        </a:fontRef>
      </xdr:style>
      <xdr:txBody>
        <a:bodyPr wrap="square" rtlCol="0" anchor="ctr" anchorCtr="0">
          <a:spAutoFit/>
        </a:bodyPr>
        <a:lstStyle/>
        <a:p>
          <a:pPr algn="ctr"/>
          <a:r>
            <a:rPr lang="en-US" sz="1400" b="1"/>
            <a:t>PV</a:t>
          </a:r>
        </a:p>
      </xdr:txBody>
    </xdr:sp>
    <xdr:clientData/>
  </xdr:oneCellAnchor>
  <xdr:oneCellAnchor>
    <xdr:from>
      <xdr:col>3</xdr:col>
      <xdr:colOff>0</xdr:colOff>
      <xdr:row>13</xdr:row>
      <xdr:rowOff>0</xdr:rowOff>
    </xdr:from>
    <xdr:ext cx="2743200" cy="274320"/>
    <xdr:sp macro="" textlink="">
      <xdr:nvSpPr>
        <xdr:cNvPr id="5" name="TextBox 4">
          <a:hlinkClick xmlns:r="http://schemas.openxmlformats.org/officeDocument/2006/relationships" r:id="rId3"/>
        </xdr:cNvPr>
        <xdr:cNvSpPr txBox="1"/>
      </xdr:nvSpPr>
      <xdr:spPr>
        <a:xfrm>
          <a:off x="1828800" y="3295650"/>
          <a:ext cx="2743200" cy="274320"/>
        </a:xfrm>
        <a:prstGeom prst="rect">
          <a:avLst/>
        </a:prstGeom>
        <a:gradFill>
          <a:gsLst>
            <a:gs pos="0">
              <a:schemeClr val="bg1">
                <a:lumMod val="75000"/>
              </a:schemeClr>
            </a:gs>
            <a:gs pos="50000">
              <a:schemeClr val="accent1">
                <a:tint val="44500"/>
                <a:satMod val="160000"/>
              </a:schemeClr>
            </a:gs>
            <a:gs pos="100000">
              <a:schemeClr val="accent1">
                <a:tint val="23500"/>
                <a:satMod val="160000"/>
              </a:schemeClr>
            </a:gs>
          </a:gsLst>
          <a:lin ang="5400000" scaled="0"/>
        </a:gradFill>
        <a:effectLst>
          <a:innerShdw blurRad="114300">
            <a:prstClr val="black"/>
          </a:innerShdw>
        </a:effectLst>
        <a:scene3d>
          <a:camera prst="orthographicFront"/>
          <a:lightRig rig="threePt" dir="t"/>
        </a:scene3d>
        <a:sp3d>
          <a:bevelT prst="angle"/>
        </a:sp3d>
      </xdr:spPr>
      <xdr:style>
        <a:lnRef idx="0">
          <a:scrgbClr r="0" g="0" b="0"/>
        </a:lnRef>
        <a:fillRef idx="0">
          <a:scrgbClr r="0" g="0" b="0"/>
        </a:fillRef>
        <a:effectRef idx="0">
          <a:scrgbClr r="0" g="0" b="0"/>
        </a:effectRef>
        <a:fontRef idx="minor">
          <a:schemeClr val="tx1"/>
        </a:fontRef>
      </xdr:style>
      <xdr:txBody>
        <a:bodyPr wrap="square" rtlCol="0" anchor="ctr" anchorCtr="0">
          <a:spAutoFit/>
        </a:bodyPr>
        <a:lstStyle/>
        <a:p>
          <a:pPr algn="ctr"/>
          <a:r>
            <a:rPr lang="en-US" sz="1400" b="1"/>
            <a:t>Two-way</a:t>
          </a:r>
          <a:r>
            <a:rPr lang="en-US" sz="1400" b="1" baseline="0"/>
            <a:t> data tables</a:t>
          </a:r>
          <a:endParaRPr lang="en-US" sz="1400" b="1"/>
        </a:p>
      </xdr:txBody>
    </xdr:sp>
    <xdr:clientData/>
  </xdr:oneCellAnchor>
  <xdr:oneCellAnchor>
    <xdr:from>
      <xdr:col>3</xdr:col>
      <xdr:colOff>0</xdr:colOff>
      <xdr:row>14</xdr:row>
      <xdr:rowOff>0</xdr:rowOff>
    </xdr:from>
    <xdr:ext cx="2743200" cy="274320"/>
    <xdr:sp macro="" textlink="">
      <xdr:nvSpPr>
        <xdr:cNvPr id="6" name="TextBox 5">
          <a:hlinkClick xmlns:r="http://schemas.openxmlformats.org/officeDocument/2006/relationships" r:id="rId4"/>
        </xdr:cNvPr>
        <xdr:cNvSpPr txBox="1"/>
      </xdr:nvSpPr>
      <xdr:spPr>
        <a:xfrm>
          <a:off x="1828800" y="3590925"/>
          <a:ext cx="2743200" cy="274320"/>
        </a:xfrm>
        <a:prstGeom prst="rect">
          <a:avLst/>
        </a:prstGeom>
        <a:gradFill>
          <a:gsLst>
            <a:gs pos="0">
              <a:schemeClr val="bg1">
                <a:lumMod val="75000"/>
              </a:schemeClr>
            </a:gs>
            <a:gs pos="50000">
              <a:schemeClr val="accent1">
                <a:tint val="44500"/>
                <a:satMod val="160000"/>
              </a:schemeClr>
            </a:gs>
            <a:gs pos="100000">
              <a:schemeClr val="accent1">
                <a:tint val="23500"/>
                <a:satMod val="160000"/>
              </a:schemeClr>
            </a:gs>
          </a:gsLst>
          <a:lin ang="5400000" scaled="0"/>
        </a:gradFill>
        <a:effectLst>
          <a:innerShdw blurRad="114300">
            <a:prstClr val="black"/>
          </a:innerShdw>
        </a:effectLst>
        <a:scene3d>
          <a:camera prst="orthographicFront"/>
          <a:lightRig rig="threePt" dir="t"/>
        </a:scene3d>
        <a:sp3d>
          <a:bevelT prst="angle"/>
        </a:sp3d>
      </xdr:spPr>
      <xdr:style>
        <a:lnRef idx="0">
          <a:scrgbClr r="0" g="0" b="0"/>
        </a:lnRef>
        <a:fillRef idx="0">
          <a:scrgbClr r="0" g="0" b="0"/>
        </a:fillRef>
        <a:effectRef idx="0">
          <a:scrgbClr r="0" g="0" b="0"/>
        </a:effectRef>
        <a:fontRef idx="minor">
          <a:schemeClr val="tx1"/>
        </a:fontRef>
      </xdr:style>
      <xdr:txBody>
        <a:bodyPr wrap="square" rtlCol="0" anchor="ctr" anchorCtr="0">
          <a:spAutoFit/>
        </a:bodyPr>
        <a:lstStyle/>
        <a:p>
          <a:pPr algn="ctr"/>
          <a:r>
            <a:rPr lang="en-US" sz="1400" b="1"/>
            <a:t>RATE</a:t>
          </a:r>
        </a:p>
      </xdr:txBody>
    </xdr:sp>
    <xdr:clientData/>
  </xdr:oneCellAnchor>
  <xdr:oneCellAnchor>
    <xdr:from>
      <xdr:col>3</xdr:col>
      <xdr:colOff>0</xdr:colOff>
      <xdr:row>15</xdr:row>
      <xdr:rowOff>0</xdr:rowOff>
    </xdr:from>
    <xdr:ext cx="2743200" cy="274320"/>
    <xdr:sp macro="" textlink="">
      <xdr:nvSpPr>
        <xdr:cNvPr id="7" name="TextBox 6">
          <a:hlinkClick xmlns:r="http://schemas.openxmlformats.org/officeDocument/2006/relationships" r:id="rId5"/>
        </xdr:cNvPr>
        <xdr:cNvSpPr txBox="1"/>
      </xdr:nvSpPr>
      <xdr:spPr>
        <a:xfrm>
          <a:off x="1828800" y="3886200"/>
          <a:ext cx="2743200" cy="274320"/>
        </a:xfrm>
        <a:prstGeom prst="rect">
          <a:avLst/>
        </a:prstGeom>
        <a:gradFill>
          <a:gsLst>
            <a:gs pos="0">
              <a:schemeClr val="bg1">
                <a:lumMod val="75000"/>
              </a:schemeClr>
            </a:gs>
            <a:gs pos="50000">
              <a:schemeClr val="accent1">
                <a:tint val="44500"/>
                <a:satMod val="160000"/>
              </a:schemeClr>
            </a:gs>
            <a:gs pos="100000">
              <a:schemeClr val="accent1">
                <a:tint val="23500"/>
                <a:satMod val="160000"/>
              </a:schemeClr>
            </a:gs>
          </a:gsLst>
          <a:lin ang="5400000" scaled="0"/>
        </a:gradFill>
        <a:effectLst>
          <a:innerShdw blurRad="114300">
            <a:prstClr val="black"/>
          </a:innerShdw>
        </a:effectLst>
        <a:scene3d>
          <a:camera prst="orthographicFront"/>
          <a:lightRig rig="threePt" dir="t"/>
        </a:scene3d>
        <a:sp3d>
          <a:bevelT prst="angle"/>
        </a:sp3d>
      </xdr:spPr>
      <xdr:style>
        <a:lnRef idx="0">
          <a:scrgbClr r="0" g="0" b="0"/>
        </a:lnRef>
        <a:fillRef idx="0">
          <a:scrgbClr r="0" g="0" b="0"/>
        </a:fillRef>
        <a:effectRef idx="0">
          <a:scrgbClr r="0" g="0" b="0"/>
        </a:effectRef>
        <a:fontRef idx="minor">
          <a:schemeClr val="tx1"/>
        </a:fontRef>
      </xdr:style>
      <xdr:txBody>
        <a:bodyPr wrap="square" rtlCol="0" anchor="ctr" anchorCtr="0">
          <a:spAutoFit/>
        </a:bodyPr>
        <a:lstStyle/>
        <a:p>
          <a:pPr algn="ctr"/>
          <a:r>
            <a:rPr lang="en-US" sz="1400" b="1"/>
            <a:t>NPER</a:t>
          </a:r>
        </a:p>
      </xdr:txBody>
    </xdr:sp>
    <xdr:clientData/>
  </xdr:oneCellAnchor>
  <xdr:oneCellAnchor>
    <xdr:from>
      <xdr:col>3</xdr:col>
      <xdr:colOff>0</xdr:colOff>
      <xdr:row>16</xdr:row>
      <xdr:rowOff>0</xdr:rowOff>
    </xdr:from>
    <xdr:ext cx="2743200" cy="274320"/>
    <xdr:sp macro="" textlink="">
      <xdr:nvSpPr>
        <xdr:cNvPr id="8" name="TextBox 7">
          <a:hlinkClick xmlns:r="http://schemas.openxmlformats.org/officeDocument/2006/relationships" r:id="rId6"/>
        </xdr:cNvPr>
        <xdr:cNvSpPr txBox="1"/>
      </xdr:nvSpPr>
      <xdr:spPr>
        <a:xfrm>
          <a:off x="1828800" y="4181475"/>
          <a:ext cx="2743200" cy="274320"/>
        </a:xfrm>
        <a:prstGeom prst="rect">
          <a:avLst/>
        </a:prstGeom>
        <a:gradFill>
          <a:gsLst>
            <a:gs pos="0">
              <a:schemeClr val="bg1">
                <a:lumMod val="75000"/>
              </a:schemeClr>
            </a:gs>
            <a:gs pos="50000">
              <a:schemeClr val="accent1">
                <a:tint val="44500"/>
                <a:satMod val="160000"/>
              </a:schemeClr>
            </a:gs>
            <a:gs pos="100000">
              <a:schemeClr val="accent1">
                <a:tint val="23500"/>
                <a:satMod val="160000"/>
              </a:schemeClr>
            </a:gs>
          </a:gsLst>
          <a:lin ang="5400000" scaled="0"/>
        </a:gradFill>
        <a:effectLst>
          <a:innerShdw blurRad="114300">
            <a:prstClr val="black"/>
          </a:innerShdw>
        </a:effectLst>
        <a:scene3d>
          <a:camera prst="orthographicFront"/>
          <a:lightRig rig="threePt" dir="t"/>
        </a:scene3d>
        <a:sp3d>
          <a:bevelT prst="angle"/>
        </a:sp3d>
      </xdr:spPr>
      <xdr:style>
        <a:lnRef idx="0">
          <a:scrgbClr r="0" g="0" b="0"/>
        </a:lnRef>
        <a:fillRef idx="0">
          <a:scrgbClr r="0" g="0" b="0"/>
        </a:fillRef>
        <a:effectRef idx="0">
          <a:scrgbClr r="0" g="0" b="0"/>
        </a:effectRef>
        <a:fontRef idx="minor">
          <a:schemeClr val="tx1"/>
        </a:fontRef>
      </xdr:style>
      <xdr:txBody>
        <a:bodyPr wrap="square" rtlCol="0" anchor="ctr" anchorCtr="0">
          <a:spAutoFit/>
        </a:bodyPr>
        <a:lstStyle/>
        <a:p>
          <a:pPr algn="ctr"/>
          <a:r>
            <a:rPr lang="en-US" sz="1400" b="1"/>
            <a:t>FVSCHEDULE</a:t>
          </a:r>
        </a:p>
      </xdr:txBody>
    </xdr:sp>
    <xdr:clientData/>
  </xdr:oneCellAnchor>
  <xdr:twoCellAnchor>
    <xdr:from>
      <xdr:col>3</xdr:col>
      <xdr:colOff>0</xdr:colOff>
      <xdr:row>17</xdr:row>
      <xdr:rowOff>0</xdr:rowOff>
    </xdr:from>
    <xdr:to>
      <xdr:col>3</xdr:col>
      <xdr:colOff>2743200</xdr:colOff>
      <xdr:row>18</xdr:row>
      <xdr:rowOff>36195</xdr:rowOff>
    </xdr:to>
    <xdr:sp macro="" textlink="">
      <xdr:nvSpPr>
        <xdr:cNvPr id="9" name="TextBox 8">
          <a:hlinkClick xmlns:r="http://schemas.openxmlformats.org/officeDocument/2006/relationships" r:id="rId7"/>
        </xdr:cNvPr>
        <xdr:cNvSpPr txBox="1"/>
      </xdr:nvSpPr>
      <xdr:spPr>
        <a:xfrm>
          <a:off x="1828800" y="4476750"/>
          <a:ext cx="2743200" cy="274320"/>
        </a:xfrm>
        <a:prstGeom prst="rect">
          <a:avLst/>
        </a:prstGeom>
        <a:gradFill>
          <a:gsLst>
            <a:gs pos="0">
              <a:schemeClr val="bg1">
                <a:lumMod val="75000"/>
              </a:schemeClr>
            </a:gs>
            <a:gs pos="50000">
              <a:schemeClr val="accent1">
                <a:tint val="44500"/>
                <a:satMod val="160000"/>
              </a:schemeClr>
            </a:gs>
            <a:gs pos="100000">
              <a:schemeClr val="accent1">
                <a:tint val="23500"/>
                <a:satMod val="160000"/>
              </a:schemeClr>
            </a:gs>
          </a:gsLst>
          <a:lin ang="5400000" scaled="0"/>
        </a:gradFill>
        <a:effectLst>
          <a:innerShdw blurRad="114300">
            <a:prstClr val="black"/>
          </a:innerShdw>
        </a:effectLst>
        <a:scene3d>
          <a:camera prst="orthographicFront"/>
          <a:lightRig rig="threePt" dir="t"/>
        </a:scene3d>
        <a:sp3d>
          <a:bevelT prst="angle"/>
        </a:sp3d>
      </xdr:spPr>
      <xdr:style>
        <a:lnRef idx="0">
          <a:scrgbClr r="0" g="0" b="0"/>
        </a:lnRef>
        <a:fillRef idx="0">
          <a:scrgbClr r="0" g="0" b="0"/>
        </a:fillRef>
        <a:effectRef idx="0">
          <a:scrgbClr r="0" g="0" b="0"/>
        </a:effectRef>
        <a:fontRef idx="minor">
          <a:schemeClr val="tx1"/>
        </a:fontRef>
      </xdr:style>
      <xdr:txBody>
        <a:bodyPr wrap="square" rtlCol="0" anchor="ctr" anchorCtr="0">
          <a:noAutofit/>
        </a:bodyPr>
        <a:lstStyle/>
        <a:p>
          <a:pPr algn="ctr"/>
          <a:r>
            <a:rPr lang="en-US" sz="1400" b="1"/>
            <a:t>NPV</a:t>
          </a:r>
        </a:p>
      </xdr:txBody>
    </xdr:sp>
    <xdr:clientData/>
  </xdr:twoCellAnchor>
  <xdr:oneCellAnchor>
    <xdr:from>
      <xdr:col>3</xdr:col>
      <xdr:colOff>0</xdr:colOff>
      <xdr:row>18</xdr:row>
      <xdr:rowOff>0</xdr:rowOff>
    </xdr:from>
    <xdr:ext cx="2743200" cy="274320"/>
    <xdr:sp macro="" textlink="">
      <xdr:nvSpPr>
        <xdr:cNvPr id="10" name="TextBox 9">
          <a:hlinkClick xmlns:r="http://schemas.openxmlformats.org/officeDocument/2006/relationships" r:id="rId8"/>
        </xdr:cNvPr>
        <xdr:cNvSpPr txBox="1"/>
      </xdr:nvSpPr>
      <xdr:spPr>
        <a:xfrm>
          <a:off x="1828800" y="4714875"/>
          <a:ext cx="2743200" cy="274320"/>
        </a:xfrm>
        <a:prstGeom prst="rect">
          <a:avLst/>
        </a:prstGeom>
        <a:gradFill>
          <a:gsLst>
            <a:gs pos="0">
              <a:schemeClr val="bg1">
                <a:lumMod val="75000"/>
              </a:schemeClr>
            </a:gs>
            <a:gs pos="50000">
              <a:schemeClr val="accent1">
                <a:tint val="44500"/>
                <a:satMod val="160000"/>
              </a:schemeClr>
            </a:gs>
            <a:gs pos="100000">
              <a:schemeClr val="accent1">
                <a:tint val="23500"/>
                <a:satMod val="160000"/>
              </a:schemeClr>
            </a:gs>
          </a:gsLst>
          <a:lin ang="5400000" scaled="0"/>
        </a:gradFill>
        <a:effectLst>
          <a:innerShdw blurRad="114300">
            <a:prstClr val="black"/>
          </a:innerShdw>
        </a:effectLst>
        <a:scene3d>
          <a:camera prst="orthographicFront"/>
          <a:lightRig rig="threePt" dir="t"/>
        </a:scene3d>
        <a:sp3d>
          <a:bevelT prst="angle"/>
        </a:sp3d>
      </xdr:spPr>
      <xdr:style>
        <a:lnRef idx="0">
          <a:scrgbClr r="0" g="0" b="0"/>
        </a:lnRef>
        <a:fillRef idx="0">
          <a:scrgbClr r="0" g="0" b="0"/>
        </a:fillRef>
        <a:effectRef idx="0">
          <a:scrgbClr r="0" g="0" b="0"/>
        </a:effectRef>
        <a:fontRef idx="minor">
          <a:schemeClr val="tx1"/>
        </a:fontRef>
      </xdr:style>
      <xdr:txBody>
        <a:bodyPr wrap="square" rtlCol="0" anchor="ctr" anchorCtr="0">
          <a:spAutoFit/>
        </a:bodyPr>
        <a:lstStyle/>
        <a:p>
          <a:pPr algn="ctr"/>
          <a:r>
            <a:rPr lang="en-US" sz="1400" b="1"/>
            <a:t>EAR</a:t>
          </a:r>
        </a:p>
      </xdr:txBody>
    </xdr:sp>
    <xdr:clientData/>
  </xdr:oneCellAnchor>
  <xdr:oneCellAnchor>
    <xdr:from>
      <xdr:col>3</xdr:col>
      <xdr:colOff>0</xdr:colOff>
      <xdr:row>19</xdr:row>
      <xdr:rowOff>0</xdr:rowOff>
    </xdr:from>
    <xdr:ext cx="2743200" cy="274320"/>
    <xdr:sp macro="" textlink="">
      <xdr:nvSpPr>
        <xdr:cNvPr id="11" name="TextBox 10">
          <a:hlinkClick xmlns:r="http://schemas.openxmlformats.org/officeDocument/2006/relationships" r:id="rId9"/>
        </xdr:cNvPr>
        <xdr:cNvSpPr txBox="1"/>
      </xdr:nvSpPr>
      <xdr:spPr>
        <a:xfrm>
          <a:off x="1828800" y="4953000"/>
          <a:ext cx="2743200" cy="274320"/>
        </a:xfrm>
        <a:prstGeom prst="rect">
          <a:avLst/>
        </a:prstGeom>
        <a:gradFill>
          <a:gsLst>
            <a:gs pos="0">
              <a:schemeClr val="bg1">
                <a:lumMod val="75000"/>
              </a:schemeClr>
            </a:gs>
            <a:gs pos="50000">
              <a:schemeClr val="accent1">
                <a:tint val="44500"/>
                <a:satMod val="160000"/>
              </a:schemeClr>
            </a:gs>
            <a:gs pos="100000">
              <a:schemeClr val="accent1">
                <a:tint val="23500"/>
                <a:satMod val="160000"/>
              </a:schemeClr>
            </a:gs>
          </a:gsLst>
          <a:lin ang="5400000" scaled="0"/>
        </a:gradFill>
        <a:effectLst>
          <a:innerShdw blurRad="114300">
            <a:prstClr val="black"/>
          </a:innerShdw>
        </a:effectLst>
        <a:scene3d>
          <a:camera prst="orthographicFront"/>
          <a:lightRig rig="threePt" dir="t"/>
        </a:scene3d>
        <a:sp3d>
          <a:bevelT prst="angle"/>
        </a:sp3d>
      </xdr:spPr>
      <xdr:style>
        <a:lnRef idx="0">
          <a:scrgbClr r="0" g="0" b="0"/>
        </a:lnRef>
        <a:fillRef idx="0">
          <a:scrgbClr r="0" g="0" b="0"/>
        </a:fillRef>
        <a:effectRef idx="0">
          <a:scrgbClr r="0" g="0" b="0"/>
        </a:effectRef>
        <a:fontRef idx="minor">
          <a:schemeClr val="tx1"/>
        </a:fontRef>
      </xdr:style>
      <xdr:txBody>
        <a:bodyPr wrap="square" rtlCol="0" anchor="ctr" anchorCtr="0">
          <a:spAutoFit/>
        </a:bodyPr>
        <a:lstStyle/>
        <a:p>
          <a:pPr algn="ctr"/>
          <a:r>
            <a:rPr lang="en-US" sz="1400" b="1"/>
            <a:t>APR</a:t>
          </a:r>
        </a:p>
      </xdr:txBody>
    </xdr:sp>
    <xdr:clientData/>
  </xdr:oneCellAnchor>
  <xdr:oneCellAnchor>
    <xdr:from>
      <xdr:col>3</xdr:col>
      <xdr:colOff>0</xdr:colOff>
      <xdr:row>20</xdr:row>
      <xdr:rowOff>0</xdr:rowOff>
    </xdr:from>
    <xdr:ext cx="2743200" cy="274320"/>
    <xdr:sp macro="" textlink="">
      <xdr:nvSpPr>
        <xdr:cNvPr id="12" name="TextBox 11">
          <a:hlinkClick xmlns:r="http://schemas.openxmlformats.org/officeDocument/2006/relationships" r:id="rId10"/>
        </xdr:cNvPr>
        <xdr:cNvSpPr txBox="1"/>
      </xdr:nvSpPr>
      <xdr:spPr>
        <a:xfrm>
          <a:off x="1828800" y="5191125"/>
          <a:ext cx="2743200" cy="274320"/>
        </a:xfrm>
        <a:prstGeom prst="rect">
          <a:avLst/>
        </a:prstGeom>
        <a:gradFill>
          <a:gsLst>
            <a:gs pos="0">
              <a:schemeClr val="bg1">
                <a:lumMod val="75000"/>
              </a:schemeClr>
            </a:gs>
            <a:gs pos="50000">
              <a:schemeClr val="accent1">
                <a:tint val="44500"/>
                <a:satMod val="160000"/>
              </a:schemeClr>
            </a:gs>
            <a:gs pos="100000">
              <a:schemeClr val="accent1">
                <a:tint val="23500"/>
                <a:satMod val="160000"/>
              </a:schemeClr>
            </a:gs>
          </a:gsLst>
          <a:lin ang="5400000" scaled="0"/>
        </a:gradFill>
        <a:effectLst>
          <a:innerShdw blurRad="114300">
            <a:prstClr val="black"/>
          </a:innerShdw>
        </a:effectLst>
        <a:scene3d>
          <a:camera prst="orthographicFront"/>
          <a:lightRig rig="threePt" dir="t"/>
        </a:scene3d>
        <a:sp3d>
          <a:bevelT prst="angle"/>
        </a:sp3d>
      </xdr:spPr>
      <xdr:style>
        <a:lnRef idx="0">
          <a:scrgbClr r="0" g="0" b="0"/>
        </a:lnRef>
        <a:fillRef idx="0">
          <a:scrgbClr r="0" g="0" b="0"/>
        </a:fillRef>
        <a:effectRef idx="0">
          <a:scrgbClr r="0" g="0" b="0"/>
        </a:effectRef>
        <a:fontRef idx="minor">
          <a:schemeClr val="tx1"/>
        </a:fontRef>
      </xdr:style>
      <xdr:txBody>
        <a:bodyPr wrap="square" rtlCol="0" anchor="ctr" anchorCtr="0">
          <a:spAutoFit/>
        </a:bodyPr>
        <a:lstStyle/>
        <a:p>
          <a:pPr algn="ctr"/>
          <a:r>
            <a:rPr lang="en-US" sz="1400" b="1"/>
            <a:t>Exponential</a:t>
          </a:r>
          <a:r>
            <a:rPr lang="en-US" sz="1400" b="1" baseline="0"/>
            <a:t> function</a:t>
          </a:r>
          <a:endParaRPr lang="en-US" sz="1400" b="1"/>
        </a:p>
      </xdr:txBody>
    </xdr:sp>
    <xdr:clientData/>
  </xdr:oneCellAnchor>
  <xdr:oneCellAnchor>
    <xdr:from>
      <xdr:col>3</xdr:col>
      <xdr:colOff>0</xdr:colOff>
      <xdr:row>21</xdr:row>
      <xdr:rowOff>0</xdr:rowOff>
    </xdr:from>
    <xdr:ext cx="2743200" cy="274320"/>
    <xdr:sp macro="" textlink="">
      <xdr:nvSpPr>
        <xdr:cNvPr id="13" name="TextBox 12">
          <a:hlinkClick xmlns:r="http://schemas.openxmlformats.org/officeDocument/2006/relationships" r:id="rId11"/>
        </xdr:cNvPr>
        <xdr:cNvSpPr txBox="1"/>
      </xdr:nvSpPr>
      <xdr:spPr>
        <a:xfrm>
          <a:off x="1828800" y="5429250"/>
          <a:ext cx="2743200" cy="274320"/>
        </a:xfrm>
        <a:prstGeom prst="rect">
          <a:avLst/>
        </a:prstGeom>
        <a:gradFill>
          <a:gsLst>
            <a:gs pos="0">
              <a:schemeClr val="bg1">
                <a:lumMod val="75000"/>
              </a:schemeClr>
            </a:gs>
            <a:gs pos="50000">
              <a:schemeClr val="accent1">
                <a:tint val="44500"/>
                <a:satMod val="160000"/>
              </a:schemeClr>
            </a:gs>
            <a:gs pos="100000">
              <a:schemeClr val="accent1">
                <a:tint val="23500"/>
                <a:satMod val="160000"/>
              </a:schemeClr>
            </a:gs>
          </a:gsLst>
          <a:lin ang="5400000" scaled="0"/>
        </a:gradFill>
        <a:effectLst>
          <a:innerShdw blurRad="114300">
            <a:prstClr val="black"/>
          </a:innerShdw>
        </a:effectLst>
        <a:scene3d>
          <a:camera prst="orthographicFront"/>
          <a:lightRig rig="threePt" dir="t"/>
        </a:scene3d>
        <a:sp3d>
          <a:bevelT prst="angle"/>
        </a:sp3d>
      </xdr:spPr>
      <xdr:style>
        <a:lnRef idx="0">
          <a:scrgbClr r="0" g="0" b="0"/>
        </a:lnRef>
        <a:fillRef idx="0">
          <a:scrgbClr r="0" g="0" b="0"/>
        </a:fillRef>
        <a:effectRef idx="0">
          <a:scrgbClr r="0" g="0" b="0"/>
        </a:effectRef>
        <a:fontRef idx="minor">
          <a:schemeClr val="tx1"/>
        </a:fontRef>
      </xdr:style>
      <xdr:txBody>
        <a:bodyPr wrap="square" rtlCol="0" anchor="ctr" anchorCtr="0">
          <a:spAutoFit/>
        </a:bodyPr>
        <a:lstStyle/>
        <a:p>
          <a:pPr algn="ctr"/>
          <a:r>
            <a:rPr lang="en-US" sz="1400" b="1"/>
            <a:t>PV of an annuity</a:t>
          </a:r>
        </a:p>
      </xdr:txBody>
    </xdr:sp>
    <xdr:clientData/>
  </xdr:oneCellAnchor>
  <xdr:oneCellAnchor>
    <xdr:from>
      <xdr:col>3</xdr:col>
      <xdr:colOff>0</xdr:colOff>
      <xdr:row>22</xdr:row>
      <xdr:rowOff>0</xdr:rowOff>
    </xdr:from>
    <xdr:ext cx="2743200" cy="274320"/>
    <xdr:sp macro="" textlink="">
      <xdr:nvSpPr>
        <xdr:cNvPr id="14" name="TextBox 13">
          <a:hlinkClick xmlns:r="http://schemas.openxmlformats.org/officeDocument/2006/relationships" r:id="rId12"/>
        </xdr:cNvPr>
        <xdr:cNvSpPr txBox="1"/>
      </xdr:nvSpPr>
      <xdr:spPr>
        <a:xfrm>
          <a:off x="1828800" y="5667375"/>
          <a:ext cx="2743200" cy="274320"/>
        </a:xfrm>
        <a:prstGeom prst="rect">
          <a:avLst/>
        </a:prstGeom>
        <a:gradFill>
          <a:gsLst>
            <a:gs pos="0">
              <a:schemeClr val="bg1">
                <a:lumMod val="75000"/>
              </a:schemeClr>
            </a:gs>
            <a:gs pos="50000">
              <a:schemeClr val="accent1">
                <a:tint val="44500"/>
                <a:satMod val="160000"/>
              </a:schemeClr>
            </a:gs>
            <a:gs pos="100000">
              <a:schemeClr val="accent1">
                <a:tint val="23500"/>
                <a:satMod val="160000"/>
              </a:schemeClr>
            </a:gs>
          </a:gsLst>
          <a:lin ang="5400000" scaled="0"/>
        </a:gradFill>
        <a:effectLst>
          <a:innerShdw blurRad="114300">
            <a:prstClr val="black"/>
          </a:innerShdw>
        </a:effectLst>
        <a:scene3d>
          <a:camera prst="orthographicFront"/>
          <a:lightRig rig="threePt" dir="t"/>
        </a:scene3d>
        <a:sp3d>
          <a:bevelT prst="angle"/>
        </a:sp3d>
      </xdr:spPr>
      <xdr:style>
        <a:lnRef idx="0">
          <a:scrgbClr r="0" g="0" b="0"/>
        </a:lnRef>
        <a:fillRef idx="0">
          <a:scrgbClr r="0" g="0" b="0"/>
        </a:fillRef>
        <a:effectRef idx="0">
          <a:scrgbClr r="0" g="0" b="0"/>
        </a:effectRef>
        <a:fontRef idx="minor">
          <a:schemeClr val="tx1"/>
        </a:fontRef>
      </xdr:style>
      <xdr:txBody>
        <a:bodyPr wrap="square" rtlCol="0" anchor="ctr" anchorCtr="0">
          <a:spAutoFit/>
        </a:bodyPr>
        <a:lstStyle/>
        <a:p>
          <a:pPr algn="ctr"/>
          <a:r>
            <a:rPr lang="en-US" sz="1400" b="1"/>
            <a:t>FV of an annuity</a:t>
          </a:r>
        </a:p>
      </xdr:txBody>
    </xdr:sp>
    <xdr:clientData/>
  </xdr:oneCellAnchor>
  <xdr:oneCellAnchor>
    <xdr:from>
      <xdr:col>3</xdr:col>
      <xdr:colOff>0</xdr:colOff>
      <xdr:row>23</xdr:row>
      <xdr:rowOff>0</xdr:rowOff>
    </xdr:from>
    <xdr:ext cx="2743200" cy="274320"/>
    <xdr:sp macro="" textlink="">
      <xdr:nvSpPr>
        <xdr:cNvPr id="15" name="TextBox 14">
          <a:hlinkClick xmlns:r="http://schemas.openxmlformats.org/officeDocument/2006/relationships" r:id="rId13"/>
        </xdr:cNvPr>
        <xdr:cNvSpPr txBox="1"/>
      </xdr:nvSpPr>
      <xdr:spPr>
        <a:xfrm>
          <a:off x="1828800" y="5905500"/>
          <a:ext cx="2743200" cy="274320"/>
        </a:xfrm>
        <a:prstGeom prst="rect">
          <a:avLst/>
        </a:prstGeom>
        <a:gradFill>
          <a:gsLst>
            <a:gs pos="0">
              <a:schemeClr val="bg1">
                <a:lumMod val="75000"/>
              </a:schemeClr>
            </a:gs>
            <a:gs pos="50000">
              <a:schemeClr val="accent1">
                <a:tint val="44500"/>
                <a:satMod val="160000"/>
              </a:schemeClr>
            </a:gs>
            <a:gs pos="100000">
              <a:schemeClr val="accent1">
                <a:tint val="23500"/>
                <a:satMod val="160000"/>
              </a:schemeClr>
            </a:gs>
          </a:gsLst>
          <a:lin ang="5400000" scaled="0"/>
        </a:gradFill>
        <a:effectLst>
          <a:innerShdw blurRad="114300">
            <a:prstClr val="black"/>
          </a:innerShdw>
        </a:effectLst>
        <a:scene3d>
          <a:camera prst="orthographicFront"/>
          <a:lightRig rig="threePt" dir="t"/>
        </a:scene3d>
        <a:sp3d>
          <a:bevelT prst="angle"/>
        </a:sp3d>
      </xdr:spPr>
      <xdr:style>
        <a:lnRef idx="0">
          <a:scrgbClr r="0" g="0" b="0"/>
        </a:lnRef>
        <a:fillRef idx="0">
          <a:scrgbClr r="0" g="0" b="0"/>
        </a:fillRef>
        <a:effectRef idx="0">
          <a:scrgbClr r="0" g="0" b="0"/>
        </a:effectRef>
        <a:fontRef idx="minor">
          <a:schemeClr val="tx1"/>
        </a:fontRef>
      </xdr:style>
      <xdr:txBody>
        <a:bodyPr wrap="square" rtlCol="0" anchor="ctr" anchorCtr="0">
          <a:spAutoFit/>
        </a:bodyPr>
        <a:lstStyle/>
        <a:p>
          <a:pPr algn="ctr"/>
          <a:r>
            <a:rPr lang="en-US" sz="1400" b="1"/>
            <a:t>PMT</a:t>
          </a:r>
        </a:p>
      </xdr:txBody>
    </xdr:sp>
    <xdr:clientData/>
  </xdr:oneCellAnchor>
  <xdr:oneCellAnchor>
    <xdr:from>
      <xdr:col>3</xdr:col>
      <xdr:colOff>0</xdr:colOff>
      <xdr:row>24</xdr:row>
      <xdr:rowOff>0</xdr:rowOff>
    </xdr:from>
    <xdr:ext cx="2743200" cy="274320"/>
    <xdr:sp macro="" textlink="">
      <xdr:nvSpPr>
        <xdr:cNvPr id="16" name="TextBox 15">
          <a:hlinkClick xmlns:r="http://schemas.openxmlformats.org/officeDocument/2006/relationships" r:id="rId14"/>
        </xdr:cNvPr>
        <xdr:cNvSpPr txBox="1"/>
      </xdr:nvSpPr>
      <xdr:spPr>
        <a:xfrm>
          <a:off x="1828800" y="6143625"/>
          <a:ext cx="2743200" cy="274320"/>
        </a:xfrm>
        <a:prstGeom prst="rect">
          <a:avLst/>
        </a:prstGeom>
        <a:gradFill>
          <a:gsLst>
            <a:gs pos="0">
              <a:schemeClr val="bg1">
                <a:lumMod val="75000"/>
              </a:schemeClr>
            </a:gs>
            <a:gs pos="50000">
              <a:schemeClr val="accent1">
                <a:tint val="44500"/>
                <a:satMod val="160000"/>
              </a:schemeClr>
            </a:gs>
            <a:gs pos="100000">
              <a:schemeClr val="accent1">
                <a:tint val="23500"/>
                <a:satMod val="160000"/>
              </a:schemeClr>
            </a:gs>
          </a:gsLst>
          <a:lin ang="5400000" scaled="0"/>
        </a:gradFill>
        <a:effectLst>
          <a:innerShdw blurRad="114300">
            <a:prstClr val="black"/>
          </a:innerShdw>
        </a:effectLst>
        <a:scene3d>
          <a:camera prst="orthographicFront"/>
          <a:lightRig rig="threePt" dir="t"/>
        </a:scene3d>
        <a:sp3d>
          <a:bevelT prst="angle"/>
        </a:sp3d>
      </xdr:spPr>
      <xdr:style>
        <a:lnRef idx="0">
          <a:scrgbClr r="0" g="0" b="0"/>
        </a:lnRef>
        <a:fillRef idx="0">
          <a:scrgbClr r="0" g="0" b="0"/>
        </a:fillRef>
        <a:effectRef idx="0">
          <a:scrgbClr r="0" g="0" b="0"/>
        </a:effectRef>
        <a:fontRef idx="minor">
          <a:schemeClr val="tx1"/>
        </a:fontRef>
      </xdr:style>
      <xdr:txBody>
        <a:bodyPr wrap="square" rtlCol="0" anchor="ctr" anchorCtr="0">
          <a:spAutoFit/>
        </a:bodyPr>
        <a:lstStyle/>
        <a:p>
          <a:pPr algn="ctr"/>
          <a:r>
            <a:rPr lang="en-US" sz="1400" b="1"/>
            <a:t>Annuity interest</a:t>
          </a:r>
          <a:r>
            <a:rPr lang="en-US" sz="1400" b="1" baseline="0"/>
            <a:t> rate</a:t>
          </a:r>
          <a:endParaRPr lang="en-US" sz="1400" b="1"/>
        </a:p>
      </xdr:txBody>
    </xdr:sp>
    <xdr:clientData/>
  </xdr:oneCellAnchor>
  <xdr:oneCellAnchor>
    <xdr:from>
      <xdr:col>3</xdr:col>
      <xdr:colOff>0</xdr:colOff>
      <xdr:row>25</xdr:row>
      <xdr:rowOff>0</xdr:rowOff>
    </xdr:from>
    <xdr:ext cx="2743200" cy="274320"/>
    <xdr:sp macro="" textlink="">
      <xdr:nvSpPr>
        <xdr:cNvPr id="17" name="TextBox 16">
          <a:hlinkClick xmlns:r="http://schemas.openxmlformats.org/officeDocument/2006/relationships" r:id="rId15"/>
        </xdr:cNvPr>
        <xdr:cNvSpPr txBox="1"/>
      </xdr:nvSpPr>
      <xdr:spPr>
        <a:xfrm>
          <a:off x="1828800" y="6381750"/>
          <a:ext cx="2743200" cy="274320"/>
        </a:xfrm>
        <a:prstGeom prst="rect">
          <a:avLst/>
        </a:prstGeom>
        <a:gradFill>
          <a:gsLst>
            <a:gs pos="0">
              <a:schemeClr val="bg1">
                <a:lumMod val="75000"/>
              </a:schemeClr>
            </a:gs>
            <a:gs pos="50000">
              <a:schemeClr val="accent1">
                <a:tint val="44500"/>
                <a:satMod val="160000"/>
              </a:schemeClr>
            </a:gs>
            <a:gs pos="100000">
              <a:schemeClr val="accent1">
                <a:tint val="23500"/>
                <a:satMod val="160000"/>
              </a:schemeClr>
            </a:gs>
          </a:gsLst>
          <a:lin ang="5400000" scaled="0"/>
        </a:gradFill>
        <a:effectLst>
          <a:innerShdw blurRad="114300">
            <a:prstClr val="black"/>
          </a:innerShdw>
        </a:effectLst>
        <a:scene3d>
          <a:camera prst="orthographicFront"/>
          <a:lightRig rig="threePt" dir="t"/>
        </a:scene3d>
        <a:sp3d>
          <a:bevelT prst="angle"/>
        </a:sp3d>
      </xdr:spPr>
      <xdr:style>
        <a:lnRef idx="0">
          <a:scrgbClr r="0" g="0" b="0"/>
        </a:lnRef>
        <a:fillRef idx="0">
          <a:scrgbClr r="0" g="0" b="0"/>
        </a:fillRef>
        <a:effectRef idx="0">
          <a:scrgbClr r="0" g="0" b="0"/>
        </a:effectRef>
        <a:fontRef idx="minor">
          <a:schemeClr val="tx1"/>
        </a:fontRef>
      </xdr:style>
      <xdr:txBody>
        <a:bodyPr wrap="square" rtlCol="0" anchor="ctr" anchorCtr="0">
          <a:spAutoFit/>
        </a:bodyPr>
        <a:lstStyle/>
        <a:p>
          <a:pPr algn="ctr"/>
          <a:r>
            <a:rPr lang="en-US" sz="1400" b="1"/>
            <a:t>Annuity periods</a:t>
          </a:r>
        </a:p>
      </xdr:txBody>
    </xdr:sp>
    <xdr:clientData/>
  </xdr:oneCellAnchor>
  <xdr:oneCellAnchor>
    <xdr:from>
      <xdr:col>3</xdr:col>
      <xdr:colOff>0</xdr:colOff>
      <xdr:row>26</xdr:row>
      <xdr:rowOff>0</xdr:rowOff>
    </xdr:from>
    <xdr:ext cx="2743200" cy="274320"/>
    <xdr:sp macro="" textlink="">
      <xdr:nvSpPr>
        <xdr:cNvPr id="18" name="TextBox 17">
          <a:hlinkClick xmlns:r="http://schemas.openxmlformats.org/officeDocument/2006/relationships" r:id="rId16"/>
        </xdr:cNvPr>
        <xdr:cNvSpPr txBox="1"/>
      </xdr:nvSpPr>
      <xdr:spPr>
        <a:xfrm>
          <a:off x="1828800" y="7134225"/>
          <a:ext cx="2743200" cy="274320"/>
        </a:xfrm>
        <a:prstGeom prst="rect">
          <a:avLst/>
        </a:prstGeom>
        <a:gradFill>
          <a:gsLst>
            <a:gs pos="0">
              <a:schemeClr val="bg1">
                <a:lumMod val="75000"/>
              </a:schemeClr>
            </a:gs>
            <a:gs pos="50000">
              <a:schemeClr val="accent1">
                <a:tint val="44500"/>
                <a:satMod val="160000"/>
              </a:schemeClr>
            </a:gs>
            <a:gs pos="100000">
              <a:schemeClr val="accent1">
                <a:tint val="23500"/>
                <a:satMod val="160000"/>
              </a:schemeClr>
            </a:gs>
          </a:gsLst>
          <a:lin ang="5400000" scaled="0"/>
        </a:gradFill>
        <a:effectLst>
          <a:innerShdw blurRad="114300">
            <a:prstClr val="black"/>
          </a:innerShdw>
        </a:effectLst>
        <a:scene3d>
          <a:camera prst="orthographicFront"/>
          <a:lightRig rig="threePt" dir="t"/>
        </a:scene3d>
        <a:sp3d>
          <a:bevelT prst="angle"/>
        </a:sp3d>
      </xdr:spPr>
      <xdr:style>
        <a:lnRef idx="0">
          <a:scrgbClr r="0" g="0" b="0"/>
        </a:lnRef>
        <a:fillRef idx="0">
          <a:scrgbClr r="0" g="0" b="0"/>
        </a:fillRef>
        <a:effectRef idx="0">
          <a:scrgbClr r="0" g="0" b="0"/>
        </a:effectRef>
        <a:fontRef idx="minor">
          <a:schemeClr val="tx1"/>
        </a:fontRef>
      </xdr:style>
      <xdr:txBody>
        <a:bodyPr wrap="square" rtlCol="0" anchor="ctr" anchorCtr="0">
          <a:spAutoFit/>
        </a:bodyPr>
        <a:lstStyle/>
        <a:p>
          <a:pPr algn="ctr"/>
          <a:r>
            <a:rPr lang="en-US" sz="1400" b="1"/>
            <a:t>Nested function</a:t>
          </a:r>
        </a:p>
      </xdr:txBody>
    </xdr:sp>
    <xdr:clientData/>
  </xdr:oneCellAnchor>
  <xdr:oneCellAnchor>
    <xdr:from>
      <xdr:col>3</xdr:col>
      <xdr:colOff>0</xdr:colOff>
      <xdr:row>27</xdr:row>
      <xdr:rowOff>0</xdr:rowOff>
    </xdr:from>
    <xdr:ext cx="2743200" cy="274320"/>
    <xdr:sp macro="" textlink="">
      <xdr:nvSpPr>
        <xdr:cNvPr id="19" name="TextBox 18">
          <a:hlinkClick xmlns:r="http://schemas.openxmlformats.org/officeDocument/2006/relationships" r:id="rId17"/>
        </xdr:cNvPr>
        <xdr:cNvSpPr txBox="1"/>
      </xdr:nvSpPr>
      <xdr:spPr>
        <a:xfrm>
          <a:off x="1828800" y="7429500"/>
          <a:ext cx="2743200" cy="274320"/>
        </a:xfrm>
        <a:prstGeom prst="rect">
          <a:avLst/>
        </a:prstGeom>
        <a:gradFill>
          <a:gsLst>
            <a:gs pos="0">
              <a:schemeClr val="bg1">
                <a:lumMod val="75000"/>
              </a:schemeClr>
            </a:gs>
            <a:gs pos="50000">
              <a:schemeClr val="accent1">
                <a:tint val="44500"/>
                <a:satMod val="160000"/>
              </a:schemeClr>
            </a:gs>
            <a:gs pos="100000">
              <a:schemeClr val="accent1">
                <a:tint val="23500"/>
                <a:satMod val="160000"/>
              </a:schemeClr>
            </a:gs>
          </a:gsLst>
          <a:lin ang="5400000" scaled="0"/>
        </a:gradFill>
        <a:effectLst>
          <a:innerShdw blurRad="114300">
            <a:prstClr val="black"/>
          </a:innerShdw>
        </a:effectLst>
        <a:scene3d>
          <a:camera prst="orthographicFront"/>
          <a:lightRig rig="threePt" dir="t"/>
        </a:scene3d>
        <a:sp3d>
          <a:bevelT prst="angle"/>
        </a:sp3d>
      </xdr:spPr>
      <xdr:style>
        <a:lnRef idx="0">
          <a:scrgbClr r="0" g="0" b="0"/>
        </a:lnRef>
        <a:fillRef idx="0">
          <a:scrgbClr r="0" g="0" b="0"/>
        </a:fillRef>
        <a:effectRef idx="0">
          <a:scrgbClr r="0" g="0" b="0"/>
        </a:effectRef>
        <a:fontRef idx="minor">
          <a:schemeClr val="tx1"/>
        </a:fontRef>
      </xdr:style>
      <xdr:txBody>
        <a:bodyPr wrap="square" rtlCol="0" anchor="ctr" anchorCtr="0">
          <a:spAutoFit/>
        </a:bodyPr>
        <a:lstStyle/>
        <a:p>
          <a:pPr algn="ctr"/>
          <a:r>
            <a:rPr lang="en-US" sz="1400" b="1"/>
            <a:t>Annuity due</a:t>
          </a:r>
        </a:p>
      </xdr:txBody>
    </xdr:sp>
    <xdr:clientData/>
  </xdr:oneCellAnchor>
  <xdr:oneCellAnchor>
    <xdr:from>
      <xdr:col>3</xdr:col>
      <xdr:colOff>0</xdr:colOff>
      <xdr:row>28</xdr:row>
      <xdr:rowOff>0</xdr:rowOff>
    </xdr:from>
    <xdr:ext cx="2743200" cy="274320"/>
    <xdr:sp macro="" textlink="">
      <xdr:nvSpPr>
        <xdr:cNvPr id="20" name="TextBox 19">
          <a:hlinkClick xmlns:r="http://schemas.openxmlformats.org/officeDocument/2006/relationships" r:id="rId18"/>
        </xdr:cNvPr>
        <xdr:cNvSpPr txBox="1"/>
      </xdr:nvSpPr>
      <xdr:spPr>
        <a:xfrm>
          <a:off x="1828800" y="7724775"/>
          <a:ext cx="2743200" cy="274320"/>
        </a:xfrm>
        <a:prstGeom prst="rect">
          <a:avLst/>
        </a:prstGeom>
        <a:gradFill>
          <a:gsLst>
            <a:gs pos="0">
              <a:schemeClr val="bg1">
                <a:lumMod val="75000"/>
              </a:schemeClr>
            </a:gs>
            <a:gs pos="50000">
              <a:schemeClr val="accent1">
                <a:tint val="44500"/>
                <a:satMod val="160000"/>
              </a:schemeClr>
            </a:gs>
            <a:gs pos="100000">
              <a:schemeClr val="accent1">
                <a:tint val="23500"/>
                <a:satMod val="160000"/>
              </a:schemeClr>
            </a:gs>
          </a:gsLst>
          <a:lin ang="5400000" scaled="0"/>
        </a:gradFill>
        <a:effectLst>
          <a:innerShdw blurRad="114300">
            <a:prstClr val="black"/>
          </a:innerShdw>
        </a:effectLst>
        <a:scene3d>
          <a:camera prst="orthographicFront"/>
          <a:lightRig rig="threePt" dir="t"/>
        </a:scene3d>
        <a:sp3d>
          <a:bevelT prst="angle"/>
        </a:sp3d>
      </xdr:spPr>
      <xdr:style>
        <a:lnRef idx="0">
          <a:scrgbClr r="0" g="0" b="0"/>
        </a:lnRef>
        <a:fillRef idx="0">
          <a:scrgbClr r="0" g="0" b="0"/>
        </a:fillRef>
        <a:effectRef idx="0">
          <a:scrgbClr r="0" g="0" b="0"/>
        </a:effectRef>
        <a:fontRef idx="minor">
          <a:schemeClr val="tx1"/>
        </a:fontRef>
      </xdr:style>
      <xdr:txBody>
        <a:bodyPr wrap="square" rtlCol="0" anchor="ctr" anchorCtr="0">
          <a:spAutoFit/>
        </a:bodyPr>
        <a:lstStyle/>
        <a:p>
          <a:pPr algn="ctr"/>
          <a:r>
            <a:rPr lang="en-US" sz="1400" b="1"/>
            <a:t>Loan</a:t>
          </a:r>
          <a:r>
            <a:rPr lang="en-US" sz="1400" b="1" baseline="0"/>
            <a:t> amortization worksheet</a:t>
          </a:r>
          <a:endParaRPr lang="en-US" sz="1400" b="1"/>
        </a:p>
      </xdr:txBody>
    </xdr:sp>
    <xdr:clientData/>
  </xdr:oneCellAnchor>
  <xdr:twoCellAnchor editAs="oneCell">
    <xdr:from>
      <xdr:col>4</xdr:col>
      <xdr:colOff>0</xdr:colOff>
      <xdr:row>37</xdr:row>
      <xdr:rowOff>0</xdr:rowOff>
    </xdr:from>
    <xdr:to>
      <xdr:col>4</xdr:col>
      <xdr:colOff>514422</xdr:colOff>
      <xdr:row>38</xdr:row>
      <xdr:rowOff>28607</xdr:rowOff>
    </xdr:to>
    <xdr:pic>
      <xdr:nvPicPr>
        <xdr:cNvPr id="21" name="Picture 20"/>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4667250" y="9753600"/>
          <a:ext cx="514422" cy="2286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304801</xdr:colOff>
      <xdr:row>42</xdr:row>
      <xdr:rowOff>66675</xdr:rowOff>
    </xdr:from>
    <xdr:to>
      <xdr:col>9</xdr:col>
      <xdr:colOff>361950</xdr:colOff>
      <xdr:row>59</xdr:row>
      <xdr:rowOff>57150</xdr:rowOff>
    </xdr:to>
    <xdr:graphicFrame macro="">
      <xdr:nvGraphicFramePr>
        <xdr:cNvPr id="1039"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628650</xdr:colOff>
      <xdr:row>152</xdr:row>
      <xdr:rowOff>219075</xdr:rowOff>
    </xdr:from>
    <xdr:to>
      <xdr:col>4</xdr:col>
      <xdr:colOff>904875</xdr:colOff>
      <xdr:row>152</xdr:row>
      <xdr:rowOff>428625</xdr:rowOff>
    </xdr:to>
    <xdr:pic>
      <xdr:nvPicPr>
        <xdr:cNvPr id="6" name="Picture 5" descr="Merge icon.BMP"/>
        <xdr:cNvPicPr>
          <a:picLocks noChangeAspect="1"/>
        </xdr:cNvPicPr>
      </xdr:nvPicPr>
      <xdr:blipFill>
        <a:blip xmlns:r="http://schemas.openxmlformats.org/officeDocument/2006/relationships" r:embed="rId2" cstate="print"/>
        <a:stretch>
          <a:fillRect/>
        </a:stretch>
      </xdr:blipFill>
      <xdr:spPr>
        <a:xfrm>
          <a:off x="3886200" y="36375975"/>
          <a:ext cx="276225" cy="209550"/>
        </a:xfrm>
        <a:prstGeom prst="rect">
          <a:avLst/>
        </a:prstGeom>
      </xdr:spPr>
    </xdr:pic>
    <xdr:clientData/>
  </xdr:twoCellAnchor>
  <xdr:twoCellAnchor>
    <xdr:from>
      <xdr:col>2</xdr:col>
      <xdr:colOff>142875</xdr:colOff>
      <xdr:row>85</xdr:row>
      <xdr:rowOff>19049</xdr:rowOff>
    </xdr:from>
    <xdr:to>
      <xdr:col>9</xdr:col>
      <xdr:colOff>161925</xdr:colOff>
      <xdr:row>103</xdr:row>
      <xdr:rowOff>57150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685800</xdr:colOff>
      <xdr:row>121</xdr:row>
      <xdr:rowOff>38100</xdr:rowOff>
    </xdr:from>
    <xdr:to>
      <xdr:col>7</xdr:col>
      <xdr:colOff>571500</xdr:colOff>
      <xdr:row>137</xdr:row>
      <xdr:rowOff>123825</xdr:rowOff>
    </xdr:to>
    <xdr:pic>
      <xdr:nvPicPr>
        <xdr:cNvPr id="8" name="Picture 7" descr="FV.BMP"/>
        <xdr:cNvPicPr>
          <a:picLocks noChangeAspect="1"/>
        </xdr:cNvPicPr>
      </xdr:nvPicPr>
      <xdr:blipFill>
        <a:blip xmlns:r="http://schemas.openxmlformats.org/officeDocument/2006/relationships" r:embed="rId4" cstate="print"/>
        <a:stretch>
          <a:fillRect/>
        </a:stretch>
      </xdr:blipFill>
      <xdr:spPr>
        <a:xfrm>
          <a:off x="1000125" y="28394025"/>
          <a:ext cx="5772150" cy="3286125"/>
        </a:xfrm>
        <a:prstGeom prst="rect">
          <a:avLst/>
        </a:prstGeom>
      </xdr:spPr>
    </xdr:pic>
    <xdr:clientData/>
  </xdr:twoCellAnchor>
  <xdr:twoCellAnchor>
    <xdr:from>
      <xdr:col>2</xdr:col>
      <xdr:colOff>161925</xdr:colOff>
      <xdr:row>231</xdr:row>
      <xdr:rowOff>133350</xdr:rowOff>
    </xdr:from>
    <xdr:to>
      <xdr:col>9</xdr:col>
      <xdr:colOff>638175</xdr:colOff>
      <xdr:row>250</xdr:row>
      <xdr:rowOff>66675</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876300</xdr:colOff>
      <xdr:row>172</xdr:row>
      <xdr:rowOff>114300</xdr:rowOff>
    </xdr:from>
    <xdr:to>
      <xdr:col>7</xdr:col>
      <xdr:colOff>723900</xdr:colOff>
      <xdr:row>188</xdr:row>
      <xdr:rowOff>152400</xdr:rowOff>
    </xdr:to>
    <xdr:pic>
      <xdr:nvPicPr>
        <xdr:cNvPr id="13" name="Picture 12" descr="PV.BMP"/>
        <xdr:cNvPicPr>
          <a:picLocks noChangeAspect="1"/>
        </xdr:cNvPicPr>
      </xdr:nvPicPr>
      <xdr:blipFill>
        <a:blip xmlns:r="http://schemas.openxmlformats.org/officeDocument/2006/relationships" r:embed="rId6" cstate="print"/>
        <a:stretch>
          <a:fillRect/>
        </a:stretch>
      </xdr:blipFill>
      <xdr:spPr>
        <a:xfrm>
          <a:off x="1190625" y="40471725"/>
          <a:ext cx="5734050" cy="3238500"/>
        </a:xfrm>
        <a:prstGeom prst="rect">
          <a:avLst/>
        </a:prstGeom>
      </xdr:spPr>
    </xdr:pic>
    <xdr:clientData/>
  </xdr:twoCellAnchor>
  <xdr:twoCellAnchor editAs="oneCell">
    <xdr:from>
      <xdr:col>2</xdr:col>
      <xdr:colOff>0</xdr:colOff>
      <xdr:row>203</xdr:row>
      <xdr:rowOff>0</xdr:rowOff>
    </xdr:from>
    <xdr:to>
      <xdr:col>4</xdr:col>
      <xdr:colOff>95250</xdr:colOff>
      <xdr:row>209</xdr:row>
      <xdr:rowOff>19050</xdr:rowOff>
    </xdr:to>
    <xdr:pic>
      <xdr:nvPicPr>
        <xdr:cNvPr id="14" name="Picture 13" descr="Data table.BMP"/>
        <xdr:cNvPicPr>
          <a:picLocks noChangeAspect="1"/>
        </xdr:cNvPicPr>
      </xdr:nvPicPr>
      <xdr:blipFill>
        <a:blip xmlns:r="http://schemas.openxmlformats.org/officeDocument/2006/relationships" r:embed="rId7" cstate="print"/>
        <a:stretch>
          <a:fillRect/>
        </a:stretch>
      </xdr:blipFill>
      <xdr:spPr>
        <a:xfrm>
          <a:off x="1295400" y="47758350"/>
          <a:ext cx="2057400" cy="1219200"/>
        </a:xfrm>
        <a:prstGeom prst="rect">
          <a:avLst/>
        </a:prstGeom>
      </xdr:spPr>
    </xdr:pic>
    <xdr:clientData/>
  </xdr:twoCellAnchor>
  <xdr:twoCellAnchor editAs="oneCell">
    <xdr:from>
      <xdr:col>2</xdr:col>
      <xdr:colOff>123825</xdr:colOff>
      <xdr:row>267</xdr:row>
      <xdr:rowOff>133350</xdr:rowOff>
    </xdr:from>
    <xdr:to>
      <xdr:col>7</xdr:col>
      <xdr:colOff>428625</xdr:colOff>
      <xdr:row>284</xdr:row>
      <xdr:rowOff>114300</xdr:rowOff>
    </xdr:to>
    <xdr:pic>
      <xdr:nvPicPr>
        <xdr:cNvPr id="18" name="Picture 17" descr="RATE.BMP"/>
        <xdr:cNvPicPr>
          <a:picLocks noChangeAspect="1"/>
        </xdr:cNvPicPr>
      </xdr:nvPicPr>
      <xdr:blipFill>
        <a:blip xmlns:r="http://schemas.openxmlformats.org/officeDocument/2006/relationships" r:embed="rId8" cstate="print"/>
        <a:stretch>
          <a:fillRect/>
        </a:stretch>
      </xdr:blipFill>
      <xdr:spPr>
        <a:xfrm>
          <a:off x="1419225" y="61493400"/>
          <a:ext cx="5210175" cy="3381375"/>
        </a:xfrm>
        <a:prstGeom prst="rect">
          <a:avLst/>
        </a:prstGeom>
      </xdr:spPr>
    </xdr:pic>
    <xdr:clientData/>
  </xdr:twoCellAnchor>
  <xdr:twoCellAnchor editAs="oneCell">
    <xdr:from>
      <xdr:col>2</xdr:col>
      <xdr:colOff>333375</xdr:colOff>
      <xdr:row>303</xdr:row>
      <xdr:rowOff>57150</xdr:rowOff>
    </xdr:from>
    <xdr:to>
      <xdr:col>8</xdr:col>
      <xdr:colOff>190500</xdr:colOff>
      <xdr:row>319</xdr:row>
      <xdr:rowOff>123825</xdr:rowOff>
    </xdr:to>
    <xdr:pic>
      <xdr:nvPicPr>
        <xdr:cNvPr id="19" name="Picture 18" descr="NPER.BMP"/>
        <xdr:cNvPicPr>
          <a:picLocks noChangeAspect="1"/>
        </xdr:cNvPicPr>
      </xdr:nvPicPr>
      <xdr:blipFill>
        <a:blip xmlns:r="http://schemas.openxmlformats.org/officeDocument/2006/relationships" r:embed="rId9" cstate="print"/>
        <a:stretch>
          <a:fillRect/>
        </a:stretch>
      </xdr:blipFill>
      <xdr:spPr>
        <a:xfrm>
          <a:off x="1628775" y="69018150"/>
          <a:ext cx="5743575" cy="3267075"/>
        </a:xfrm>
        <a:prstGeom prst="rect">
          <a:avLst/>
        </a:prstGeom>
      </xdr:spPr>
    </xdr:pic>
    <xdr:clientData/>
  </xdr:twoCellAnchor>
  <xdr:twoCellAnchor editAs="oneCell">
    <xdr:from>
      <xdr:col>2</xdr:col>
      <xdr:colOff>9525</xdr:colOff>
      <xdr:row>352</xdr:row>
      <xdr:rowOff>66675</xdr:rowOff>
    </xdr:from>
    <xdr:to>
      <xdr:col>6</xdr:col>
      <xdr:colOff>790575</xdr:colOff>
      <xdr:row>365</xdr:row>
      <xdr:rowOff>47625</xdr:rowOff>
    </xdr:to>
    <xdr:pic>
      <xdr:nvPicPr>
        <xdr:cNvPr id="20" name="Picture 19" descr="FVSCHEDULE.BMP"/>
        <xdr:cNvPicPr>
          <a:picLocks noChangeAspect="1"/>
        </xdr:cNvPicPr>
      </xdr:nvPicPr>
      <xdr:blipFill>
        <a:blip xmlns:r="http://schemas.openxmlformats.org/officeDocument/2006/relationships" r:embed="rId10" cstate="print"/>
        <a:stretch>
          <a:fillRect/>
        </a:stretch>
      </xdr:blipFill>
      <xdr:spPr>
        <a:xfrm>
          <a:off x="1304925" y="80029050"/>
          <a:ext cx="4705350" cy="2581275"/>
        </a:xfrm>
        <a:prstGeom prst="rect">
          <a:avLst/>
        </a:prstGeom>
      </xdr:spPr>
    </xdr:pic>
    <xdr:clientData/>
  </xdr:twoCellAnchor>
  <xdr:twoCellAnchor editAs="oneCell">
    <xdr:from>
      <xdr:col>2</xdr:col>
      <xdr:colOff>19050</xdr:colOff>
      <xdr:row>387</xdr:row>
      <xdr:rowOff>133350</xdr:rowOff>
    </xdr:from>
    <xdr:to>
      <xdr:col>7</xdr:col>
      <xdr:colOff>838200</xdr:colOff>
      <xdr:row>404</xdr:row>
      <xdr:rowOff>133350</xdr:rowOff>
    </xdr:to>
    <xdr:pic>
      <xdr:nvPicPr>
        <xdr:cNvPr id="22" name="Picture 21" descr="NPV.BMP"/>
        <xdr:cNvPicPr>
          <a:picLocks noChangeAspect="1"/>
        </xdr:cNvPicPr>
      </xdr:nvPicPr>
      <xdr:blipFill>
        <a:blip xmlns:r="http://schemas.openxmlformats.org/officeDocument/2006/relationships" r:embed="rId11" cstate="print"/>
        <a:stretch>
          <a:fillRect/>
        </a:stretch>
      </xdr:blipFill>
      <xdr:spPr>
        <a:xfrm>
          <a:off x="1314450" y="87296625"/>
          <a:ext cx="5724525" cy="34004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45</xdr:row>
      <xdr:rowOff>152400</xdr:rowOff>
    </xdr:from>
    <xdr:to>
      <xdr:col>6</xdr:col>
      <xdr:colOff>895350</xdr:colOff>
      <xdr:row>58</xdr:row>
      <xdr:rowOff>114300</xdr:rowOff>
    </xdr:to>
    <xdr:pic>
      <xdr:nvPicPr>
        <xdr:cNvPr id="3" name="Picture 2" descr="APR.BMP"/>
        <xdr:cNvPicPr>
          <a:picLocks noChangeAspect="1"/>
        </xdr:cNvPicPr>
      </xdr:nvPicPr>
      <xdr:blipFill>
        <a:blip xmlns:r="http://schemas.openxmlformats.org/officeDocument/2006/relationships" r:embed="rId1" cstate="print"/>
        <a:stretch>
          <a:fillRect/>
        </a:stretch>
      </xdr:blipFill>
      <xdr:spPr>
        <a:xfrm>
          <a:off x="1028700" y="9305925"/>
          <a:ext cx="4819650" cy="2562225"/>
        </a:xfrm>
        <a:prstGeom prst="rect">
          <a:avLst/>
        </a:prstGeom>
      </xdr:spPr>
    </xdr:pic>
    <xdr:clientData/>
  </xdr:twoCellAnchor>
  <xdr:twoCellAnchor editAs="oneCell">
    <xdr:from>
      <xdr:col>2</xdr:col>
      <xdr:colOff>9525</xdr:colOff>
      <xdr:row>17</xdr:row>
      <xdr:rowOff>47625</xdr:rowOff>
    </xdr:from>
    <xdr:to>
      <xdr:col>7</xdr:col>
      <xdr:colOff>95250</xdr:colOff>
      <xdr:row>30</xdr:row>
      <xdr:rowOff>66675</xdr:rowOff>
    </xdr:to>
    <xdr:pic>
      <xdr:nvPicPr>
        <xdr:cNvPr id="5" name="Picture 4" descr="EFFECT.BMP"/>
        <xdr:cNvPicPr>
          <a:picLocks noChangeAspect="1"/>
        </xdr:cNvPicPr>
      </xdr:nvPicPr>
      <xdr:blipFill>
        <a:blip xmlns:r="http://schemas.openxmlformats.org/officeDocument/2006/relationships" r:embed="rId2" cstate="print"/>
        <a:stretch>
          <a:fillRect/>
        </a:stretch>
      </xdr:blipFill>
      <xdr:spPr>
        <a:xfrm>
          <a:off x="1038225" y="3800475"/>
          <a:ext cx="4991100" cy="2619375"/>
        </a:xfrm>
        <a:prstGeom prst="rect">
          <a:avLst/>
        </a:prstGeom>
      </xdr:spPr>
    </xdr:pic>
    <xdr:clientData/>
  </xdr:twoCellAnchor>
  <xdr:twoCellAnchor editAs="oneCell">
    <xdr:from>
      <xdr:col>2</xdr:col>
      <xdr:colOff>47625</xdr:colOff>
      <xdr:row>76</xdr:row>
      <xdr:rowOff>47625</xdr:rowOff>
    </xdr:from>
    <xdr:to>
      <xdr:col>7</xdr:col>
      <xdr:colOff>123825</xdr:colOff>
      <xdr:row>87</xdr:row>
      <xdr:rowOff>85725</xdr:rowOff>
    </xdr:to>
    <xdr:pic>
      <xdr:nvPicPr>
        <xdr:cNvPr id="6" name="Picture 5" descr="EXP.BMP"/>
        <xdr:cNvPicPr>
          <a:picLocks noChangeAspect="1"/>
        </xdr:cNvPicPr>
      </xdr:nvPicPr>
      <xdr:blipFill>
        <a:blip xmlns:r="http://schemas.openxmlformats.org/officeDocument/2006/relationships" r:embed="rId3" cstate="print"/>
        <a:stretch>
          <a:fillRect/>
        </a:stretch>
      </xdr:blipFill>
      <xdr:spPr>
        <a:xfrm>
          <a:off x="1076325" y="15601950"/>
          <a:ext cx="4981575" cy="22383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971550</xdr:colOff>
      <xdr:row>21</xdr:row>
      <xdr:rowOff>57150</xdr:rowOff>
    </xdr:from>
    <xdr:to>
      <xdr:col>7</xdr:col>
      <xdr:colOff>809625</xdr:colOff>
      <xdr:row>37</xdr:row>
      <xdr:rowOff>123825</xdr:rowOff>
    </xdr:to>
    <xdr:pic>
      <xdr:nvPicPr>
        <xdr:cNvPr id="9" name="Picture 8" descr="PV2.BMP"/>
        <xdr:cNvPicPr>
          <a:picLocks noChangeAspect="1"/>
        </xdr:cNvPicPr>
      </xdr:nvPicPr>
      <xdr:blipFill>
        <a:blip xmlns:r="http://schemas.openxmlformats.org/officeDocument/2006/relationships" r:embed="rId1" cstate="print"/>
        <a:stretch>
          <a:fillRect/>
        </a:stretch>
      </xdr:blipFill>
      <xdr:spPr>
        <a:xfrm>
          <a:off x="1285875" y="4791075"/>
          <a:ext cx="5791200" cy="3267075"/>
        </a:xfrm>
        <a:prstGeom prst="rect">
          <a:avLst/>
        </a:prstGeom>
      </xdr:spPr>
    </xdr:pic>
    <xdr:clientData/>
  </xdr:twoCellAnchor>
  <xdr:twoCellAnchor editAs="oneCell">
    <xdr:from>
      <xdr:col>2</xdr:col>
      <xdr:colOff>9525</xdr:colOff>
      <xdr:row>56</xdr:row>
      <xdr:rowOff>19050</xdr:rowOff>
    </xdr:from>
    <xdr:to>
      <xdr:col>7</xdr:col>
      <xdr:colOff>790575</xdr:colOff>
      <xdr:row>72</xdr:row>
      <xdr:rowOff>66675</xdr:rowOff>
    </xdr:to>
    <xdr:pic>
      <xdr:nvPicPr>
        <xdr:cNvPr id="10" name="Picture 9" descr="FV2.BMP"/>
        <xdr:cNvPicPr>
          <a:picLocks noChangeAspect="1"/>
        </xdr:cNvPicPr>
      </xdr:nvPicPr>
      <xdr:blipFill>
        <a:blip xmlns:r="http://schemas.openxmlformats.org/officeDocument/2006/relationships" r:embed="rId2" cstate="print"/>
        <a:stretch>
          <a:fillRect/>
        </a:stretch>
      </xdr:blipFill>
      <xdr:spPr>
        <a:xfrm>
          <a:off x="1304925" y="12553950"/>
          <a:ext cx="5753100" cy="3248025"/>
        </a:xfrm>
        <a:prstGeom prst="rect">
          <a:avLst/>
        </a:prstGeom>
      </xdr:spPr>
    </xdr:pic>
    <xdr:clientData/>
  </xdr:twoCellAnchor>
  <xdr:twoCellAnchor editAs="oneCell">
    <xdr:from>
      <xdr:col>2</xdr:col>
      <xdr:colOff>0</xdr:colOff>
      <xdr:row>89</xdr:row>
      <xdr:rowOff>0</xdr:rowOff>
    </xdr:from>
    <xdr:to>
      <xdr:col>7</xdr:col>
      <xdr:colOff>438150</xdr:colOff>
      <xdr:row>105</xdr:row>
      <xdr:rowOff>66675</xdr:rowOff>
    </xdr:to>
    <xdr:pic>
      <xdr:nvPicPr>
        <xdr:cNvPr id="11" name="Picture 10" descr="PMT.BMP"/>
        <xdr:cNvPicPr>
          <a:picLocks noChangeAspect="1"/>
        </xdr:cNvPicPr>
      </xdr:nvPicPr>
      <xdr:blipFill>
        <a:blip xmlns:r="http://schemas.openxmlformats.org/officeDocument/2006/relationships" r:embed="rId3" cstate="print"/>
        <a:stretch>
          <a:fillRect/>
        </a:stretch>
      </xdr:blipFill>
      <xdr:spPr>
        <a:xfrm>
          <a:off x="1295400" y="19935825"/>
          <a:ext cx="5410200" cy="3267075"/>
        </a:xfrm>
        <a:prstGeom prst="rect">
          <a:avLst/>
        </a:prstGeom>
      </xdr:spPr>
    </xdr:pic>
    <xdr:clientData/>
  </xdr:twoCellAnchor>
  <xdr:twoCellAnchor editAs="oneCell">
    <xdr:from>
      <xdr:col>1</xdr:col>
      <xdr:colOff>971550</xdr:colOff>
      <xdr:row>120</xdr:row>
      <xdr:rowOff>95250</xdr:rowOff>
    </xdr:from>
    <xdr:to>
      <xdr:col>7</xdr:col>
      <xdr:colOff>238125</xdr:colOff>
      <xdr:row>137</xdr:row>
      <xdr:rowOff>76200</xdr:rowOff>
    </xdr:to>
    <xdr:pic>
      <xdr:nvPicPr>
        <xdr:cNvPr id="12" name="Picture 11" descr="RATE2.BMP"/>
        <xdr:cNvPicPr>
          <a:picLocks noChangeAspect="1"/>
        </xdr:cNvPicPr>
      </xdr:nvPicPr>
      <xdr:blipFill>
        <a:blip xmlns:r="http://schemas.openxmlformats.org/officeDocument/2006/relationships" r:embed="rId4" cstate="print"/>
        <a:stretch>
          <a:fillRect/>
        </a:stretch>
      </xdr:blipFill>
      <xdr:spPr>
        <a:xfrm>
          <a:off x="1285875" y="27031950"/>
          <a:ext cx="5219700" cy="3381375"/>
        </a:xfrm>
        <a:prstGeom prst="rect">
          <a:avLst/>
        </a:prstGeom>
      </xdr:spPr>
    </xdr:pic>
    <xdr:clientData/>
  </xdr:twoCellAnchor>
  <xdr:twoCellAnchor editAs="oneCell">
    <xdr:from>
      <xdr:col>2</xdr:col>
      <xdr:colOff>0</xdr:colOff>
      <xdr:row>155</xdr:row>
      <xdr:rowOff>57150</xdr:rowOff>
    </xdr:from>
    <xdr:to>
      <xdr:col>7</xdr:col>
      <xdr:colOff>762000</xdr:colOff>
      <xdr:row>171</xdr:row>
      <xdr:rowOff>123825</xdr:rowOff>
    </xdr:to>
    <xdr:pic>
      <xdr:nvPicPr>
        <xdr:cNvPr id="13" name="Picture 12" descr="NPER2.BMP"/>
        <xdr:cNvPicPr>
          <a:picLocks noChangeAspect="1"/>
        </xdr:cNvPicPr>
      </xdr:nvPicPr>
      <xdr:blipFill>
        <a:blip xmlns:r="http://schemas.openxmlformats.org/officeDocument/2006/relationships" r:embed="rId5" cstate="print"/>
        <a:stretch>
          <a:fillRect/>
        </a:stretch>
      </xdr:blipFill>
      <xdr:spPr>
        <a:xfrm>
          <a:off x="1295400" y="34394775"/>
          <a:ext cx="5734050" cy="3267075"/>
        </a:xfrm>
        <a:prstGeom prst="rect">
          <a:avLst/>
        </a:prstGeom>
      </xdr:spPr>
    </xdr:pic>
    <xdr:clientData/>
  </xdr:twoCellAnchor>
  <xdr:twoCellAnchor editAs="oneCell">
    <xdr:from>
      <xdr:col>1</xdr:col>
      <xdr:colOff>933450</xdr:colOff>
      <xdr:row>235</xdr:row>
      <xdr:rowOff>123825</xdr:rowOff>
    </xdr:from>
    <xdr:to>
      <xdr:col>7</xdr:col>
      <xdr:colOff>742950</xdr:colOff>
      <xdr:row>251</xdr:row>
      <xdr:rowOff>161925</xdr:rowOff>
    </xdr:to>
    <xdr:pic>
      <xdr:nvPicPr>
        <xdr:cNvPr id="14" name="Picture 13" descr="PV annuity due.BMP"/>
        <xdr:cNvPicPr>
          <a:picLocks noChangeAspect="1"/>
        </xdr:cNvPicPr>
      </xdr:nvPicPr>
      <xdr:blipFill>
        <a:blip xmlns:r="http://schemas.openxmlformats.org/officeDocument/2006/relationships" r:embed="rId6" cstate="print"/>
        <a:stretch>
          <a:fillRect/>
        </a:stretch>
      </xdr:blipFill>
      <xdr:spPr>
        <a:xfrm>
          <a:off x="1247775" y="51749325"/>
          <a:ext cx="5762625" cy="32385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95250</xdr:colOff>
      <xdr:row>36</xdr:row>
      <xdr:rowOff>828675</xdr:rowOff>
    </xdr:from>
    <xdr:to>
      <xdr:col>5</xdr:col>
      <xdr:colOff>361950</xdr:colOff>
      <xdr:row>37</xdr:row>
      <xdr:rowOff>19050</xdr:rowOff>
    </xdr:to>
    <xdr:pic>
      <xdr:nvPicPr>
        <xdr:cNvPr id="2" name="Picture 1" descr="SUM.BMP"/>
        <xdr:cNvPicPr>
          <a:picLocks noChangeAspect="1"/>
        </xdr:cNvPicPr>
      </xdr:nvPicPr>
      <xdr:blipFill>
        <a:blip xmlns:r="http://schemas.openxmlformats.org/officeDocument/2006/relationships" r:embed="rId1" cstate="print"/>
        <a:stretch>
          <a:fillRect/>
        </a:stretch>
      </xdr:blipFill>
      <xdr:spPr>
        <a:xfrm>
          <a:off x="4333875" y="8582025"/>
          <a:ext cx="266700" cy="219075"/>
        </a:xfrm>
        <a:prstGeom prst="rect">
          <a:avLst/>
        </a:prstGeom>
      </xdr:spPr>
    </xdr:pic>
    <xdr:clientData/>
  </xdr:twoCellAnchor>
  <xdr:twoCellAnchor editAs="oneCell">
    <xdr:from>
      <xdr:col>4</xdr:col>
      <xdr:colOff>542925</xdr:colOff>
      <xdr:row>71</xdr:row>
      <xdr:rowOff>1019175</xdr:rowOff>
    </xdr:from>
    <xdr:to>
      <xdr:col>4</xdr:col>
      <xdr:colOff>809625</xdr:colOff>
      <xdr:row>72</xdr:row>
      <xdr:rowOff>38100</xdr:rowOff>
    </xdr:to>
    <xdr:pic>
      <xdr:nvPicPr>
        <xdr:cNvPr id="3" name="Picture 2" descr="SUM.BMP"/>
        <xdr:cNvPicPr>
          <a:picLocks noChangeAspect="1"/>
        </xdr:cNvPicPr>
      </xdr:nvPicPr>
      <xdr:blipFill>
        <a:blip xmlns:r="http://schemas.openxmlformats.org/officeDocument/2006/relationships" r:embed="rId1" cstate="print"/>
        <a:stretch>
          <a:fillRect/>
        </a:stretch>
      </xdr:blipFill>
      <xdr:spPr>
        <a:xfrm>
          <a:off x="3800475" y="17002125"/>
          <a:ext cx="266700" cy="219075"/>
        </a:xfrm>
        <a:prstGeom prst="rect">
          <a:avLst/>
        </a:prstGeom>
      </xdr:spPr>
    </xdr:pic>
    <xdr:clientData/>
  </xdr:twoCellAnchor>
  <xdr:twoCellAnchor editAs="oneCell">
    <xdr:from>
      <xdr:col>1</xdr:col>
      <xdr:colOff>971550</xdr:colOff>
      <xdr:row>77</xdr:row>
      <xdr:rowOff>95250</xdr:rowOff>
    </xdr:from>
    <xdr:to>
      <xdr:col>7</xdr:col>
      <xdr:colOff>790575</xdr:colOff>
      <xdr:row>95</xdr:row>
      <xdr:rowOff>104775</xdr:rowOff>
    </xdr:to>
    <xdr:pic>
      <xdr:nvPicPr>
        <xdr:cNvPr id="4" name="Picture 3" descr="Loan amortization.BMP"/>
        <xdr:cNvPicPr>
          <a:picLocks noChangeAspect="1"/>
        </xdr:cNvPicPr>
      </xdr:nvPicPr>
      <xdr:blipFill>
        <a:blip xmlns:r="http://schemas.openxmlformats.org/officeDocument/2006/relationships" r:embed="rId2" cstate="print"/>
        <a:stretch>
          <a:fillRect/>
        </a:stretch>
      </xdr:blipFill>
      <xdr:spPr>
        <a:xfrm>
          <a:off x="1285875" y="18878550"/>
          <a:ext cx="5705475" cy="36099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15"/>
  <sheetViews>
    <sheetView topLeftCell="A96" workbookViewId="0">
      <selection activeCell="A96" sqref="A96"/>
    </sheetView>
  </sheetViews>
  <sheetFormatPr defaultRowHeight="12.75" x14ac:dyDescent="0.2"/>
  <cols>
    <col min="1" max="3" width="9.140625" style="87"/>
    <col min="4" max="4" width="42.5703125" style="87" customWidth="1"/>
    <col min="5" max="16384" width="9.140625" style="87"/>
  </cols>
  <sheetData>
    <row r="1" spans="1:29" x14ac:dyDescent="0.2">
      <c r="A1" s="17"/>
      <c r="B1" s="17"/>
      <c r="C1" s="17"/>
      <c r="D1" s="17"/>
      <c r="E1" s="17"/>
      <c r="F1" s="17"/>
      <c r="G1" s="17"/>
      <c r="H1" s="17"/>
      <c r="I1" s="17"/>
      <c r="J1" s="17"/>
      <c r="K1" s="17"/>
      <c r="L1" s="17"/>
      <c r="M1" s="86"/>
      <c r="N1" s="86"/>
      <c r="O1" s="86"/>
      <c r="P1" s="86"/>
      <c r="Q1" s="86"/>
      <c r="R1" s="86"/>
      <c r="S1" s="86"/>
      <c r="T1" s="86"/>
      <c r="U1" s="86"/>
      <c r="V1" s="86"/>
      <c r="W1" s="86"/>
      <c r="X1" s="86"/>
      <c r="Y1" s="86"/>
      <c r="Z1" s="86"/>
      <c r="AA1" s="86"/>
      <c r="AB1" s="86"/>
      <c r="AC1" s="86"/>
    </row>
    <row r="2" spans="1:29" x14ac:dyDescent="0.2">
      <c r="A2" s="17"/>
      <c r="B2" s="17"/>
      <c r="C2" s="17"/>
      <c r="D2" s="17"/>
      <c r="E2" s="17"/>
      <c r="F2" s="17"/>
      <c r="G2" s="17"/>
      <c r="H2" s="17"/>
      <c r="I2" s="17"/>
      <c r="J2" s="17"/>
      <c r="K2" s="17"/>
      <c r="L2" s="17"/>
      <c r="M2" s="86"/>
      <c r="N2" s="86"/>
      <c r="O2" s="86"/>
      <c r="P2" s="86"/>
      <c r="Q2" s="86"/>
      <c r="R2" s="86"/>
      <c r="S2" s="86"/>
      <c r="T2" s="86"/>
      <c r="U2" s="86"/>
      <c r="V2" s="86"/>
      <c r="W2" s="86"/>
      <c r="X2" s="86"/>
      <c r="Y2" s="86"/>
      <c r="Z2" s="86"/>
      <c r="AA2" s="86"/>
      <c r="AB2" s="86"/>
      <c r="AC2" s="86"/>
    </row>
    <row r="3" spans="1:29" ht="15.75" x14ac:dyDescent="0.25">
      <c r="A3" s="17"/>
      <c r="B3" s="17"/>
      <c r="C3" s="17"/>
      <c r="D3" s="18" t="s">
        <v>274</v>
      </c>
      <c r="E3" s="19"/>
      <c r="F3" s="19"/>
      <c r="G3" s="17"/>
      <c r="H3" s="17"/>
      <c r="I3" s="17"/>
      <c r="J3" s="17"/>
      <c r="K3" s="17"/>
      <c r="L3" s="17"/>
      <c r="M3" s="86"/>
      <c r="N3" s="86"/>
      <c r="O3" s="86"/>
      <c r="P3" s="86"/>
      <c r="Q3" s="86"/>
      <c r="R3" s="86"/>
      <c r="S3" s="86"/>
      <c r="T3" s="86"/>
      <c r="U3" s="86"/>
      <c r="V3" s="86"/>
      <c r="W3" s="86"/>
      <c r="X3" s="86"/>
      <c r="Y3" s="86"/>
      <c r="Z3" s="86"/>
      <c r="AA3" s="86"/>
      <c r="AB3" s="86"/>
      <c r="AC3" s="86"/>
    </row>
    <row r="4" spans="1:29" ht="15.75" x14ac:dyDescent="0.25">
      <c r="A4" s="17"/>
      <c r="B4" s="17"/>
      <c r="C4" s="17"/>
      <c r="D4" s="20" t="s">
        <v>278</v>
      </c>
      <c r="E4" s="19"/>
      <c r="F4" s="19"/>
      <c r="G4" s="17"/>
      <c r="H4" s="17"/>
      <c r="I4" s="17"/>
      <c r="J4" s="17"/>
      <c r="K4" s="17"/>
      <c r="L4" s="17"/>
      <c r="M4" s="86"/>
      <c r="N4" s="86"/>
      <c r="O4" s="86"/>
      <c r="P4" s="86"/>
      <c r="Q4" s="86"/>
      <c r="R4" s="86"/>
      <c r="S4" s="86"/>
      <c r="T4" s="86"/>
      <c r="U4" s="86"/>
      <c r="V4" s="86"/>
      <c r="W4" s="86"/>
      <c r="X4" s="86"/>
      <c r="Y4" s="86"/>
      <c r="Z4" s="86"/>
      <c r="AA4" s="86"/>
      <c r="AB4" s="86"/>
      <c r="AC4" s="86"/>
    </row>
    <row r="5" spans="1:29" ht="15.75" x14ac:dyDescent="0.25">
      <c r="A5" s="17"/>
      <c r="B5" s="17"/>
      <c r="C5" s="17"/>
      <c r="D5" s="18" t="s">
        <v>72</v>
      </c>
      <c r="E5" s="19"/>
      <c r="F5" s="19"/>
      <c r="G5" s="17"/>
      <c r="H5" s="17"/>
      <c r="I5" s="17"/>
      <c r="J5" s="17"/>
      <c r="K5" s="17"/>
      <c r="L5" s="17"/>
      <c r="M5" s="86"/>
      <c r="N5" s="86"/>
      <c r="O5" s="86"/>
      <c r="P5" s="86"/>
      <c r="Q5" s="86"/>
      <c r="R5" s="86"/>
      <c r="S5" s="86"/>
      <c r="T5" s="86"/>
      <c r="U5" s="86"/>
      <c r="V5" s="86"/>
      <c r="W5" s="86"/>
      <c r="X5" s="86"/>
      <c r="Y5" s="86"/>
      <c r="Z5" s="86"/>
      <c r="AA5" s="86"/>
      <c r="AB5" s="86"/>
      <c r="AC5" s="86"/>
    </row>
    <row r="6" spans="1:29" ht="15.75" x14ac:dyDescent="0.25">
      <c r="A6" s="17"/>
      <c r="B6" s="17"/>
      <c r="C6" s="17"/>
      <c r="D6" s="18" t="s">
        <v>275</v>
      </c>
      <c r="E6" s="19"/>
      <c r="F6" s="19"/>
      <c r="G6" s="17"/>
      <c r="H6" s="17"/>
      <c r="I6" s="17"/>
      <c r="J6" s="17"/>
      <c r="K6" s="17"/>
      <c r="L6" s="17"/>
      <c r="M6" s="86"/>
      <c r="N6" s="86"/>
      <c r="O6" s="86"/>
      <c r="P6" s="86"/>
      <c r="Q6" s="86"/>
      <c r="R6" s="86"/>
      <c r="S6" s="86"/>
      <c r="T6" s="86"/>
      <c r="U6" s="86"/>
      <c r="V6" s="86"/>
      <c r="W6" s="86"/>
      <c r="X6" s="86"/>
      <c r="Y6" s="86"/>
      <c r="Z6" s="86"/>
      <c r="AA6" s="86"/>
      <c r="AB6" s="86"/>
      <c r="AC6" s="86"/>
    </row>
    <row r="7" spans="1:29" x14ac:dyDescent="0.2">
      <c r="A7" s="17"/>
      <c r="B7" s="17"/>
      <c r="C7" s="17"/>
      <c r="D7" s="17"/>
      <c r="E7" s="17"/>
      <c r="F7" s="17"/>
      <c r="G7" s="17"/>
      <c r="H7" s="17"/>
      <c r="I7" s="17"/>
      <c r="J7" s="17"/>
      <c r="K7" s="17"/>
      <c r="L7" s="17"/>
      <c r="M7" s="86"/>
      <c r="N7" s="86"/>
      <c r="O7" s="86"/>
      <c r="P7" s="86"/>
      <c r="Q7" s="86"/>
      <c r="R7" s="86"/>
      <c r="S7" s="86"/>
      <c r="T7" s="86"/>
      <c r="U7" s="86"/>
      <c r="V7" s="86"/>
      <c r="W7" s="86"/>
      <c r="X7" s="86"/>
      <c r="Y7" s="86"/>
      <c r="Z7" s="86"/>
      <c r="AA7" s="86"/>
      <c r="AB7" s="86"/>
      <c r="AC7" s="86"/>
    </row>
    <row r="8" spans="1:29" ht="61.5" x14ac:dyDescent="0.9">
      <c r="A8" s="17"/>
      <c r="B8" s="17"/>
      <c r="C8" s="17"/>
      <c r="D8" s="21" t="s">
        <v>158</v>
      </c>
      <c r="E8" s="17"/>
      <c r="F8" s="22"/>
      <c r="G8" s="17"/>
      <c r="H8" s="17"/>
      <c r="I8" s="17"/>
      <c r="J8" s="17"/>
      <c r="K8" s="17"/>
      <c r="L8" s="17"/>
      <c r="M8" s="86"/>
      <c r="N8" s="86"/>
      <c r="O8" s="86"/>
      <c r="P8" s="86"/>
      <c r="Q8" s="86"/>
      <c r="R8" s="86"/>
      <c r="S8" s="86"/>
      <c r="T8" s="86"/>
      <c r="U8" s="86"/>
      <c r="V8" s="86"/>
      <c r="W8" s="86"/>
      <c r="X8" s="86"/>
      <c r="Y8" s="86"/>
      <c r="Z8" s="86"/>
      <c r="AA8" s="86"/>
      <c r="AB8" s="86"/>
      <c r="AC8" s="86"/>
    </row>
    <row r="9" spans="1:29" x14ac:dyDescent="0.2">
      <c r="A9" s="17"/>
      <c r="B9" s="17"/>
      <c r="C9" s="17"/>
      <c r="D9" s="17"/>
      <c r="E9" s="17"/>
      <c r="F9" s="17"/>
      <c r="G9" s="17"/>
      <c r="H9" s="17"/>
      <c r="I9" s="17"/>
      <c r="J9" s="17"/>
      <c r="K9" s="17"/>
      <c r="L9" s="17"/>
      <c r="M9" s="86"/>
      <c r="N9" s="86"/>
      <c r="O9" s="86"/>
      <c r="P9" s="86"/>
      <c r="Q9" s="86"/>
      <c r="R9" s="86"/>
      <c r="S9" s="86"/>
      <c r="T9" s="86"/>
      <c r="U9" s="86"/>
      <c r="V9" s="86"/>
      <c r="W9" s="86"/>
      <c r="X9" s="86"/>
      <c r="Y9" s="86"/>
      <c r="Z9" s="86"/>
      <c r="AA9" s="86"/>
      <c r="AB9" s="86"/>
      <c r="AC9" s="86"/>
    </row>
    <row r="10" spans="1:29" ht="18.75" x14ac:dyDescent="0.3">
      <c r="A10" s="17"/>
      <c r="B10" s="17"/>
      <c r="C10" s="17"/>
      <c r="D10" s="1" t="s">
        <v>13</v>
      </c>
      <c r="E10" s="1"/>
      <c r="F10" s="1"/>
      <c r="G10" s="1"/>
      <c r="H10" s="17"/>
      <c r="I10" s="17"/>
      <c r="J10" s="17"/>
      <c r="K10" s="17"/>
      <c r="L10" s="17"/>
      <c r="M10" s="86"/>
      <c r="N10" s="86"/>
      <c r="O10" s="86"/>
      <c r="P10" s="86"/>
      <c r="Q10" s="86"/>
      <c r="R10" s="86"/>
      <c r="S10" s="86"/>
      <c r="T10" s="86"/>
      <c r="U10" s="86"/>
      <c r="V10" s="86"/>
      <c r="W10" s="86"/>
      <c r="X10" s="86"/>
      <c r="Y10" s="86"/>
      <c r="Z10" s="86"/>
      <c r="AA10" s="86"/>
      <c r="AB10" s="86"/>
      <c r="AC10" s="86"/>
    </row>
    <row r="11" spans="1:29" ht="18.75" x14ac:dyDescent="0.3">
      <c r="A11" s="17"/>
      <c r="B11" s="17"/>
      <c r="C11" s="17"/>
      <c r="D11" s="1"/>
      <c r="E11" s="1"/>
      <c r="F11" s="1"/>
      <c r="G11" s="1"/>
      <c r="H11" s="17"/>
      <c r="I11" s="17"/>
      <c r="J11" s="17"/>
      <c r="K11" s="17"/>
      <c r="L11" s="17"/>
      <c r="M11" s="86"/>
      <c r="N11" s="86"/>
      <c r="O11" s="86"/>
      <c r="P11" s="86"/>
      <c r="Q11" s="86"/>
      <c r="R11" s="86"/>
      <c r="S11" s="86"/>
      <c r="T11" s="86"/>
      <c r="U11" s="86"/>
      <c r="V11" s="86"/>
      <c r="W11" s="86"/>
      <c r="X11" s="86"/>
      <c r="Y11" s="86"/>
      <c r="Z11" s="86"/>
      <c r="AA11" s="86"/>
      <c r="AB11" s="86"/>
      <c r="AC11" s="86"/>
    </row>
    <row r="12" spans="1:29" ht="23.45" customHeight="1" x14ac:dyDescent="0.3">
      <c r="A12" s="17"/>
      <c r="B12" s="17"/>
      <c r="C12" s="17"/>
      <c r="F12" s="1"/>
      <c r="G12" s="17"/>
      <c r="H12" s="17"/>
      <c r="I12" s="17"/>
      <c r="J12" s="17"/>
      <c r="K12" s="17"/>
      <c r="L12" s="86"/>
      <c r="M12" s="86"/>
      <c r="N12" s="86"/>
      <c r="O12" s="86"/>
      <c r="P12" s="86"/>
      <c r="Q12" s="86"/>
      <c r="R12" s="86"/>
      <c r="S12" s="86"/>
      <c r="T12" s="86"/>
      <c r="U12" s="86"/>
      <c r="V12" s="86"/>
      <c r="W12" s="86"/>
      <c r="X12" s="86"/>
      <c r="Y12" s="86"/>
      <c r="Z12" s="86"/>
      <c r="AA12" s="86"/>
      <c r="AB12" s="86"/>
    </row>
    <row r="13" spans="1:29" ht="23.45" customHeight="1" x14ac:dyDescent="0.3">
      <c r="A13" s="17"/>
      <c r="B13" s="17"/>
      <c r="C13" s="17"/>
      <c r="F13" s="1"/>
      <c r="G13" s="17"/>
      <c r="H13" s="17"/>
      <c r="I13" s="17"/>
      <c r="J13" s="17"/>
      <c r="K13" s="17"/>
      <c r="L13" s="86"/>
      <c r="M13" s="86"/>
      <c r="N13" s="86"/>
      <c r="O13" s="86"/>
      <c r="P13" s="86"/>
      <c r="Q13" s="86"/>
      <c r="R13" s="86"/>
      <c r="S13" s="86"/>
      <c r="T13" s="86"/>
      <c r="U13" s="86"/>
      <c r="V13" s="86"/>
      <c r="W13" s="86"/>
      <c r="X13" s="86"/>
      <c r="Y13" s="86"/>
      <c r="Z13" s="86"/>
      <c r="AA13" s="86"/>
      <c r="AB13" s="86"/>
    </row>
    <row r="14" spans="1:29" ht="23.45" customHeight="1" x14ac:dyDescent="0.3">
      <c r="A14" s="17"/>
      <c r="B14" s="17"/>
      <c r="C14" s="17"/>
      <c r="F14" s="1"/>
      <c r="G14" s="17"/>
      <c r="H14" s="17"/>
      <c r="I14" s="17"/>
      <c r="J14" s="17"/>
      <c r="K14" s="17"/>
      <c r="L14" s="86"/>
      <c r="M14" s="86"/>
      <c r="N14" s="86"/>
      <c r="O14" s="86"/>
      <c r="P14" s="86"/>
      <c r="Q14" s="86"/>
      <c r="R14" s="86"/>
      <c r="S14" s="86"/>
      <c r="T14" s="86"/>
      <c r="U14" s="86"/>
      <c r="V14" s="86"/>
      <c r="W14" s="86"/>
      <c r="X14" s="86"/>
      <c r="Y14" s="86"/>
      <c r="Z14" s="86"/>
      <c r="AA14" s="86"/>
      <c r="AB14" s="86"/>
    </row>
    <row r="15" spans="1:29" ht="23.45" customHeight="1" x14ac:dyDescent="0.3">
      <c r="A15" s="17"/>
      <c r="B15" s="17"/>
      <c r="C15" s="17"/>
      <c r="F15" s="1"/>
      <c r="G15" s="17"/>
      <c r="H15" s="17"/>
      <c r="I15" s="17"/>
      <c r="J15" s="17"/>
      <c r="K15" s="17"/>
      <c r="L15" s="86"/>
      <c r="M15" s="86"/>
      <c r="N15" s="86"/>
      <c r="O15" s="86"/>
      <c r="P15" s="86"/>
      <c r="Q15" s="86"/>
      <c r="R15" s="86"/>
      <c r="S15" s="86"/>
      <c r="T15" s="86"/>
      <c r="U15" s="86"/>
      <c r="V15" s="86"/>
      <c r="W15" s="86"/>
      <c r="X15" s="86"/>
      <c r="Y15" s="86"/>
      <c r="Z15" s="86"/>
      <c r="AA15" s="86"/>
      <c r="AB15" s="86"/>
    </row>
    <row r="16" spans="1:29" ht="23.45" customHeight="1" x14ac:dyDescent="0.3">
      <c r="A16" s="17"/>
      <c r="B16" s="17"/>
      <c r="C16" s="17"/>
      <c r="F16" s="1"/>
      <c r="G16" s="17"/>
      <c r="H16" s="17"/>
      <c r="I16" s="17"/>
      <c r="J16" s="17"/>
      <c r="K16" s="17"/>
      <c r="L16" s="86"/>
      <c r="M16" s="86"/>
      <c r="N16" s="86"/>
      <c r="O16" s="86"/>
      <c r="P16" s="86"/>
      <c r="Q16" s="86"/>
      <c r="R16" s="86"/>
      <c r="S16" s="86"/>
      <c r="T16" s="86"/>
      <c r="U16" s="86"/>
      <c r="V16" s="86"/>
      <c r="W16" s="86"/>
      <c r="X16" s="86"/>
      <c r="Y16" s="86"/>
      <c r="Z16" s="86"/>
      <c r="AA16" s="86"/>
      <c r="AB16" s="86"/>
    </row>
    <row r="17" spans="1:29" ht="23.45" customHeight="1" x14ac:dyDescent="0.3">
      <c r="A17" s="17"/>
      <c r="B17" s="17"/>
      <c r="C17" s="17"/>
      <c r="F17" s="1"/>
      <c r="G17" s="17"/>
      <c r="H17" s="17"/>
      <c r="I17" s="17"/>
      <c r="J17" s="17"/>
      <c r="K17" s="17"/>
      <c r="L17" s="86"/>
      <c r="M17" s="86"/>
      <c r="N17" s="86"/>
      <c r="O17" s="86"/>
      <c r="P17" s="86"/>
      <c r="Q17" s="86"/>
      <c r="R17" s="86"/>
      <c r="S17" s="86"/>
      <c r="T17" s="86"/>
      <c r="U17" s="86"/>
      <c r="V17" s="86"/>
      <c r="W17" s="86"/>
      <c r="X17" s="86"/>
      <c r="Y17" s="86"/>
      <c r="Z17" s="86"/>
      <c r="AA17" s="86"/>
      <c r="AB17" s="86"/>
    </row>
    <row r="18" spans="1:29" ht="23.45" customHeight="1" x14ac:dyDescent="0.3">
      <c r="A18" s="17"/>
      <c r="B18" s="17"/>
      <c r="C18" s="17"/>
      <c r="D18" s="1"/>
      <c r="E18" s="17"/>
      <c r="F18" s="17"/>
      <c r="G18" s="17"/>
      <c r="H18" s="17"/>
      <c r="I18" s="17"/>
      <c r="J18" s="17"/>
      <c r="K18" s="17"/>
      <c r="L18" s="17"/>
      <c r="M18" s="86"/>
      <c r="N18" s="86"/>
      <c r="O18" s="86"/>
      <c r="P18" s="86"/>
      <c r="Q18" s="86"/>
      <c r="R18" s="86"/>
      <c r="S18" s="86"/>
      <c r="T18" s="86"/>
      <c r="U18" s="86"/>
      <c r="V18" s="86"/>
      <c r="W18" s="86"/>
      <c r="X18" s="86"/>
      <c r="Y18" s="86"/>
      <c r="Z18" s="86"/>
      <c r="AA18" s="86"/>
      <c r="AB18" s="86"/>
      <c r="AC18" s="86"/>
    </row>
    <row r="19" spans="1:29" ht="23.45" customHeight="1" x14ac:dyDescent="0.3">
      <c r="A19" s="17"/>
      <c r="B19" s="17"/>
      <c r="C19" s="17"/>
      <c r="D19" s="1"/>
      <c r="E19" s="17"/>
      <c r="F19" s="17"/>
      <c r="G19" s="17"/>
      <c r="H19" s="17"/>
      <c r="I19" s="17"/>
      <c r="J19" s="17"/>
      <c r="K19" s="17"/>
      <c r="L19" s="17"/>
      <c r="M19" s="86"/>
      <c r="N19" s="86"/>
      <c r="O19" s="86"/>
      <c r="P19" s="86"/>
      <c r="Q19" s="86"/>
      <c r="R19" s="86"/>
      <c r="S19" s="86"/>
      <c r="T19" s="86"/>
      <c r="U19" s="86"/>
      <c r="V19" s="86"/>
      <c r="W19" s="86"/>
      <c r="X19" s="86"/>
      <c r="Y19" s="86"/>
      <c r="Z19" s="86"/>
      <c r="AA19" s="86"/>
      <c r="AB19" s="86"/>
      <c r="AC19" s="86"/>
    </row>
    <row r="20" spans="1:29" ht="23.45" customHeight="1" x14ac:dyDescent="0.3">
      <c r="A20" s="17"/>
      <c r="B20" s="17"/>
      <c r="C20" s="17"/>
      <c r="D20" s="1"/>
      <c r="E20" s="17"/>
      <c r="F20" s="17"/>
      <c r="G20" s="17"/>
      <c r="H20" s="17"/>
      <c r="I20" s="17"/>
      <c r="J20" s="17"/>
      <c r="K20" s="17"/>
      <c r="L20" s="17"/>
      <c r="M20" s="86"/>
      <c r="N20" s="86"/>
      <c r="O20" s="86"/>
      <c r="P20" s="86"/>
      <c r="Q20" s="86"/>
      <c r="R20" s="86"/>
      <c r="S20" s="86"/>
      <c r="T20" s="86"/>
      <c r="U20" s="86"/>
      <c r="V20" s="86"/>
      <c r="W20" s="86"/>
      <c r="X20" s="86"/>
      <c r="Y20" s="86"/>
      <c r="Z20" s="86"/>
      <c r="AA20" s="86"/>
      <c r="AB20" s="86"/>
      <c r="AC20" s="86"/>
    </row>
    <row r="21" spans="1:29" ht="23.45" customHeight="1" x14ac:dyDescent="0.3">
      <c r="A21" s="17"/>
      <c r="B21" s="17"/>
      <c r="C21" s="17"/>
      <c r="D21" s="1"/>
      <c r="E21" s="17"/>
      <c r="F21" s="17"/>
      <c r="G21" s="17"/>
      <c r="H21" s="17"/>
      <c r="I21" s="17"/>
      <c r="J21" s="17"/>
      <c r="K21" s="17"/>
      <c r="L21" s="17"/>
      <c r="M21" s="86"/>
      <c r="N21" s="86"/>
      <c r="O21" s="86"/>
      <c r="P21" s="86"/>
      <c r="Q21" s="86"/>
      <c r="R21" s="86"/>
      <c r="S21" s="86"/>
      <c r="T21" s="86"/>
      <c r="U21" s="86"/>
      <c r="V21" s="86"/>
      <c r="W21" s="86"/>
      <c r="X21" s="86"/>
      <c r="Y21" s="86"/>
      <c r="Z21" s="86"/>
      <c r="AA21" s="86"/>
      <c r="AB21" s="86"/>
      <c r="AC21" s="86"/>
    </row>
    <row r="22" spans="1:29" ht="23.45" customHeight="1" x14ac:dyDescent="0.3">
      <c r="A22" s="17"/>
      <c r="B22" s="17"/>
      <c r="C22" s="17"/>
      <c r="D22" s="1"/>
      <c r="E22" s="17"/>
      <c r="F22" s="17"/>
      <c r="G22" s="17"/>
      <c r="H22" s="17"/>
      <c r="I22" s="17"/>
      <c r="J22" s="17"/>
      <c r="K22" s="17"/>
      <c r="L22" s="17"/>
      <c r="M22" s="86"/>
      <c r="N22" s="86"/>
      <c r="O22" s="86"/>
      <c r="P22" s="86"/>
      <c r="Q22" s="86"/>
      <c r="R22" s="86"/>
      <c r="S22" s="86"/>
      <c r="T22" s="86"/>
      <c r="U22" s="86"/>
      <c r="V22" s="86"/>
      <c r="W22" s="86"/>
      <c r="X22" s="86"/>
      <c r="Y22" s="86"/>
      <c r="Z22" s="86"/>
      <c r="AA22" s="86"/>
      <c r="AB22" s="86"/>
      <c r="AC22" s="86"/>
    </row>
    <row r="23" spans="1:29" ht="23.45" customHeight="1" x14ac:dyDescent="0.3">
      <c r="A23" s="17"/>
      <c r="B23" s="17"/>
      <c r="C23" s="17"/>
      <c r="D23" s="1"/>
      <c r="E23" s="17"/>
      <c r="F23" s="17"/>
      <c r="G23" s="17"/>
      <c r="H23" s="17"/>
      <c r="I23" s="17"/>
      <c r="J23" s="17"/>
      <c r="K23" s="17"/>
      <c r="L23" s="17"/>
      <c r="M23" s="86"/>
      <c r="N23" s="86"/>
      <c r="O23" s="86"/>
      <c r="P23" s="86"/>
      <c r="Q23" s="86"/>
      <c r="R23" s="86"/>
      <c r="S23" s="86"/>
      <c r="T23" s="86"/>
      <c r="U23" s="86"/>
      <c r="V23" s="86"/>
      <c r="W23" s="86"/>
      <c r="X23" s="86"/>
      <c r="Y23" s="86"/>
      <c r="Z23" s="86"/>
      <c r="AA23" s="86"/>
      <c r="AB23" s="86"/>
      <c r="AC23" s="86"/>
    </row>
    <row r="24" spans="1:29" ht="23.45" customHeight="1" x14ac:dyDescent="0.3">
      <c r="A24" s="17"/>
      <c r="B24" s="17"/>
      <c r="C24" s="17"/>
      <c r="D24" s="1"/>
      <c r="E24" s="17"/>
      <c r="F24" s="17"/>
      <c r="G24" s="17"/>
      <c r="H24" s="17"/>
      <c r="I24" s="17"/>
      <c r="J24" s="17"/>
      <c r="K24" s="17"/>
      <c r="L24" s="17"/>
      <c r="M24" s="86"/>
      <c r="N24" s="86"/>
      <c r="O24" s="86"/>
      <c r="P24" s="86"/>
      <c r="Q24" s="86"/>
      <c r="R24" s="86"/>
      <c r="S24" s="86"/>
      <c r="T24" s="86"/>
      <c r="U24" s="86"/>
      <c r="V24" s="86"/>
      <c r="W24" s="86"/>
      <c r="X24" s="86"/>
      <c r="Y24" s="86"/>
      <c r="Z24" s="86"/>
      <c r="AA24" s="86"/>
      <c r="AB24" s="86"/>
      <c r="AC24" s="86"/>
    </row>
    <row r="25" spans="1:29" ht="23.45" customHeight="1" x14ac:dyDescent="0.3">
      <c r="A25" s="17"/>
      <c r="B25" s="17"/>
      <c r="C25" s="17"/>
      <c r="D25" s="1"/>
      <c r="E25" s="17"/>
      <c r="F25" s="17"/>
      <c r="G25" s="17"/>
      <c r="H25" s="17"/>
      <c r="I25" s="17"/>
      <c r="J25" s="17"/>
      <c r="K25" s="17"/>
      <c r="L25" s="17"/>
      <c r="M25" s="86"/>
      <c r="N25" s="86"/>
      <c r="O25" s="86"/>
      <c r="P25" s="86"/>
      <c r="Q25" s="86"/>
      <c r="R25" s="86"/>
      <c r="S25" s="86"/>
      <c r="T25" s="86"/>
      <c r="U25" s="86"/>
      <c r="V25" s="86"/>
      <c r="W25" s="86"/>
      <c r="X25" s="86"/>
      <c r="Y25" s="86"/>
      <c r="Z25" s="86"/>
      <c r="AA25" s="86"/>
      <c r="AB25" s="86"/>
      <c r="AC25" s="86"/>
    </row>
    <row r="26" spans="1:29" ht="23.45" customHeight="1" x14ac:dyDescent="0.3">
      <c r="A26" s="17"/>
      <c r="B26" s="17"/>
      <c r="C26" s="17"/>
      <c r="D26" s="1"/>
      <c r="E26" s="17"/>
      <c r="F26" s="17"/>
      <c r="G26" s="17"/>
      <c r="H26" s="17"/>
      <c r="I26" s="17"/>
      <c r="J26" s="17"/>
      <c r="K26" s="17"/>
      <c r="L26" s="17"/>
      <c r="M26" s="86"/>
      <c r="N26" s="86"/>
      <c r="O26" s="86"/>
      <c r="P26" s="86"/>
      <c r="Q26" s="86"/>
      <c r="R26" s="86"/>
      <c r="S26" s="86"/>
      <c r="T26" s="86"/>
      <c r="U26" s="86"/>
      <c r="V26" s="86"/>
      <c r="W26" s="86"/>
      <c r="X26" s="86"/>
      <c r="Y26" s="86"/>
      <c r="Z26" s="86"/>
      <c r="AA26" s="86"/>
      <c r="AB26" s="86"/>
      <c r="AC26" s="86"/>
    </row>
    <row r="27" spans="1:29" ht="23.45" customHeight="1" x14ac:dyDescent="0.3">
      <c r="A27" s="17"/>
      <c r="B27" s="17"/>
      <c r="C27" s="17"/>
      <c r="D27" s="1"/>
      <c r="E27" s="17"/>
      <c r="F27" s="17"/>
      <c r="G27" s="17"/>
      <c r="H27" s="17"/>
      <c r="I27" s="17"/>
      <c r="J27" s="17"/>
      <c r="K27" s="17"/>
      <c r="L27" s="17"/>
      <c r="M27" s="86"/>
      <c r="N27" s="86"/>
      <c r="O27" s="86"/>
      <c r="P27" s="86"/>
      <c r="Q27" s="86"/>
      <c r="R27" s="86"/>
      <c r="S27" s="86"/>
      <c r="T27" s="86"/>
      <c r="U27" s="86"/>
      <c r="V27" s="86"/>
      <c r="W27" s="86"/>
      <c r="X27" s="86"/>
      <c r="Y27" s="86"/>
      <c r="Z27" s="86"/>
      <c r="AA27" s="86"/>
      <c r="AB27" s="86"/>
      <c r="AC27" s="86"/>
    </row>
    <row r="28" spans="1:29" ht="23.45" customHeight="1" x14ac:dyDescent="0.3">
      <c r="A28" s="17"/>
      <c r="B28" s="17"/>
      <c r="C28" s="17"/>
      <c r="D28" s="1"/>
      <c r="E28" s="17"/>
      <c r="F28" s="17"/>
      <c r="G28" s="17"/>
      <c r="H28" s="17"/>
      <c r="I28" s="17"/>
      <c r="J28" s="17"/>
      <c r="K28" s="17"/>
      <c r="L28" s="17"/>
      <c r="M28" s="86"/>
      <c r="N28" s="86"/>
      <c r="O28" s="86"/>
      <c r="P28" s="86"/>
      <c r="Q28" s="86"/>
      <c r="R28" s="86"/>
      <c r="S28" s="86"/>
      <c r="T28" s="86"/>
      <c r="U28" s="86"/>
      <c r="V28" s="86"/>
      <c r="W28" s="86"/>
      <c r="X28" s="86"/>
      <c r="Y28" s="86"/>
      <c r="Z28" s="86"/>
      <c r="AA28" s="86"/>
      <c r="AB28" s="86"/>
      <c r="AC28" s="86"/>
    </row>
    <row r="29" spans="1:29" ht="18.75" x14ac:dyDescent="0.3">
      <c r="A29" s="17"/>
      <c r="B29" s="17"/>
      <c r="C29" s="17"/>
      <c r="D29" s="1"/>
      <c r="E29" s="17"/>
      <c r="F29" s="17"/>
      <c r="G29" s="17"/>
      <c r="H29" s="17"/>
      <c r="I29" s="17"/>
      <c r="J29" s="17"/>
      <c r="K29" s="17"/>
      <c r="L29" s="17"/>
      <c r="M29" s="86"/>
      <c r="N29" s="86"/>
      <c r="O29" s="86"/>
      <c r="P29" s="86"/>
      <c r="Q29" s="86"/>
      <c r="R29" s="86"/>
      <c r="S29" s="86"/>
      <c r="T29" s="86"/>
      <c r="U29" s="86"/>
      <c r="V29" s="86"/>
      <c r="W29" s="86"/>
      <c r="X29" s="86"/>
      <c r="Y29" s="86"/>
      <c r="Z29" s="86"/>
      <c r="AA29" s="86"/>
      <c r="AB29" s="86"/>
      <c r="AC29" s="86"/>
    </row>
    <row r="30" spans="1:29" ht="18.75" x14ac:dyDescent="0.3">
      <c r="A30" s="17"/>
      <c r="B30" s="17"/>
      <c r="C30" s="17"/>
      <c r="D30" s="1"/>
      <c r="E30" s="17"/>
      <c r="F30" s="17"/>
      <c r="G30" s="17"/>
      <c r="H30" s="17"/>
      <c r="I30" s="17"/>
      <c r="J30" s="17"/>
      <c r="K30" s="17"/>
      <c r="L30" s="17"/>
      <c r="M30" s="86"/>
      <c r="N30" s="86"/>
      <c r="O30" s="86"/>
      <c r="P30" s="86"/>
      <c r="Q30" s="86"/>
      <c r="R30" s="86"/>
      <c r="S30" s="86"/>
      <c r="T30" s="86"/>
      <c r="U30" s="86"/>
      <c r="V30" s="86"/>
      <c r="W30" s="86"/>
      <c r="X30" s="86"/>
      <c r="Y30" s="86"/>
      <c r="Z30" s="86"/>
      <c r="AA30" s="86"/>
      <c r="AB30" s="86"/>
      <c r="AC30" s="86"/>
    </row>
    <row r="31" spans="1:29" ht="18.75" x14ac:dyDescent="0.3">
      <c r="A31" s="17"/>
      <c r="B31" s="17"/>
      <c r="C31" s="17"/>
      <c r="D31" s="1" t="s">
        <v>14</v>
      </c>
      <c r="E31" s="17"/>
      <c r="F31" s="17"/>
      <c r="G31" s="17"/>
      <c r="H31" s="17"/>
      <c r="I31" s="17"/>
      <c r="J31" s="17"/>
      <c r="K31" s="17"/>
      <c r="L31" s="17"/>
      <c r="M31" s="86"/>
      <c r="N31" s="86"/>
      <c r="O31" s="86"/>
      <c r="P31" s="86"/>
      <c r="Q31" s="86"/>
      <c r="R31" s="86"/>
      <c r="S31" s="86"/>
      <c r="T31" s="86"/>
      <c r="U31" s="86"/>
      <c r="V31" s="86"/>
      <c r="W31" s="86"/>
      <c r="X31" s="86"/>
      <c r="Y31" s="86"/>
      <c r="Z31" s="86"/>
      <c r="AA31" s="86"/>
      <c r="AB31" s="86"/>
      <c r="AC31" s="86"/>
    </row>
    <row r="32" spans="1:29" ht="18.75" x14ac:dyDescent="0.3">
      <c r="A32" s="17"/>
      <c r="B32" s="17"/>
      <c r="C32" s="17"/>
      <c r="D32" s="1"/>
      <c r="E32" s="17"/>
      <c r="F32" s="17"/>
      <c r="G32" s="17"/>
      <c r="H32" s="17"/>
      <c r="I32" s="17"/>
      <c r="J32" s="17"/>
      <c r="K32" s="17"/>
      <c r="L32" s="17"/>
      <c r="M32" s="86"/>
      <c r="N32" s="86"/>
      <c r="O32" s="86"/>
      <c r="P32" s="86"/>
      <c r="Q32" s="86"/>
      <c r="R32" s="86"/>
      <c r="S32" s="86"/>
      <c r="T32" s="86"/>
      <c r="U32" s="86"/>
      <c r="V32" s="86"/>
      <c r="W32" s="86"/>
      <c r="X32" s="86"/>
      <c r="Y32" s="86"/>
      <c r="Z32" s="86"/>
      <c r="AA32" s="86"/>
      <c r="AB32" s="86"/>
      <c r="AC32" s="86"/>
    </row>
    <row r="33" spans="1:29" ht="18.75" x14ac:dyDescent="0.3">
      <c r="A33" s="17"/>
      <c r="B33" s="17"/>
      <c r="C33" s="17"/>
      <c r="D33" s="23" t="s">
        <v>15</v>
      </c>
      <c r="E33" s="17"/>
      <c r="F33" s="17"/>
      <c r="G33" s="17"/>
      <c r="H33" s="17"/>
      <c r="I33" s="17"/>
      <c r="J33" s="17"/>
      <c r="K33" s="17"/>
      <c r="L33" s="17"/>
      <c r="M33" s="86"/>
      <c r="N33" s="86"/>
      <c r="O33" s="86"/>
      <c r="P33" s="86"/>
      <c r="Q33" s="86"/>
      <c r="R33" s="86"/>
      <c r="S33" s="86"/>
      <c r="T33" s="86"/>
      <c r="U33" s="86"/>
      <c r="V33" s="86"/>
      <c r="W33" s="86"/>
      <c r="X33" s="86"/>
      <c r="Y33" s="86"/>
      <c r="Z33" s="86"/>
      <c r="AA33" s="86"/>
      <c r="AB33" s="86"/>
      <c r="AC33" s="86"/>
    </row>
    <row r="34" spans="1:29" ht="18.75" x14ac:dyDescent="0.3">
      <c r="A34" s="17"/>
      <c r="B34" s="17"/>
      <c r="C34" s="17"/>
      <c r="D34" s="24" t="s">
        <v>16</v>
      </c>
      <c r="E34" s="17"/>
      <c r="F34" s="17"/>
      <c r="G34" s="17"/>
      <c r="H34" s="17"/>
      <c r="I34" s="17"/>
      <c r="J34" s="17"/>
      <c r="K34" s="17"/>
      <c r="L34" s="17"/>
      <c r="M34" s="86"/>
      <c r="N34" s="86"/>
      <c r="O34" s="86"/>
      <c r="P34" s="86"/>
      <c r="Q34" s="86"/>
      <c r="R34" s="86"/>
      <c r="S34" s="86"/>
      <c r="T34" s="86"/>
      <c r="U34" s="86"/>
      <c r="V34" s="86"/>
      <c r="W34" s="86"/>
      <c r="X34" s="86"/>
      <c r="Y34" s="86"/>
      <c r="Z34" s="86"/>
      <c r="AA34" s="86"/>
      <c r="AB34" s="86"/>
      <c r="AC34" s="86"/>
    </row>
    <row r="35" spans="1:29" ht="15.75" x14ac:dyDescent="0.25">
      <c r="A35" s="17"/>
      <c r="B35" s="17"/>
      <c r="C35" s="17"/>
      <c r="D35" s="25"/>
      <c r="E35" s="17"/>
      <c r="F35" s="17"/>
      <c r="G35" s="17"/>
      <c r="H35" s="17"/>
      <c r="I35" s="17"/>
      <c r="J35" s="17"/>
      <c r="K35" s="17"/>
      <c r="L35" s="17"/>
      <c r="M35" s="86"/>
      <c r="N35" s="86"/>
      <c r="O35" s="86"/>
      <c r="P35" s="86"/>
      <c r="Q35" s="86"/>
      <c r="R35" s="86"/>
      <c r="S35" s="86"/>
      <c r="T35" s="86"/>
      <c r="U35" s="86"/>
      <c r="V35" s="86"/>
      <c r="W35" s="86"/>
      <c r="X35" s="86"/>
      <c r="Y35" s="86"/>
      <c r="Z35" s="86"/>
      <c r="AA35" s="86"/>
      <c r="AB35" s="86"/>
      <c r="AC35" s="86"/>
    </row>
    <row r="36" spans="1:29" ht="15.75" x14ac:dyDescent="0.25">
      <c r="A36" s="17"/>
      <c r="B36" s="17"/>
      <c r="C36" s="17"/>
      <c r="D36" s="26" t="s">
        <v>0</v>
      </c>
      <c r="E36" s="17"/>
      <c r="F36" s="17"/>
      <c r="G36" s="17"/>
      <c r="H36" s="17"/>
      <c r="I36" s="17"/>
      <c r="J36" s="17"/>
      <c r="K36" s="17"/>
      <c r="L36" s="17"/>
      <c r="M36" s="86"/>
      <c r="N36" s="86"/>
      <c r="O36" s="86"/>
      <c r="P36" s="86"/>
      <c r="Q36" s="86"/>
      <c r="R36" s="86"/>
      <c r="S36" s="86"/>
      <c r="T36" s="86"/>
      <c r="U36" s="86"/>
      <c r="V36" s="86"/>
      <c r="W36" s="86"/>
      <c r="X36" s="86"/>
      <c r="Y36" s="86"/>
      <c r="Z36" s="86"/>
      <c r="AA36" s="86"/>
      <c r="AB36" s="86"/>
      <c r="AC36" s="86"/>
    </row>
    <row r="37" spans="1:29" ht="15.75" x14ac:dyDescent="0.25">
      <c r="A37" s="17"/>
      <c r="B37" s="17"/>
      <c r="C37" s="17"/>
      <c r="D37" s="26" t="s">
        <v>17</v>
      </c>
      <c r="E37" s="17"/>
      <c r="F37" s="17"/>
      <c r="G37" s="17"/>
      <c r="H37" s="17"/>
      <c r="I37" s="17"/>
      <c r="J37" s="17"/>
      <c r="K37" s="17"/>
      <c r="L37" s="17"/>
      <c r="M37" s="86"/>
      <c r="N37" s="86"/>
      <c r="O37" s="86"/>
      <c r="P37" s="86"/>
      <c r="Q37" s="86"/>
      <c r="R37" s="86"/>
      <c r="S37" s="86"/>
      <c r="T37" s="86"/>
      <c r="U37" s="86"/>
      <c r="V37" s="86"/>
      <c r="W37" s="86"/>
      <c r="X37" s="86"/>
      <c r="Y37" s="86"/>
      <c r="Z37" s="86"/>
      <c r="AA37" s="86"/>
      <c r="AB37" s="86"/>
      <c r="AC37" s="86"/>
    </row>
    <row r="38" spans="1:29" ht="15.75" x14ac:dyDescent="0.25">
      <c r="A38" s="17"/>
      <c r="B38" s="17"/>
      <c r="C38" s="17"/>
      <c r="D38" s="26" t="s">
        <v>279</v>
      </c>
      <c r="E38" s="17"/>
      <c r="F38" s="17"/>
      <c r="G38" s="17"/>
      <c r="H38" s="17"/>
      <c r="I38" s="17"/>
      <c r="J38" s="17"/>
      <c r="K38" s="17"/>
      <c r="L38" s="17"/>
      <c r="M38" s="86"/>
      <c r="N38" s="86"/>
      <c r="O38" s="86"/>
      <c r="P38" s="86"/>
      <c r="Q38" s="86"/>
      <c r="R38" s="86"/>
      <c r="S38" s="86"/>
      <c r="T38" s="86"/>
      <c r="U38" s="86"/>
      <c r="V38" s="86"/>
      <c r="W38" s="86"/>
      <c r="X38" s="86"/>
      <c r="Y38" s="86"/>
      <c r="Z38" s="86"/>
      <c r="AA38" s="86"/>
      <c r="AB38" s="86"/>
      <c r="AC38" s="86"/>
    </row>
    <row r="39" spans="1:29" ht="15.75" x14ac:dyDescent="0.25">
      <c r="A39" s="17"/>
      <c r="B39" s="17"/>
      <c r="C39" s="17"/>
      <c r="D39" s="26" t="s">
        <v>18</v>
      </c>
      <c r="E39" s="17"/>
      <c r="F39" s="17"/>
      <c r="G39" s="17"/>
      <c r="H39" s="17"/>
      <c r="I39" s="17"/>
      <c r="J39" s="17"/>
      <c r="K39" s="17"/>
      <c r="L39" s="17"/>
      <c r="M39" s="86"/>
      <c r="N39" s="86"/>
      <c r="O39" s="86"/>
      <c r="P39" s="86"/>
      <c r="Q39" s="86"/>
      <c r="R39" s="86"/>
      <c r="S39" s="86"/>
      <c r="T39" s="86"/>
      <c r="U39" s="86"/>
      <c r="V39" s="86"/>
      <c r="W39" s="86"/>
      <c r="X39" s="86"/>
      <c r="Y39" s="86"/>
      <c r="Z39" s="86"/>
      <c r="AA39" s="86"/>
      <c r="AB39" s="86"/>
      <c r="AC39" s="86"/>
    </row>
    <row r="40" spans="1:29" ht="15.75" x14ac:dyDescent="0.25">
      <c r="A40" s="17"/>
      <c r="B40" s="17"/>
      <c r="C40" s="17"/>
      <c r="D40" s="27" t="s">
        <v>60</v>
      </c>
      <c r="E40" s="17"/>
      <c r="F40" s="17"/>
      <c r="G40" s="17"/>
      <c r="H40" s="17"/>
      <c r="I40" s="17"/>
      <c r="J40" s="17"/>
      <c r="K40" s="17"/>
      <c r="L40" s="17"/>
      <c r="M40" s="86"/>
      <c r="N40" s="86"/>
      <c r="O40" s="86"/>
      <c r="P40" s="86"/>
      <c r="Q40" s="86"/>
      <c r="R40" s="86"/>
      <c r="S40" s="86"/>
      <c r="T40" s="86"/>
      <c r="U40" s="86"/>
      <c r="V40" s="86"/>
      <c r="W40" s="86"/>
      <c r="X40" s="86"/>
      <c r="Y40" s="86"/>
      <c r="Z40" s="86"/>
      <c r="AA40" s="86"/>
      <c r="AB40" s="86"/>
      <c r="AC40" s="86"/>
    </row>
    <row r="41" spans="1:29" ht="15.75" x14ac:dyDescent="0.25">
      <c r="A41" s="17"/>
      <c r="B41" s="17"/>
      <c r="C41" s="17"/>
      <c r="D41" s="27" t="s">
        <v>19</v>
      </c>
      <c r="E41" s="17"/>
      <c r="F41" s="17"/>
      <c r="G41" s="17"/>
      <c r="H41" s="17"/>
      <c r="I41" s="17"/>
      <c r="J41" s="17"/>
      <c r="K41" s="17"/>
      <c r="L41" s="17"/>
      <c r="M41" s="86"/>
      <c r="N41" s="86"/>
      <c r="O41" s="86"/>
      <c r="P41" s="86"/>
      <c r="Q41" s="86"/>
      <c r="R41" s="86"/>
      <c r="S41" s="86"/>
      <c r="T41" s="86"/>
      <c r="U41" s="86"/>
      <c r="V41" s="86"/>
      <c r="W41" s="86"/>
      <c r="X41" s="86"/>
      <c r="Y41" s="86"/>
      <c r="Z41" s="86"/>
      <c r="AA41" s="86"/>
      <c r="AB41" s="86"/>
      <c r="AC41" s="86"/>
    </row>
    <row r="42" spans="1:29" x14ac:dyDescent="0.2">
      <c r="A42" s="17"/>
      <c r="B42" s="17"/>
      <c r="C42" s="17"/>
      <c r="D42" s="17"/>
      <c r="E42" s="17"/>
      <c r="F42" s="17"/>
      <c r="G42" s="17"/>
      <c r="H42" s="17"/>
      <c r="I42" s="17"/>
      <c r="J42" s="17"/>
      <c r="K42" s="17"/>
      <c r="L42" s="17"/>
      <c r="M42" s="86"/>
      <c r="N42" s="86"/>
      <c r="O42" s="86"/>
      <c r="P42" s="86"/>
      <c r="Q42" s="86"/>
      <c r="R42" s="86"/>
      <c r="S42" s="86"/>
      <c r="T42" s="86"/>
      <c r="U42" s="86"/>
      <c r="V42" s="86"/>
      <c r="W42" s="86"/>
      <c r="X42" s="86"/>
      <c r="Y42" s="86"/>
      <c r="Z42" s="86"/>
      <c r="AA42" s="86"/>
      <c r="AB42" s="86"/>
      <c r="AC42" s="86"/>
    </row>
    <row r="43" spans="1:29" x14ac:dyDescent="0.2">
      <c r="A43" s="17"/>
      <c r="B43" s="17"/>
      <c r="C43" s="17"/>
      <c r="D43" s="17"/>
      <c r="E43" s="17"/>
      <c r="F43" s="17"/>
      <c r="G43" s="17"/>
      <c r="H43" s="17"/>
      <c r="I43" s="17"/>
      <c r="J43" s="17"/>
      <c r="K43" s="17"/>
      <c r="L43" s="17"/>
      <c r="M43" s="86"/>
      <c r="N43" s="86"/>
      <c r="O43" s="86"/>
      <c r="P43" s="86"/>
      <c r="Q43" s="86"/>
      <c r="R43" s="86"/>
      <c r="S43" s="86"/>
      <c r="T43" s="86"/>
      <c r="U43" s="86"/>
      <c r="V43" s="86"/>
      <c r="W43" s="86"/>
      <c r="X43" s="86"/>
      <c r="Y43" s="86"/>
      <c r="Z43" s="86"/>
      <c r="AA43" s="86"/>
      <c r="AB43" s="86"/>
      <c r="AC43" s="86"/>
    </row>
    <row r="44" spans="1:29" x14ac:dyDescent="0.2">
      <c r="A44" s="17"/>
      <c r="B44" s="17"/>
      <c r="C44" s="17"/>
      <c r="D44" s="17"/>
      <c r="E44" s="17"/>
      <c r="F44" s="17"/>
      <c r="G44" s="17"/>
      <c r="H44" s="17"/>
      <c r="I44" s="17"/>
      <c r="J44" s="17"/>
      <c r="K44" s="17"/>
      <c r="L44" s="17"/>
      <c r="M44" s="86"/>
      <c r="N44" s="86"/>
      <c r="O44" s="86"/>
      <c r="P44" s="86"/>
      <c r="Q44" s="86"/>
      <c r="R44" s="86"/>
      <c r="S44" s="86"/>
      <c r="T44" s="86"/>
      <c r="U44" s="86"/>
      <c r="V44" s="86"/>
      <c r="W44" s="86"/>
      <c r="X44" s="86"/>
      <c r="Y44" s="86"/>
      <c r="Z44" s="86"/>
      <c r="AA44" s="86"/>
      <c r="AB44" s="86"/>
      <c r="AC44" s="86"/>
    </row>
    <row r="45" spans="1:29" x14ac:dyDescent="0.2">
      <c r="A45" s="17"/>
      <c r="B45" s="17"/>
      <c r="C45" s="17"/>
      <c r="D45" s="17"/>
      <c r="E45" s="17"/>
      <c r="F45" s="17"/>
      <c r="G45" s="17"/>
      <c r="H45" s="17"/>
      <c r="I45" s="17"/>
      <c r="J45" s="17"/>
      <c r="K45" s="17"/>
      <c r="L45" s="17"/>
      <c r="M45" s="86"/>
      <c r="N45" s="86"/>
      <c r="O45" s="86"/>
      <c r="P45" s="86"/>
      <c r="Q45" s="86"/>
      <c r="R45" s="86"/>
      <c r="S45" s="86"/>
      <c r="T45" s="86"/>
      <c r="U45" s="86"/>
      <c r="V45" s="86"/>
      <c r="W45" s="86"/>
      <c r="X45" s="86"/>
      <c r="Y45" s="86"/>
      <c r="Z45" s="86"/>
      <c r="AA45" s="86"/>
      <c r="AB45" s="86"/>
      <c r="AC45" s="86"/>
    </row>
    <row r="46" spans="1:29" x14ac:dyDescent="0.2">
      <c r="A46" s="17"/>
      <c r="B46" s="17"/>
      <c r="C46" s="17"/>
      <c r="D46" s="17"/>
      <c r="E46" s="17"/>
      <c r="F46" s="17"/>
      <c r="G46" s="17"/>
      <c r="H46" s="17"/>
      <c r="I46" s="17"/>
      <c r="J46" s="17"/>
      <c r="K46" s="17"/>
      <c r="L46" s="17"/>
      <c r="M46" s="86"/>
      <c r="N46" s="86"/>
      <c r="O46" s="86"/>
      <c r="P46" s="86"/>
      <c r="Q46" s="86"/>
      <c r="R46" s="86"/>
      <c r="S46" s="86"/>
      <c r="T46" s="86"/>
      <c r="U46" s="86"/>
      <c r="V46" s="86"/>
      <c r="W46" s="86"/>
      <c r="X46" s="86"/>
      <c r="Y46" s="86"/>
      <c r="Z46" s="86"/>
      <c r="AA46" s="86"/>
      <c r="AB46" s="86"/>
      <c r="AC46" s="86"/>
    </row>
    <row r="47" spans="1:29" x14ac:dyDescent="0.2">
      <c r="A47" s="17"/>
      <c r="B47" s="17"/>
      <c r="C47" s="17"/>
      <c r="D47" s="17"/>
      <c r="E47" s="17"/>
      <c r="F47" s="17"/>
      <c r="G47" s="17"/>
      <c r="H47" s="17"/>
      <c r="I47" s="17"/>
      <c r="J47" s="17"/>
      <c r="K47" s="17"/>
      <c r="L47" s="17"/>
      <c r="M47" s="86"/>
      <c r="N47" s="86"/>
      <c r="O47" s="86"/>
      <c r="P47" s="86"/>
      <c r="Q47" s="86"/>
      <c r="R47" s="86"/>
      <c r="S47" s="86"/>
      <c r="T47" s="86"/>
      <c r="U47" s="86"/>
      <c r="V47" s="86"/>
      <c r="W47" s="86"/>
      <c r="X47" s="86"/>
      <c r="Y47" s="86"/>
      <c r="Z47" s="86"/>
      <c r="AA47" s="86"/>
      <c r="AB47" s="86"/>
      <c r="AC47" s="86"/>
    </row>
    <row r="48" spans="1:29" x14ac:dyDescent="0.2">
      <c r="A48" s="17"/>
      <c r="B48" s="17"/>
      <c r="C48" s="17"/>
      <c r="D48" s="17"/>
      <c r="E48" s="17"/>
      <c r="F48" s="17"/>
      <c r="G48" s="17"/>
      <c r="H48" s="17"/>
      <c r="I48" s="17"/>
      <c r="J48" s="17"/>
      <c r="K48" s="17"/>
      <c r="L48" s="17"/>
      <c r="M48" s="86"/>
      <c r="N48" s="86"/>
      <c r="O48" s="86"/>
      <c r="P48" s="86"/>
      <c r="Q48" s="86"/>
      <c r="R48" s="86"/>
      <c r="S48" s="86"/>
      <c r="T48" s="86"/>
      <c r="U48" s="86"/>
      <c r="V48" s="86"/>
      <c r="W48" s="86"/>
      <c r="X48" s="86"/>
      <c r="Y48" s="86"/>
      <c r="Z48" s="86"/>
      <c r="AA48" s="86"/>
      <c r="AB48" s="86"/>
      <c r="AC48" s="86"/>
    </row>
    <row r="49" spans="1:29" x14ac:dyDescent="0.2">
      <c r="A49" s="17"/>
      <c r="B49" s="17"/>
      <c r="C49" s="17"/>
      <c r="D49" s="17"/>
      <c r="E49" s="17"/>
      <c r="F49" s="17"/>
      <c r="G49" s="17"/>
      <c r="H49" s="17"/>
      <c r="I49" s="17"/>
      <c r="J49" s="17"/>
      <c r="K49" s="17"/>
      <c r="L49" s="17"/>
      <c r="M49" s="86"/>
      <c r="N49" s="86"/>
      <c r="O49" s="86"/>
      <c r="P49" s="86"/>
      <c r="Q49" s="86"/>
      <c r="R49" s="86"/>
      <c r="S49" s="86"/>
      <c r="T49" s="86"/>
      <c r="U49" s="86"/>
      <c r="V49" s="86"/>
      <c r="W49" s="86"/>
      <c r="X49" s="86"/>
      <c r="Y49" s="86"/>
      <c r="Z49" s="86"/>
      <c r="AA49" s="86"/>
      <c r="AB49" s="86"/>
      <c r="AC49" s="86"/>
    </row>
    <row r="50" spans="1:29" x14ac:dyDescent="0.2">
      <c r="A50" s="28"/>
      <c r="B50" s="28"/>
      <c r="C50" s="28"/>
      <c r="D50" s="28"/>
      <c r="E50" s="28"/>
      <c r="F50" s="28"/>
      <c r="G50" s="28"/>
      <c r="H50" s="28"/>
      <c r="I50" s="28"/>
      <c r="J50" s="28"/>
      <c r="K50" s="28"/>
      <c r="L50" s="28"/>
    </row>
    <row r="51" spans="1:29" x14ac:dyDescent="0.2">
      <c r="A51" s="28"/>
      <c r="B51" s="28"/>
      <c r="C51" s="28"/>
      <c r="D51" s="28"/>
      <c r="E51" s="28"/>
      <c r="F51" s="28"/>
      <c r="G51" s="28"/>
      <c r="H51" s="28"/>
      <c r="I51" s="28"/>
      <c r="J51" s="28"/>
      <c r="K51" s="28"/>
      <c r="L51" s="28"/>
    </row>
    <row r="52" spans="1:29" x14ac:dyDescent="0.2">
      <c r="A52" s="28"/>
      <c r="B52" s="28"/>
      <c r="C52" s="28"/>
      <c r="D52" s="28"/>
      <c r="E52" s="28"/>
      <c r="F52" s="28"/>
      <c r="G52" s="28"/>
      <c r="H52" s="28"/>
      <c r="I52" s="28"/>
      <c r="J52" s="28"/>
      <c r="K52" s="28"/>
      <c r="L52" s="28"/>
    </row>
    <row r="53" spans="1:29" x14ac:dyDescent="0.2">
      <c r="A53" s="28"/>
      <c r="B53" s="28"/>
      <c r="C53" s="28"/>
      <c r="D53" s="28"/>
      <c r="E53" s="28"/>
      <c r="F53" s="28"/>
      <c r="G53" s="28"/>
      <c r="H53" s="28"/>
      <c r="I53" s="28"/>
      <c r="J53" s="28"/>
      <c r="K53" s="28"/>
      <c r="L53" s="28"/>
    </row>
    <row r="54" spans="1:29" x14ac:dyDescent="0.2">
      <c r="A54" s="28"/>
      <c r="B54" s="28"/>
      <c r="C54" s="28"/>
      <c r="D54" s="28"/>
      <c r="E54" s="28"/>
      <c r="F54" s="28"/>
      <c r="G54" s="28"/>
      <c r="H54" s="28"/>
      <c r="I54" s="28"/>
      <c r="J54" s="28"/>
      <c r="K54" s="28"/>
      <c r="L54" s="28"/>
    </row>
    <row r="55" spans="1:29" x14ac:dyDescent="0.2">
      <c r="A55" s="28"/>
      <c r="B55" s="28"/>
      <c r="C55" s="28"/>
      <c r="D55" s="28"/>
      <c r="E55" s="28"/>
      <c r="F55" s="28"/>
      <c r="G55" s="28"/>
      <c r="H55" s="28"/>
      <c r="I55" s="28"/>
      <c r="J55" s="28"/>
      <c r="K55" s="28"/>
      <c r="L55" s="28"/>
    </row>
    <row r="56" spans="1:29" x14ac:dyDescent="0.2">
      <c r="A56" s="28"/>
      <c r="B56" s="28"/>
      <c r="C56" s="28"/>
      <c r="D56" s="28"/>
      <c r="E56" s="28"/>
      <c r="F56" s="28"/>
      <c r="G56" s="28"/>
      <c r="H56" s="28"/>
      <c r="I56" s="28"/>
      <c r="J56" s="28"/>
      <c r="K56" s="28"/>
      <c r="L56" s="28"/>
    </row>
    <row r="57" spans="1:29" x14ac:dyDescent="0.2">
      <c r="A57" s="28"/>
      <c r="B57" s="28"/>
      <c r="C57" s="28"/>
      <c r="D57" s="28"/>
      <c r="E57" s="28"/>
      <c r="F57" s="28"/>
      <c r="G57" s="28"/>
      <c r="H57" s="28"/>
      <c r="I57" s="28"/>
      <c r="J57" s="28"/>
      <c r="K57" s="28"/>
      <c r="L57" s="28"/>
    </row>
    <row r="58" spans="1:29" x14ac:dyDescent="0.2">
      <c r="A58" s="28"/>
      <c r="B58" s="28"/>
      <c r="C58" s="28"/>
      <c r="D58" s="28"/>
      <c r="E58" s="28"/>
      <c r="F58" s="28"/>
      <c r="G58" s="28"/>
      <c r="H58" s="28"/>
      <c r="I58" s="28"/>
      <c r="J58" s="28"/>
      <c r="K58" s="28"/>
      <c r="L58" s="28"/>
    </row>
    <row r="59" spans="1:29" x14ac:dyDescent="0.2">
      <c r="A59" s="28"/>
      <c r="B59" s="28"/>
      <c r="C59" s="28"/>
      <c r="D59" s="28"/>
      <c r="E59" s="28"/>
      <c r="F59" s="28"/>
      <c r="G59" s="28"/>
      <c r="H59" s="28"/>
      <c r="I59" s="28"/>
      <c r="J59" s="28"/>
      <c r="K59" s="28"/>
      <c r="L59" s="28"/>
    </row>
    <row r="60" spans="1:29" x14ac:dyDescent="0.2">
      <c r="A60" s="28"/>
      <c r="B60" s="28"/>
      <c r="C60" s="28"/>
      <c r="D60" s="28"/>
      <c r="E60" s="28"/>
      <c r="F60" s="28"/>
      <c r="G60" s="28"/>
      <c r="H60" s="28"/>
      <c r="I60" s="28"/>
      <c r="J60" s="28"/>
      <c r="K60" s="28"/>
      <c r="L60" s="28"/>
    </row>
    <row r="61" spans="1:29" x14ac:dyDescent="0.2">
      <c r="A61" s="28"/>
      <c r="B61" s="28"/>
      <c r="C61" s="28"/>
      <c r="D61" s="28"/>
      <c r="E61" s="28"/>
      <c r="F61" s="28"/>
      <c r="G61" s="28"/>
      <c r="H61" s="28"/>
      <c r="I61" s="28"/>
      <c r="J61" s="28"/>
      <c r="K61" s="28"/>
      <c r="L61" s="28"/>
    </row>
    <row r="62" spans="1:29" x14ac:dyDescent="0.2">
      <c r="A62" s="28"/>
      <c r="B62" s="28"/>
      <c r="C62" s="28"/>
      <c r="D62" s="28"/>
      <c r="E62" s="28"/>
      <c r="F62" s="28"/>
      <c r="G62" s="28"/>
      <c r="H62" s="28"/>
      <c r="I62" s="28"/>
      <c r="J62" s="28"/>
      <c r="K62" s="28"/>
      <c r="L62" s="28"/>
    </row>
    <row r="63" spans="1:29" x14ac:dyDescent="0.2">
      <c r="A63" s="28"/>
      <c r="B63" s="28"/>
      <c r="C63" s="28"/>
      <c r="D63" s="28"/>
      <c r="E63" s="28"/>
      <c r="F63" s="28"/>
      <c r="G63" s="28"/>
      <c r="H63" s="28"/>
      <c r="I63" s="28"/>
      <c r="J63" s="28"/>
      <c r="K63" s="28"/>
      <c r="L63" s="28"/>
    </row>
    <row r="64" spans="1:29" x14ac:dyDescent="0.2">
      <c r="A64" s="28"/>
      <c r="B64" s="28"/>
      <c r="C64" s="28"/>
      <c r="D64" s="28"/>
      <c r="E64" s="28"/>
      <c r="F64" s="28"/>
      <c r="G64" s="28"/>
      <c r="H64" s="28"/>
      <c r="I64" s="28"/>
      <c r="J64" s="28"/>
      <c r="K64" s="28"/>
      <c r="L64" s="28"/>
    </row>
    <row r="65" spans="1:12" x14ac:dyDescent="0.2">
      <c r="A65" s="28"/>
      <c r="B65" s="28"/>
      <c r="C65" s="28"/>
      <c r="D65" s="28"/>
      <c r="E65" s="28"/>
      <c r="F65" s="28"/>
      <c r="G65" s="28"/>
      <c r="H65" s="28"/>
      <c r="I65" s="28"/>
      <c r="J65" s="28"/>
      <c r="K65" s="28"/>
      <c r="L65" s="28"/>
    </row>
    <row r="66" spans="1:12" x14ac:dyDescent="0.2">
      <c r="A66" s="28"/>
      <c r="B66" s="28"/>
      <c r="C66" s="28"/>
      <c r="D66" s="28"/>
      <c r="E66" s="28"/>
      <c r="F66" s="28"/>
      <c r="G66" s="28"/>
      <c r="H66" s="28"/>
      <c r="I66" s="28"/>
      <c r="J66" s="28"/>
      <c r="K66" s="28"/>
      <c r="L66" s="28"/>
    </row>
    <row r="67" spans="1:12" x14ac:dyDescent="0.2">
      <c r="A67" s="28"/>
      <c r="B67" s="28"/>
      <c r="C67" s="28"/>
      <c r="D67" s="28"/>
      <c r="E67" s="28"/>
      <c r="F67" s="28"/>
      <c r="G67" s="28"/>
      <c r="H67" s="28"/>
      <c r="I67" s="28"/>
      <c r="J67" s="28"/>
      <c r="K67" s="28"/>
      <c r="L67" s="28"/>
    </row>
    <row r="68" spans="1:12" x14ac:dyDescent="0.2">
      <c r="A68" s="28"/>
      <c r="B68" s="28"/>
      <c r="C68" s="28"/>
      <c r="D68" s="28"/>
      <c r="E68" s="28"/>
      <c r="F68" s="28"/>
      <c r="G68" s="28"/>
      <c r="H68" s="28"/>
      <c r="I68" s="28"/>
      <c r="J68" s="28"/>
      <c r="K68" s="28"/>
      <c r="L68" s="28"/>
    </row>
    <row r="69" spans="1:12" x14ac:dyDescent="0.2">
      <c r="A69" s="28"/>
      <c r="B69" s="28"/>
      <c r="C69" s="28"/>
      <c r="D69" s="28"/>
      <c r="E69" s="28"/>
      <c r="F69" s="28"/>
      <c r="G69" s="28"/>
      <c r="H69" s="28"/>
      <c r="I69" s="28"/>
      <c r="J69" s="28"/>
      <c r="K69" s="28"/>
      <c r="L69" s="28"/>
    </row>
    <row r="70" spans="1:12" x14ac:dyDescent="0.2">
      <c r="A70" s="28"/>
      <c r="B70" s="28"/>
      <c r="C70" s="28"/>
      <c r="D70" s="28"/>
      <c r="E70" s="28"/>
      <c r="F70" s="28"/>
      <c r="G70" s="28"/>
      <c r="H70" s="28"/>
      <c r="I70" s="28"/>
      <c r="J70" s="28"/>
      <c r="K70" s="28"/>
      <c r="L70" s="28"/>
    </row>
    <row r="71" spans="1:12" x14ac:dyDescent="0.2">
      <c r="A71" s="28"/>
      <c r="B71" s="28"/>
      <c r="C71" s="28"/>
      <c r="D71" s="28"/>
      <c r="E71" s="28"/>
      <c r="F71" s="28"/>
      <c r="G71" s="28"/>
      <c r="H71" s="28"/>
      <c r="I71" s="28"/>
      <c r="J71" s="28"/>
      <c r="K71" s="28"/>
      <c r="L71" s="28"/>
    </row>
    <row r="72" spans="1:12" x14ac:dyDescent="0.2">
      <c r="A72" s="28"/>
      <c r="B72" s="28"/>
      <c r="C72" s="28"/>
      <c r="D72" s="28"/>
      <c r="E72" s="28"/>
      <c r="F72" s="28"/>
      <c r="G72" s="28"/>
      <c r="H72" s="28"/>
      <c r="I72" s="28"/>
      <c r="J72" s="28"/>
      <c r="K72" s="28"/>
      <c r="L72" s="28"/>
    </row>
    <row r="73" spans="1:12" x14ac:dyDescent="0.2">
      <c r="A73" s="28"/>
      <c r="B73" s="28"/>
      <c r="C73" s="28"/>
      <c r="D73" s="28"/>
      <c r="E73" s="28"/>
      <c r="F73" s="28"/>
      <c r="G73" s="28"/>
      <c r="H73" s="28"/>
      <c r="I73" s="28"/>
      <c r="J73" s="28"/>
      <c r="K73" s="28"/>
      <c r="L73" s="28"/>
    </row>
    <row r="74" spans="1:12" x14ac:dyDescent="0.2">
      <c r="A74" s="28"/>
      <c r="B74" s="28"/>
      <c r="C74" s="28"/>
      <c r="D74" s="28"/>
      <c r="E74" s="28"/>
      <c r="F74" s="28"/>
      <c r="G74" s="28"/>
      <c r="H74" s="28"/>
      <c r="I74" s="28"/>
      <c r="J74" s="28"/>
      <c r="K74" s="28"/>
      <c r="L74" s="28"/>
    </row>
    <row r="75" spans="1:12" x14ac:dyDescent="0.2">
      <c r="A75" s="28"/>
      <c r="B75" s="28"/>
      <c r="C75" s="28"/>
      <c r="D75" s="28"/>
      <c r="E75" s="28"/>
      <c r="F75" s="28"/>
      <c r="G75" s="28"/>
      <c r="H75" s="28"/>
      <c r="I75" s="28"/>
      <c r="J75" s="28"/>
      <c r="K75" s="28"/>
      <c r="L75" s="28"/>
    </row>
    <row r="76" spans="1:12" x14ac:dyDescent="0.2">
      <c r="A76" s="28"/>
      <c r="B76" s="28"/>
      <c r="C76" s="28"/>
      <c r="D76" s="28"/>
      <c r="E76" s="28"/>
      <c r="F76" s="28"/>
      <c r="G76" s="28"/>
      <c r="H76" s="28"/>
      <c r="I76" s="28"/>
      <c r="J76" s="28"/>
      <c r="K76" s="28"/>
      <c r="L76" s="28"/>
    </row>
    <row r="77" spans="1:12" x14ac:dyDescent="0.2">
      <c r="A77" s="28"/>
      <c r="B77" s="28"/>
      <c r="C77" s="28"/>
      <c r="D77" s="28"/>
      <c r="E77" s="28"/>
      <c r="F77" s="28"/>
      <c r="G77" s="28"/>
      <c r="H77" s="28"/>
      <c r="I77" s="28"/>
      <c r="J77" s="28"/>
      <c r="K77" s="28"/>
      <c r="L77" s="28"/>
    </row>
    <row r="78" spans="1:12" x14ac:dyDescent="0.2">
      <c r="A78" s="28"/>
      <c r="B78" s="28"/>
      <c r="C78" s="28"/>
      <c r="D78" s="28"/>
      <c r="E78" s="28"/>
      <c r="F78" s="28"/>
      <c r="G78" s="28"/>
      <c r="H78" s="28"/>
      <c r="I78" s="28"/>
      <c r="J78" s="28"/>
      <c r="K78" s="28"/>
      <c r="L78" s="28"/>
    </row>
    <row r="79" spans="1:12" x14ac:dyDescent="0.2">
      <c r="A79" s="28"/>
      <c r="B79" s="28"/>
      <c r="C79" s="28"/>
      <c r="D79" s="28"/>
      <c r="E79" s="28"/>
      <c r="F79" s="28"/>
      <c r="G79" s="28"/>
      <c r="H79" s="28"/>
      <c r="I79" s="28"/>
      <c r="J79" s="28"/>
      <c r="K79" s="28"/>
      <c r="L79" s="28"/>
    </row>
    <row r="80" spans="1:12" x14ac:dyDescent="0.2">
      <c r="A80" s="28"/>
      <c r="B80" s="28"/>
      <c r="C80" s="28"/>
      <c r="D80" s="28"/>
      <c r="E80" s="28"/>
      <c r="F80" s="28"/>
      <c r="G80" s="28"/>
      <c r="H80" s="28"/>
      <c r="I80" s="28"/>
      <c r="J80" s="28"/>
      <c r="K80" s="28"/>
      <c r="L80" s="28"/>
    </row>
    <row r="81" spans="1:12" x14ac:dyDescent="0.2">
      <c r="A81" s="28"/>
      <c r="B81" s="28"/>
      <c r="C81" s="28"/>
      <c r="D81" s="28"/>
      <c r="E81" s="28"/>
      <c r="F81" s="28"/>
      <c r="G81" s="28"/>
      <c r="H81" s="28"/>
      <c r="I81" s="28"/>
      <c r="J81" s="28"/>
      <c r="K81" s="28"/>
      <c r="L81" s="28"/>
    </row>
    <row r="82" spans="1:12" x14ac:dyDescent="0.2">
      <c r="A82" s="28"/>
      <c r="B82" s="28"/>
      <c r="C82" s="28"/>
      <c r="D82" s="28"/>
      <c r="E82" s="28"/>
      <c r="F82" s="28"/>
      <c r="G82" s="28"/>
      <c r="H82" s="28"/>
      <c r="I82" s="28"/>
      <c r="J82" s="28"/>
      <c r="K82" s="28"/>
      <c r="L82" s="28"/>
    </row>
    <row r="83" spans="1:12" x14ac:dyDescent="0.2">
      <c r="A83" s="28"/>
      <c r="B83" s="28"/>
      <c r="C83" s="28"/>
      <c r="D83" s="28"/>
      <c r="E83" s="28"/>
      <c r="F83" s="28"/>
      <c r="G83" s="28"/>
      <c r="H83" s="28"/>
      <c r="I83" s="28"/>
      <c r="J83" s="28"/>
      <c r="K83" s="28"/>
      <c r="L83" s="28"/>
    </row>
    <row r="84" spans="1:12" x14ac:dyDescent="0.2">
      <c r="A84" s="28"/>
      <c r="B84" s="28"/>
      <c r="C84" s="28"/>
      <c r="D84" s="28"/>
      <c r="E84" s="28"/>
      <c r="F84" s="28"/>
      <c r="G84" s="28"/>
      <c r="H84" s="28"/>
      <c r="I84" s="28"/>
      <c r="J84" s="28"/>
      <c r="K84" s="28"/>
      <c r="L84" s="28"/>
    </row>
    <row r="85" spans="1:12" x14ac:dyDescent="0.2">
      <c r="A85" s="28"/>
      <c r="B85" s="28"/>
      <c r="C85" s="28"/>
      <c r="D85" s="28"/>
      <c r="E85" s="28"/>
      <c r="F85" s="28"/>
      <c r="G85" s="28"/>
      <c r="H85" s="28"/>
      <c r="I85" s="28"/>
      <c r="J85" s="28"/>
      <c r="K85" s="28"/>
      <c r="L85" s="28"/>
    </row>
    <row r="86" spans="1:12" x14ac:dyDescent="0.2">
      <c r="A86" s="28"/>
      <c r="B86" s="28"/>
      <c r="C86" s="28"/>
      <c r="D86" s="28"/>
      <c r="E86" s="28"/>
      <c r="F86" s="28"/>
      <c r="G86" s="28"/>
      <c r="H86" s="28"/>
      <c r="I86" s="28"/>
      <c r="J86" s="28"/>
      <c r="K86" s="28"/>
      <c r="L86" s="28"/>
    </row>
    <row r="87" spans="1:12" x14ac:dyDescent="0.2">
      <c r="A87" s="28"/>
      <c r="B87" s="28"/>
      <c r="C87" s="28"/>
      <c r="D87" s="28"/>
      <c r="E87" s="28"/>
      <c r="F87" s="28"/>
      <c r="G87" s="28"/>
      <c r="H87" s="28"/>
      <c r="I87" s="28"/>
      <c r="J87" s="28"/>
      <c r="K87" s="28"/>
      <c r="L87" s="28"/>
    </row>
    <row r="88" spans="1:12" x14ac:dyDescent="0.2">
      <c r="A88" s="28"/>
      <c r="B88" s="28"/>
      <c r="C88" s="28"/>
      <c r="D88" s="28"/>
      <c r="E88" s="28"/>
      <c r="F88" s="28"/>
      <c r="G88" s="28"/>
      <c r="H88" s="28"/>
      <c r="I88" s="28"/>
      <c r="J88" s="28"/>
      <c r="K88" s="28"/>
      <c r="L88" s="28"/>
    </row>
    <row r="89" spans="1:12" x14ac:dyDescent="0.2">
      <c r="A89" s="28"/>
      <c r="B89" s="28"/>
      <c r="C89" s="28"/>
      <c r="D89" s="28"/>
      <c r="E89" s="28"/>
      <c r="F89" s="28"/>
      <c r="G89" s="28"/>
      <c r="H89" s="28"/>
      <c r="I89" s="28"/>
      <c r="J89" s="28"/>
      <c r="K89" s="28"/>
      <c r="L89" s="28"/>
    </row>
    <row r="90" spans="1:12" x14ac:dyDescent="0.2">
      <c r="A90" s="28"/>
      <c r="B90" s="28"/>
      <c r="C90" s="28"/>
      <c r="D90" s="28"/>
      <c r="E90" s="28"/>
      <c r="F90" s="28"/>
      <c r="G90" s="28"/>
      <c r="H90" s="28"/>
      <c r="I90" s="28"/>
      <c r="J90" s="28"/>
      <c r="K90" s="28"/>
      <c r="L90" s="28"/>
    </row>
    <row r="91" spans="1:12" x14ac:dyDescent="0.2">
      <c r="A91" s="28"/>
      <c r="B91" s="28"/>
      <c r="C91" s="28"/>
      <c r="D91" s="28"/>
      <c r="E91" s="28"/>
      <c r="F91" s="28"/>
      <c r="G91" s="28"/>
      <c r="H91" s="28"/>
      <c r="I91" s="28"/>
      <c r="J91" s="28"/>
      <c r="K91" s="28"/>
      <c r="L91" s="28"/>
    </row>
    <row r="92" spans="1:12" x14ac:dyDescent="0.2">
      <c r="A92" s="28"/>
      <c r="B92" s="28"/>
      <c r="C92" s="28"/>
      <c r="D92" s="28"/>
      <c r="E92" s="28"/>
      <c r="F92" s="28"/>
      <c r="G92" s="28"/>
      <c r="H92" s="28"/>
      <c r="I92" s="28"/>
      <c r="J92" s="28"/>
      <c r="K92" s="28"/>
      <c r="L92" s="28"/>
    </row>
    <row r="93" spans="1:12" x14ac:dyDescent="0.2">
      <c r="A93" s="28"/>
      <c r="B93" s="28"/>
      <c r="C93" s="28"/>
      <c r="D93" s="28"/>
      <c r="E93" s="28"/>
      <c r="F93" s="28"/>
      <c r="G93" s="28"/>
      <c r="H93" s="28"/>
      <c r="I93" s="28"/>
      <c r="J93" s="28"/>
      <c r="K93" s="28"/>
      <c r="L93" s="28"/>
    </row>
    <row r="94" spans="1:12" x14ac:dyDescent="0.2">
      <c r="A94" s="28"/>
      <c r="B94" s="28"/>
      <c r="C94" s="28"/>
      <c r="D94" s="28"/>
      <c r="E94" s="28"/>
      <c r="F94" s="28"/>
      <c r="G94" s="28"/>
      <c r="H94" s="28"/>
      <c r="I94" s="28"/>
      <c r="J94" s="28"/>
      <c r="K94" s="28"/>
      <c r="L94" s="28"/>
    </row>
    <row r="95" spans="1:12" x14ac:dyDescent="0.2">
      <c r="A95" s="28"/>
      <c r="B95" s="28"/>
      <c r="C95" s="28"/>
      <c r="D95" s="28"/>
      <c r="E95" s="28"/>
      <c r="F95" s="28"/>
      <c r="G95" s="28"/>
      <c r="H95" s="28"/>
      <c r="I95" s="28"/>
      <c r="J95" s="28"/>
      <c r="K95" s="28"/>
      <c r="L95" s="28"/>
    </row>
    <row r="96" spans="1:12" x14ac:dyDescent="0.2">
      <c r="A96" s="28"/>
      <c r="B96" s="28"/>
      <c r="C96" s="28"/>
      <c r="D96" s="28"/>
      <c r="E96" s="28"/>
      <c r="F96" s="28"/>
      <c r="G96" s="28"/>
      <c r="H96" s="28"/>
      <c r="I96" s="28"/>
      <c r="J96" s="28"/>
      <c r="K96" s="28"/>
      <c r="L96" s="28"/>
    </row>
    <row r="97" spans="1:12" x14ac:dyDescent="0.2">
      <c r="A97" s="28"/>
      <c r="B97" s="28"/>
      <c r="C97" s="28"/>
      <c r="D97" s="28"/>
      <c r="E97" s="28"/>
      <c r="F97" s="28"/>
      <c r="G97" s="28"/>
      <c r="H97" s="28"/>
      <c r="I97" s="28"/>
      <c r="J97" s="28"/>
      <c r="K97" s="28"/>
      <c r="L97" s="28"/>
    </row>
    <row r="98" spans="1:12" x14ac:dyDescent="0.2">
      <c r="A98" s="28"/>
      <c r="B98" s="28"/>
      <c r="C98" s="28"/>
      <c r="D98" s="28"/>
      <c r="E98" s="28"/>
      <c r="F98" s="28"/>
      <c r="G98" s="28"/>
      <c r="H98" s="28"/>
      <c r="I98" s="28"/>
      <c r="J98" s="28"/>
      <c r="K98" s="28"/>
      <c r="L98" s="28"/>
    </row>
    <row r="99" spans="1:12" x14ac:dyDescent="0.2">
      <c r="A99" s="28"/>
      <c r="B99" s="28"/>
      <c r="C99" s="28"/>
      <c r="D99" s="28"/>
      <c r="E99" s="28"/>
      <c r="F99" s="28"/>
      <c r="G99" s="28"/>
      <c r="H99" s="28"/>
      <c r="I99" s="28"/>
      <c r="J99" s="28"/>
      <c r="K99" s="28"/>
      <c r="L99" s="28"/>
    </row>
    <row r="100" spans="1:12" x14ac:dyDescent="0.2">
      <c r="A100" s="28"/>
      <c r="B100" s="28"/>
      <c r="C100" s="28"/>
      <c r="D100" s="28"/>
      <c r="E100" s="28"/>
      <c r="F100" s="28"/>
      <c r="G100" s="28"/>
      <c r="H100" s="28"/>
      <c r="I100" s="28"/>
      <c r="J100" s="28"/>
      <c r="K100" s="28"/>
      <c r="L100" s="28"/>
    </row>
    <row r="101" spans="1:12" x14ac:dyDescent="0.2">
      <c r="A101" s="28"/>
      <c r="B101" s="28"/>
      <c r="C101" s="28"/>
      <c r="D101" s="28"/>
      <c r="E101" s="28"/>
      <c r="F101" s="28"/>
      <c r="G101" s="28"/>
      <c r="H101" s="28"/>
      <c r="I101" s="28"/>
      <c r="J101" s="28"/>
      <c r="K101" s="28"/>
      <c r="L101" s="28"/>
    </row>
    <row r="102" spans="1:12" x14ac:dyDescent="0.2">
      <c r="A102" s="28"/>
      <c r="B102" s="28"/>
      <c r="C102" s="28"/>
      <c r="D102" s="28"/>
      <c r="E102" s="28"/>
      <c r="F102" s="28"/>
      <c r="G102" s="28"/>
      <c r="H102" s="28"/>
      <c r="I102" s="28"/>
      <c r="J102" s="28"/>
      <c r="K102" s="28"/>
      <c r="L102" s="28"/>
    </row>
    <row r="103" spans="1:12" x14ac:dyDescent="0.2">
      <c r="A103" s="28"/>
      <c r="B103" s="28"/>
      <c r="C103" s="28"/>
      <c r="D103" s="28"/>
      <c r="E103" s="28"/>
      <c r="F103" s="28"/>
      <c r="G103" s="28"/>
      <c r="H103" s="28"/>
      <c r="I103" s="28"/>
      <c r="J103" s="28"/>
      <c r="K103" s="28"/>
      <c r="L103" s="28"/>
    </row>
    <row r="104" spans="1:12" x14ac:dyDescent="0.2">
      <c r="A104" s="28"/>
      <c r="B104" s="28"/>
      <c r="C104" s="28"/>
      <c r="D104" s="28"/>
      <c r="E104" s="28"/>
      <c r="F104" s="28"/>
      <c r="G104" s="28"/>
      <c r="H104" s="28"/>
      <c r="I104" s="28"/>
      <c r="J104" s="28"/>
      <c r="K104" s="28"/>
      <c r="L104" s="28"/>
    </row>
    <row r="105" spans="1:12" x14ac:dyDescent="0.2">
      <c r="A105" s="28"/>
      <c r="B105" s="28"/>
      <c r="C105" s="28"/>
      <c r="D105" s="28"/>
      <c r="E105" s="28"/>
      <c r="F105" s="28"/>
      <c r="G105" s="28"/>
      <c r="H105" s="28"/>
      <c r="I105" s="28"/>
      <c r="J105" s="28"/>
      <c r="K105" s="28"/>
      <c r="L105" s="28"/>
    </row>
    <row r="106" spans="1:12" x14ac:dyDescent="0.2">
      <c r="A106" s="28"/>
      <c r="B106" s="28"/>
      <c r="C106" s="28"/>
      <c r="D106" s="28"/>
      <c r="E106" s="28"/>
      <c r="F106" s="28"/>
      <c r="G106" s="28"/>
      <c r="H106" s="28"/>
      <c r="I106" s="28"/>
      <c r="J106" s="28"/>
      <c r="K106" s="28"/>
      <c r="L106" s="28"/>
    </row>
    <row r="107" spans="1:12" x14ac:dyDescent="0.2">
      <c r="A107" s="28"/>
      <c r="B107" s="28"/>
      <c r="C107" s="28"/>
      <c r="D107" s="28"/>
      <c r="E107" s="28"/>
      <c r="F107" s="28"/>
      <c r="G107" s="28"/>
      <c r="H107" s="28"/>
      <c r="I107" s="28"/>
      <c r="J107" s="28"/>
      <c r="K107" s="28"/>
      <c r="L107" s="28"/>
    </row>
    <row r="108" spans="1:12" x14ac:dyDescent="0.2">
      <c r="A108" s="28"/>
      <c r="B108" s="28"/>
      <c r="C108" s="28"/>
      <c r="D108" s="28"/>
      <c r="E108" s="28"/>
      <c r="F108" s="28"/>
      <c r="G108" s="28"/>
      <c r="H108" s="28"/>
      <c r="I108" s="28"/>
      <c r="J108" s="28"/>
      <c r="K108" s="28"/>
      <c r="L108" s="28"/>
    </row>
    <row r="109" spans="1:12" x14ac:dyDescent="0.2">
      <c r="A109" s="28"/>
      <c r="B109" s="28"/>
      <c r="C109" s="28"/>
      <c r="D109" s="28"/>
      <c r="E109" s="28"/>
      <c r="F109" s="28"/>
      <c r="G109" s="28"/>
      <c r="H109" s="28"/>
      <c r="I109" s="28"/>
      <c r="J109" s="28"/>
      <c r="K109" s="28"/>
      <c r="L109" s="28"/>
    </row>
    <row r="110" spans="1:12" x14ac:dyDescent="0.2">
      <c r="A110" s="28"/>
      <c r="B110" s="28"/>
      <c r="C110" s="28"/>
      <c r="D110" s="28"/>
      <c r="E110" s="28"/>
      <c r="F110" s="28"/>
      <c r="G110" s="28"/>
      <c r="H110" s="28"/>
      <c r="I110" s="28"/>
      <c r="J110" s="28"/>
      <c r="K110" s="28"/>
      <c r="L110" s="28"/>
    </row>
    <row r="111" spans="1:12" x14ac:dyDescent="0.2">
      <c r="A111" s="28"/>
      <c r="B111" s="28"/>
      <c r="C111" s="28"/>
      <c r="D111" s="28"/>
      <c r="E111" s="28"/>
      <c r="F111" s="28"/>
      <c r="G111" s="28"/>
      <c r="H111" s="28"/>
      <c r="I111" s="28"/>
      <c r="J111" s="28"/>
      <c r="K111" s="28"/>
      <c r="L111" s="28"/>
    </row>
    <row r="112" spans="1:12" x14ac:dyDescent="0.2">
      <c r="A112" s="28"/>
      <c r="B112" s="28"/>
      <c r="C112" s="28"/>
      <c r="D112" s="28"/>
      <c r="E112" s="28"/>
      <c r="F112" s="28"/>
      <c r="G112" s="28"/>
      <c r="H112" s="28"/>
      <c r="I112" s="28"/>
      <c r="J112" s="28"/>
      <c r="K112" s="28"/>
      <c r="L112" s="28"/>
    </row>
    <row r="113" spans="1:12" x14ac:dyDescent="0.2">
      <c r="A113" s="28"/>
      <c r="B113" s="28"/>
      <c r="C113" s="28"/>
      <c r="D113" s="28"/>
      <c r="E113" s="28"/>
      <c r="F113" s="28"/>
      <c r="G113" s="28"/>
      <c r="H113" s="28"/>
      <c r="I113" s="28"/>
      <c r="J113" s="28"/>
      <c r="K113" s="28"/>
      <c r="L113" s="28"/>
    </row>
    <row r="114" spans="1:12" x14ac:dyDescent="0.2">
      <c r="A114" s="28"/>
      <c r="B114" s="28"/>
      <c r="C114" s="28"/>
      <c r="D114" s="28"/>
      <c r="E114" s="28"/>
      <c r="F114" s="28"/>
      <c r="G114" s="28"/>
      <c r="H114" s="28"/>
      <c r="I114" s="28"/>
      <c r="J114" s="28"/>
      <c r="K114" s="28"/>
      <c r="L114" s="28"/>
    </row>
    <row r="115" spans="1:12" x14ac:dyDescent="0.2">
      <c r="A115" s="28"/>
      <c r="B115" s="28"/>
      <c r="C115" s="28"/>
      <c r="D115" s="28"/>
      <c r="E115" s="28"/>
      <c r="F115" s="28"/>
      <c r="G115" s="28"/>
      <c r="H115" s="28"/>
      <c r="I115" s="28"/>
      <c r="J115" s="28"/>
      <c r="K115" s="28"/>
      <c r="L115" s="28"/>
    </row>
  </sheetData>
  <pageMargins left="0.75" right="0.75" top="1" bottom="1" header="0.5" footer="0.5"/>
  <headerFooter alignWithMargins="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K21"/>
  <sheetViews>
    <sheetView topLeftCell="A23" workbookViewId="0">
      <selection activeCell="A23" sqref="A23"/>
    </sheetView>
  </sheetViews>
  <sheetFormatPr defaultRowHeight="15.75" x14ac:dyDescent="0.25"/>
  <cols>
    <col min="1" max="1" width="4.7109375" style="154" customWidth="1"/>
    <col min="2" max="26" width="14.7109375" style="3" customWidth="1"/>
    <col min="27" max="64" width="10.7109375" style="3" customWidth="1"/>
    <col min="65" max="16384" width="9.140625" style="3"/>
  </cols>
  <sheetData>
    <row r="1" spans="1:11" ht="16.5" thickBot="1" x14ac:dyDescent="0.3"/>
    <row r="2" spans="1:11" ht="21.75" thickBot="1" x14ac:dyDescent="0.4">
      <c r="A2" s="155"/>
      <c r="B2" s="186" t="s">
        <v>273</v>
      </c>
      <c r="C2" s="187"/>
      <c r="D2" s="2"/>
      <c r="E2" s="2"/>
      <c r="F2" s="2"/>
      <c r="G2" s="2"/>
      <c r="H2" s="2"/>
      <c r="I2" s="2"/>
    </row>
    <row r="4" spans="1:11" ht="31.5" customHeight="1" x14ac:dyDescent="0.25">
      <c r="A4" s="152"/>
      <c r="B4" s="171" t="s">
        <v>252</v>
      </c>
      <c r="C4" s="171"/>
      <c r="D4" s="171"/>
      <c r="E4" s="171"/>
      <c r="F4" s="171"/>
      <c r="G4" s="171"/>
      <c r="H4" s="171"/>
      <c r="I4" s="171"/>
      <c r="J4" s="171"/>
      <c r="K4" s="171"/>
    </row>
    <row r="6" spans="1:11" x14ac:dyDescent="0.25">
      <c r="B6" s="3" t="s">
        <v>253</v>
      </c>
      <c r="D6" s="35">
        <f>PV('Master It!'!E11,'Master It!'!E10,-'Master It!'!E9)</f>
        <v>883633.26667043648</v>
      </c>
    </row>
    <row r="8" spans="1:11" x14ac:dyDescent="0.25">
      <c r="A8" s="154" t="s">
        <v>40</v>
      </c>
      <c r="B8" s="171" t="s">
        <v>254</v>
      </c>
      <c r="C8" s="171"/>
      <c r="D8" s="171"/>
      <c r="E8" s="171"/>
      <c r="F8" s="171"/>
      <c r="G8" s="171"/>
      <c r="H8" s="171"/>
      <c r="I8" s="171"/>
      <c r="J8" s="171"/>
      <c r="K8" s="171"/>
    </row>
    <row r="10" spans="1:11" x14ac:dyDescent="0.25">
      <c r="B10" s="3" t="s">
        <v>255</v>
      </c>
      <c r="D10" s="35">
        <f>PMT('Master It!'!E11,'Master It!'!E8,,-D6)</f>
        <v>7800.2138003110886</v>
      </c>
    </row>
    <row r="12" spans="1:11" x14ac:dyDescent="0.25">
      <c r="A12" s="154" t="s">
        <v>41</v>
      </c>
      <c r="B12" s="171" t="s">
        <v>256</v>
      </c>
      <c r="C12" s="171"/>
      <c r="D12" s="171"/>
      <c r="E12" s="171"/>
      <c r="F12" s="171"/>
      <c r="G12" s="171"/>
      <c r="H12" s="171"/>
      <c r="I12" s="171"/>
      <c r="J12" s="171"/>
      <c r="K12" s="171"/>
    </row>
    <row r="14" spans="1:11" x14ac:dyDescent="0.25">
      <c r="B14" s="3" t="s">
        <v>257</v>
      </c>
      <c r="D14" s="35">
        <f>PV('Master It!'!E11,'Master It!'!E8,,-D6)</f>
        <v>87813.116993975156</v>
      </c>
    </row>
    <row r="16" spans="1:11" ht="31.5" customHeight="1" x14ac:dyDescent="0.25">
      <c r="A16" s="154" t="s">
        <v>247</v>
      </c>
      <c r="B16" s="171" t="s">
        <v>258</v>
      </c>
      <c r="C16" s="171"/>
      <c r="D16" s="171"/>
      <c r="E16" s="171"/>
      <c r="F16" s="171"/>
      <c r="G16" s="171"/>
      <c r="H16" s="171"/>
      <c r="I16" s="171"/>
      <c r="J16" s="171"/>
      <c r="K16" s="171"/>
    </row>
    <row r="18" spans="2:5" x14ac:dyDescent="0.25">
      <c r="B18" s="3" t="s">
        <v>259</v>
      </c>
      <c r="E18" s="35">
        <f>FV('Master It!'!E11,'Master It!'!E8,-'Master It!'!E21)</f>
        <v>169924.8166701271</v>
      </c>
    </row>
    <row r="19" spans="2:5" x14ac:dyDescent="0.25">
      <c r="B19" s="3" t="s">
        <v>260</v>
      </c>
      <c r="E19" s="35">
        <f>FV('Master It!'!E11,'Master It!'!E8-'Master It!'!E22,,-'Master It!'!E23)</f>
        <v>53973.124931819693</v>
      </c>
    </row>
    <row r="21" spans="2:5" x14ac:dyDescent="0.25">
      <c r="B21" s="3" t="s">
        <v>261</v>
      </c>
      <c r="E21" s="35">
        <f>PMT('Master It!'!E11,'Master It!'!E8,,-(D6-E18-E19))</f>
        <v>5823.7696352725197</v>
      </c>
    </row>
  </sheetData>
  <mergeCells count="5">
    <mergeCell ref="B4:K4"/>
    <mergeCell ref="B8:K8"/>
    <mergeCell ref="B12:K12"/>
    <mergeCell ref="B16:K16"/>
    <mergeCell ref="B2:C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421"/>
  <sheetViews>
    <sheetView topLeftCell="A6" workbookViewId="0">
      <selection activeCell="A186" sqref="A186"/>
    </sheetView>
  </sheetViews>
  <sheetFormatPr defaultRowHeight="15.75" x14ac:dyDescent="0.25"/>
  <cols>
    <col min="1" max="1" width="4.7109375" style="3" customWidth="1"/>
    <col min="2" max="25" width="14.7109375" style="3" customWidth="1"/>
    <col min="26" max="34" width="13.7109375" style="3" customWidth="1"/>
    <col min="35" max="48" width="9.140625" style="3"/>
    <col min="49" max="16384" width="9.140625" style="2"/>
  </cols>
  <sheetData>
    <row r="1" spans="1:48" ht="16.5" thickBot="1" x14ac:dyDescent="0.3"/>
    <row r="2" spans="1:48" ht="21" x14ac:dyDescent="0.35">
      <c r="B2" s="37" t="s">
        <v>73</v>
      </c>
      <c r="C2" s="38"/>
      <c r="D2" s="39"/>
    </row>
    <row r="3" spans="1:48" ht="21.75" thickBot="1" x14ac:dyDescent="0.4">
      <c r="B3" s="40" t="s">
        <v>74</v>
      </c>
      <c r="C3" s="41"/>
      <c r="D3" s="4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row>
    <row r="5" spans="1:48" ht="31.5" customHeight="1" x14ac:dyDescent="0.25">
      <c r="A5" s="171" t="s">
        <v>47</v>
      </c>
      <c r="B5" s="171"/>
      <c r="C5" s="171"/>
      <c r="D5" s="171"/>
      <c r="E5" s="171"/>
      <c r="F5" s="171"/>
      <c r="G5" s="171"/>
      <c r="H5" s="171"/>
      <c r="I5" s="171"/>
      <c r="J5" s="171"/>
      <c r="K5" s="171"/>
    </row>
    <row r="7" spans="1:48" x14ac:dyDescent="0.25">
      <c r="A7" s="170" t="s">
        <v>78</v>
      </c>
      <c r="B7" s="170"/>
      <c r="C7" s="170"/>
      <c r="D7" s="170"/>
      <c r="E7" s="170"/>
      <c r="F7" s="170"/>
      <c r="G7" s="170"/>
      <c r="H7" s="170"/>
      <c r="I7" s="170"/>
      <c r="J7" s="170"/>
      <c r="K7" s="170"/>
    </row>
    <row r="9" spans="1:48" x14ac:dyDescent="0.25">
      <c r="B9" s="171" t="s">
        <v>75</v>
      </c>
      <c r="C9" s="171"/>
      <c r="D9" s="171"/>
      <c r="E9" s="171"/>
      <c r="F9" s="171"/>
      <c r="G9" s="171"/>
      <c r="H9" s="171"/>
      <c r="I9" s="171"/>
      <c r="J9" s="171"/>
      <c r="K9" s="171"/>
    </row>
    <row r="10" spans="1:48" x14ac:dyDescent="0.25">
      <c r="F10" s="6"/>
      <c r="J10" s="7"/>
    </row>
    <row r="11" spans="1:48" x14ac:dyDescent="0.25">
      <c r="B11" s="3" t="s">
        <v>32</v>
      </c>
      <c r="E11" s="30">
        <v>5</v>
      </c>
      <c r="F11" s="6"/>
      <c r="J11" s="7"/>
    </row>
    <row r="12" spans="1:48" x14ac:dyDescent="0.25">
      <c r="B12" s="3" t="s">
        <v>22</v>
      </c>
      <c r="E12" s="7">
        <v>500</v>
      </c>
      <c r="F12" s="6"/>
      <c r="J12" s="7"/>
    </row>
    <row r="13" spans="1:48" x14ac:dyDescent="0.25">
      <c r="B13" s="3" t="s">
        <v>21</v>
      </c>
      <c r="E13" s="29">
        <v>7.0000000000000007E-2</v>
      </c>
      <c r="F13" s="6"/>
      <c r="J13" s="7"/>
    </row>
    <row r="15" spans="1:48" x14ac:dyDescent="0.25">
      <c r="B15" s="3" t="s">
        <v>76</v>
      </c>
      <c r="F15" s="8">
        <f>E12*(1+E13)^E11</f>
        <v>701.27586535000012</v>
      </c>
    </row>
    <row r="17" spans="1:12" ht="47.25" customHeight="1" x14ac:dyDescent="0.25">
      <c r="A17" s="171" t="s">
        <v>77</v>
      </c>
      <c r="B17" s="171"/>
      <c r="C17" s="171"/>
      <c r="D17" s="171"/>
      <c r="E17" s="171"/>
      <c r="F17" s="171"/>
      <c r="G17" s="171"/>
      <c r="H17" s="171"/>
      <c r="I17" s="171"/>
      <c r="J17" s="171"/>
      <c r="K17" s="171"/>
      <c r="L17" s="2"/>
    </row>
    <row r="18" spans="1:12" x14ac:dyDescent="0.25">
      <c r="L18" s="9"/>
    </row>
    <row r="19" spans="1:12" x14ac:dyDescent="0.25">
      <c r="B19" s="3" t="s">
        <v>22</v>
      </c>
      <c r="D19" s="9">
        <v>500</v>
      </c>
      <c r="L19" s="9"/>
    </row>
    <row r="20" spans="1:12" x14ac:dyDescent="0.25">
      <c r="B20" s="3" t="s">
        <v>21</v>
      </c>
      <c r="D20" s="5">
        <v>0.1</v>
      </c>
      <c r="L20" s="9"/>
    </row>
    <row r="21" spans="1:12" x14ac:dyDescent="0.25">
      <c r="D21" s="5"/>
      <c r="L21" s="9"/>
    </row>
    <row r="22" spans="1:12" ht="31.5" customHeight="1" x14ac:dyDescent="0.25">
      <c r="A22" s="171" t="s">
        <v>48</v>
      </c>
      <c r="B22" s="171"/>
      <c r="C22" s="171"/>
      <c r="D22" s="171"/>
      <c r="E22" s="171"/>
      <c r="F22" s="171"/>
      <c r="G22" s="171"/>
      <c r="H22" s="171"/>
      <c r="I22" s="171"/>
      <c r="J22" s="171"/>
      <c r="K22" s="171"/>
    </row>
    <row r="24" spans="1:12" ht="63" x14ac:dyDescent="0.25">
      <c r="B24" s="45" t="s">
        <v>1</v>
      </c>
      <c r="C24" s="46" t="s">
        <v>2</v>
      </c>
      <c r="D24" s="46" t="s">
        <v>3</v>
      </c>
      <c r="E24" s="46" t="s">
        <v>4</v>
      </c>
      <c r="F24" s="46" t="s">
        <v>5</v>
      </c>
      <c r="G24" s="46" t="s">
        <v>6</v>
      </c>
      <c r="H24" s="47" t="s">
        <v>8</v>
      </c>
    </row>
    <row r="25" spans="1:12" x14ac:dyDescent="0.25">
      <c r="B25" s="48">
        <v>1</v>
      </c>
      <c r="C25" s="49">
        <f>D19</f>
        <v>500</v>
      </c>
      <c r="D25" s="49">
        <f>$D$19*$D$20</f>
        <v>50</v>
      </c>
      <c r="E25" s="49">
        <f>F25-D25</f>
        <v>0</v>
      </c>
      <c r="F25" s="49">
        <f>G25-C25</f>
        <v>50</v>
      </c>
      <c r="G25" s="49">
        <f>C25*(1+$D$20)</f>
        <v>550</v>
      </c>
      <c r="H25" s="50">
        <f>C25+D25</f>
        <v>550</v>
      </c>
    </row>
    <row r="26" spans="1:12" x14ac:dyDescent="0.25">
      <c r="B26" s="48">
        <v>2</v>
      </c>
      <c r="C26" s="44">
        <f>G25</f>
        <v>550</v>
      </c>
      <c r="D26" s="44">
        <f>$D$19*$D$20</f>
        <v>50</v>
      </c>
      <c r="E26" s="44">
        <f>F26-D26</f>
        <v>5</v>
      </c>
      <c r="F26" s="44">
        <f>G26-C26</f>
        <v>55</v>
      </c>
      <c r="G26" s="44">
        <f>C26*(1+$D$20)</f>
        <v>605</v>
      </c>
      <c r="H26" s="51">
        <f>H25+D26</f>
        <v>600</v>
      </c>
    </row>
    <row r="27" spans="1:12" x14ac:dyDescent="0.25">
      <c r="B27" s="48">
        <v>3</v>
      </c>
      <c r="C27" s="44">
        <f>G26</f>
        <v>605</v>
      </c>
      <c r="D27" s="44">
        <f>$D$19*$D$20</f>
        <v>50</v>
      </c>
      <c r="E27" s="44">
        <f>F27-D27</f>
        <v>10.5</v>
      </c>
      <c r="F27" s="44">
        <f>G27-C27</f>
        <v>60.5</v>
      </c>
      <c r="G27" s="44">
        <f>C27*(1+$D$20)</f>
        <v>665.5</v>
      </c>
      <c r="H27" s="51">
        <f>H26+D27</f>
        <v>650</v>
      </c>
    </row>
    <row r="28" spans="1:12" x14ac:dyDescent="0.25">
      <c r="B28" s="48">
        <v>4</v>
      </c>
      <c r="C28" s="44">
        <f>G27</f>
        <v>665.5</v>
      </c>
      <c r="D28" s="44">
        <f>$D$19*$D$20</f>
        <v>50</v>
      </c>
      <c r="E28" s="44">
        <f>F28-D28</f>
        <v>16.550000000000068</v>
      </c>
      <c r="F28" s="44">
        <f>G28-C28</f>
        <v>66.550000000000068</v>
      </c>
      <c r="G28" s="44">
        <f>C28*(1+$D$20)</f>
        <v>732.05000000000007</v>
      </c>
      <c r="H28" s="51">
        <f>H27+D28</f>
        <v>700</v>
      </c>
    </row>
    <row r="29" spans="1:12" x14ac:dyDescent="0.25">
      <c r="B29" s="48">
        <v>5</v>
      </c>
      <c r="C29" s="44">
        <f>G28</f>
        <v>732.05000000000007</v>
      </c>
      <c r="D29" s="43">
        <f>$D$19*$D$20</f>
        <v>50</v>
      </c>
      <c r="E29" s="43">
        <f>F29-D29</f>
        <v>23.205000000000041</v>
      </c>
      <c r="F29" s="43">
        <f>G29-C29</f>
        <v>73.205000000000041</v>
      </c>
      <c r="G29" s="44">
        <f>C29*(1+$D$20)</f>
        <v>805.25500000000011</v>
      </c>
      <c r="H29" s="51">
        <f>H28+D29</f>
        <v>750</v>
      </c>
    </row>
    <row r="30" spans="1:12" x14ac:dyDescent="0.25">
      <c r="B30" s="52" t="s">
        <v>9</v>
      </c>
      <c r="C30" s="53"/>
      <c r="D30" s="54">
        <f>SUM(D25:D29)</f>
        <v>250</v>
      </c>
      <c r="E30" s="54">
        <f>SUM(E25:E29)</f>
        <v>55.255000000000109</v>
      </c>
      <c r="F30" s="54">
        <f>SUM(F25:F29)</f>
        <v>305.25500000000011</v>
      </c>
      <c r="G30" s="54"/>
      <c r="H30" s="55"/>
    </row>
    <row r="32" spans="1:12" ht="31.5" customHeight="1" x14ac:dyDescent="0.25">
      <c r="A32" s="171" t="s">
        <v>49</v>
      </c>
      <c r="B32" s="171"/>
      <c r="C32" s="171"/>
      <c r="D32" s="171"/>
      <c r="E32" s="171"/>
      <c r="F32" s="171"/>
      <c r="G32" s="171"/>
      <c r="H32" s="171"/>
      <c r="I32" s="171"/>
      <c r="J32" s="171"/>
      <c r="K32" s="171"/>
    </row>
    <row r="34" spans="1:48" ht="47.25" x14ac:dyDescent="0.25">
      <c r="B34" s="56" t="s">
        <v>1</v>
      </c>
      <c r="C34" s="46" t="s">
        <v>10</v>
      </c>
      <c r="D34" s="47" t="s">
        <v>11</v>
      </c>
      <c r="AV34" s="2"/>
    </row>
    <row r="35" spans="1:48" x14ac:dyDescent="0.25">
      <c r="B35" s="57">
        <v>1</v>
      </c>
      <c r="C35" s="49">
        <f>C25+D25</f>
        <v>550</v>
      </c>
      <c r="D35" s="50">
        <f>G25-C35</f>
        <v>0</v>
      </c>
      <c r="AV35" s="2"/>
    </row>
    <row r="36" spans="1:48" x14ac:dyDescent="0.25">
      <c r="B36" s="57">
        <v>2</v>
      </c>
      <c r="C36" s="49">
        <f>C35+D26</f>
        <v>600</v>
      </c>
      <c r="D36" s="50">
        <f>G26-C36</f>
        <v>5</v>
      </c>
      <c r="AV36" s="2"/>
    </row>
    <row r="37" spans="1:48" x14ac:dyDescent="0.25">
      <c r="B37" s="57">
        <v>3</v>
      </c>
      <c r="C37" s="49">
        <f>C36+D27</f>
        <v>650</v>
      </c>
      <c r="D37" s="50">
        <f>G27-C37</f>
        <v>15.5</v>
      </c>
      <c r="AV37" s="2"/>
    </row>
    <row r="38" spans="1:48" x14ac:dyDescent="0.25">
      <c r="B38" s="57">
        <v>4</v>
      </c>
      <c r="C38" s="49">
        <f>C37+D28</f>
        <v>700</v>
      </c>
      <c r="D38" s="50">
        <f>G28-C38</f>
        <v>32.050000000000068</v>
      </c>
      <c r="AV38" s="2"/>
    </row>
    <row r="39" spans="1:48" x14ac:dyDescent="0.25">
      <c r="B39" s="58">
        <v>5</v>
      </c>
      <c r="C39" s="54">
        <f>C38+D29</f>
        <v>750</v>
      </c>
      <c r="D39" s="59">
        <f>G29-C39</f>
        <v>55.255000000000109</v>
      </c>
      <c r="AV39" s="2"/>
    </row>
    <row r="41" spans="1:48" x14ac:dyDescent="0.25">
      <c r="A41" s="171" t="s">
        <v>42</v>
      </c>
      <c r="B41" s="171"/>
      <c r="C41" s="171"/>
      <c r="D41" s="171"/>
      <c r="E41" s="171"/>
      <c r="F41" s="171"/>
      <c r="G41" s="171"/>
      <c r="H41" s="171"/>
      <c r="I41" s="171"/>
      <c r="J41" s="171"/>
      <c r="K41" s="171"/>
    </row>
    <row r="62" spans="1:15" x14ac:dyDescent="0.25">
      <c r="A62" s="171" t="s">
        <v>38</v>
      </c>
      <c r="B62" s="171"/>
      <c r="C62" s="171"/>
      <c r="D62" s="171"/>
      <c r="E62" s="171"/>
      <c r="F62" s="171"/>
      <c r="G62" s="171"/>
      <c r="H62" s="171"/>
      <c r="I62" s="171"/>
      <c r="J62" s="171"/>
      <c r="K62" s="171"/>
    </row>
    <row r="64" spans="1:15" s="15" customFormat="1" x14ac:dyDescent="0.25">
      <c r="A64" s="11" t="s">
        <v>7</v>
      </c>
      <c r="B64" s="12"/>
      <c r="C64" s="12"/>
      <c r="D64" s="12"/>
      <c r="E64" s="13"/>
      <c r="F64" s="12"/>
      <c r="G64" s="12"/>
      <c r="H64" s="12"/>
      <c r="I64" s="12"/>
      <c r="J64" s="12"/>
      <c r="K64" s="12"/>
      <c r="L64" s="12"/>
      <c r="M64" s="12"/>
      <c r="N64" s="12"/>
      <c r="O64" s="14"/>
    </row>
    <row r="65" spans="1:48" s="15" customFormat="1" ht="31.5" customHeight="1" x14ac:dyDescent="0.25">
      <c r="A65" s="168" t="s">
        <v>269</v>
      </c>
      <c r="B65" s="168"/>
      <c r="C65" s="168"/>
      <c r="D65" s="168"/>
      <c r="E65" s="168"/>
      <c r="F65" s="168"/>
      <c r="G65" s="168"/>
      <c r="H65" s="168"/>
      <c r="I65" s="168"/>
      <c r="J65" s="168"/>
      <c r="K65" s="168"/>
      <c r="L65" s="12"/>
      <c r="M65" s="12"/>
      <c r="N65" s="12"/>
      <c r="O65" s="14"/>
    </row>
    <row r="66" spans="1:48" s="14" customFormat="1" x14ac:dyDescent="0.25"/>
    <row r="68" spans="1:48" ht="31.5" customHeight="1" x14ac:dyDescent="0.25">
      <c r="A68" s="171" t="s">
        <v>61</v>
      </c>
      <c r="B68" s="171"/>
      <c r="C68" s="171"/>
      <c r="D68" s="171"/>
      <c r="E68" s="171"/>
      <c r="F68" s="171"/>
      <c r="G68" s="171"/>
      <c r="H68" s="171"/>
      <c r="I68" s="171"/>
      <c r="J68" s="171"/>
      <c r="K68" s="171"/>
    </row>
    <row r="70" spans="1:48" x14ac:dyDescent="0.25">
      <c r="B70" s="56" t="s">
        <v>23</v>
      </c>
      <c r="C70" s="173" t="s">
        <v>12</v>
      </c>
      <c r="D70" s="173"/>
      <c r="E70" s="173"/>
      <c r="F70" s="173"/>
      <c r="G70" s="174"/>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row>
    <row r="71" spans="1:48" x14ac:dyDescent="0.25">
      <c r="B71" s="60" t="s">
        <v>24</v>
      </c>
      <c r="C71" s="61">
        <v>0</v>
      </c>
      <c r="D71" s="61">
        <v>0.05</v>
      </c>
      <c r="E71" s="61">
        <v>0.1</v>
      </c>
      <c r="F71" s="61">
        <v>0.15</v>
      </c>
      <c r="G71" s="62">
        <v>0.2</v>
      </c>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row>
    <row r="72" spans="1:48" x14ac:dyDescent="0.25">
      <c r="B72" s="63">
        <v>0</v>
      </c>
      <c r="C72" s="64">
        <f t="shared" ref="C72:G72" si="0">(1+$C$71)^B72</f>
        <v>1</v>
      </c>
      <c r="D72" s="64">
        <f t="shared" si="0"/>
        <v>1</v>
      </c>
      <c r="E72" s="64">
        <f t="shared" si="0"/>
        <v>1</v>
      </c>
      <c r="F72" s="64">
        <f t="shared" si="0"/>
        <v>1</v>
      </c>
      <c r="G72" s="65">
        <f t="shared" si="0"/>
        <v>1</v>
      </c>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row>
    <row r="73" spans="1:48" x14ac:dyDescent="0.25">
      <c r="B73" s="66">
        <v>1</v>
      </c>
      <c r="C73" s="64">
        <f>(1+$C$71)^B73</f>
        <v>1</v>
      </c>
      <c r="D73" s="64">
        <f>(1+$D$71)^B73</f>
        <v>1.05</v>
      </c>
      <c r="E73" s="64">
        <f>(1+$E$71)^B73</f>
        <v>1.1000000000000001</v>
      </c>
      <c r="F73" s="64">
        <f>(1+$F$71)^B73</f>
        <v>1.1499999999999999</v>
      </c>
      <c r="G73" s="65">
        <f>(1+$G$71)^B73</f>
        <v>1.2</v>
      </c>
    </row>
    <row r="74" spans="1:48" x14ac:dyDescent="0.25">
      <c r="B74" s="66">
        <v>2</v>
      </c>
      <c r="C74" s="64">
        <f t="shared" ref="C74:C82" si="1">(1+$C$71)^B74</f>
        <v>1</v>
      </c>
      <c r="D74" s="64">
        <f t="shared" ref="D74:D82" si="2">(1+$D$71)^B74</f>
        <v>1.1025</v>
      </c>
      <c r="E74" s="64">
        <f t="shared" ref="E74:E82" si="3">(1+$E$71)^B74</f>
        <v>1.2100000000000002</v>
      </c>
      <c r="F74" s="64">
        <f t="shared" ref="F74:F82" si="4">(1+$F$71)^B74</f>
        <v>1.3224999999999998</v>
      </c>
      <c r="G74" s="65">
        <f t="shared" ref="G74:G82" si="5">(1+$G$71)^B74</f>
        <v>1.44</v>
      </c>
    </row>
    <row r="75" spans="1:48" x14ac:dyDescent="0.25">
      <c r="B75" s="66">
        <v>3</v>
      </c>
      <c r="C75" s="64">
        <f t="shared" si="1"/>
        <v>1</v>
      </c>
      <c r="D75" s="64">
        <f t="shared" si="2"/>
        <v>1.1576250000000001</v>
      </c>
      <c r="E75" s="64">
        <f t="shared" si="3"/>
        <v>1.3310000000000004</v>
      </c>
      <c r="F75" s="64">
        <f t="shared" si="4"/>
        <v>1.5208749999999995</v>
      </c>
      <c r="G75" s="65">
        <f t="shared" si="5"/>
        <v>1.728</v>
      </c>
    </row>
    <row r="76" spans="1:48" x14ac:dyDescent="0.25">
      <c r="B76" s="66">
        <v>4</v>
      </c>
      <c r="C76" s="64">
        <f t="shared" si="1"/>
        <v>1</v>
      </c>
      <c r="D76" s="64">
        <f t="shared" si="2"/>
        <v>1.21550625</v>
      </c>
      <c r="E76" s="64">
        <f t="shared" si="3"/>
        <v>1.4641000000000004</v>
      </c>
      <c r="F76" s="64">
        <f t="shared" si="4"/>
        <v>1.7490062499999994</v>
      </c>
      <c r="G76" s="65">
        <f t="shared" si="5"/>
        <v>2.0735999999999999</v>
      </c>
    </row>
    <row r="77" spans="1:48" x14ac:dyDescent="0.25">
      <c r="B77" s="66">
        <v>5</v>
      </c>
      <c r="C77" s="64">
        <f t="shared" si="1"/>
        <v>1</v>
      </c>
      <c r="D77" s="64">
        <f t="shared" si="2"/>
        <v>1.2762815625000001</v>
      </c>
      <c r="E77" s="64">
        <f t="shared" si="3"/>
        <v>1.6105100000000006</v>
      </c>
      <c r="F77" s="64">
        <f t="shared" si="4"/>
        <v>2.0113571874999994</v>
      </c>
      <c r="G77" s="65">
        <f t="shared" si="5"/>
        <v>2.4883199999999999</v>
      </c>
    </row>
    <row r="78" spans="1:48" x14ac:dyDescent="0.25">
      <c r="B78" s="66">
        <v>6</v>
      </c>
      <c r="C78" s="64">
        <f t="shared" si="1"/>
        <v>1</v>
      </c>
      <c r="D78" s="64">
        <f t="shared" si="2"/>
        <v>1.340095640625</v>
      </c>
      <c r="E78" s="64">
        <f t="shared" si="3"/>
        <v>1.7715610000000008</v>
      </c>
      <c r="F78" s="64">
        <f t="shared" si="4"/>
        <v>2.3130607656249991</v>
      </c>
      <c r="G78" s="65">
        <f t="shared" si="5"/>
        <v>2.9859839999999997</v>
      </c>
    </row>
    <row r="79" spans="1:48" x14ac:dyDescent="0.25">
      <c r="B79" s="66">
        <v>7</v>
      </c>
      <c r="C79" s="64">
        <f t="shared" si="1"/>
        <v>1</v>
      </c>
      <c r="D79" s="64">
        <f t="shared" si="2"/>
        <v>1.4071004226562502</v>
      </c>
      <c r="E79" s="64">
        <f t="shared" si="3"/>
        <v>1.9487171000000012</v>
      </c>
      <c r="F79" s="64">
        <f t="shared" si="4"/>
        <v>2.6600198804687483</v>
      </c>
      <c r="G79" s="65">
        <f t="shared" si="5"/>
        <v>3.5831807999999996</v>
      </c>
    </row>
    <row r="80" spans="1:48" x14ac:dyDescent="0.25">
      <c r="B80" s="66">
        <v>8</v>
      </c>
      <c r="C80" s="64">
        <f t="shared" si="1"/>
        <v>1</v>
      </c>
      <c r="D80" s="64">
        <f t="shared" si="2"/>
        <v>1.4774554437890626</v>
      </c>
      <c r="E80" s="64">
        <f t="shared" si="3"/>
        <v>2.1435888100000011</v>
      </c>
      <c r="F80" s="64">
        <f t="shared" si="4"/>
        <v>3.0590228625390603</v>
      </c>
      <c r="G80" s="65">
        <f t="shared" si="5"/>
        <v>4.2998169599999994</v>
      </c>
    </row>
    <row r="81" spans="1:11" x14ac:dyDescent="0.25">
      <c r="B81" s="66">
        <v>9</v>
      </c>
      <c r="C81" s="64">
        <f t="shared" si="1"/>
        <v>1</v>
      </c>
      <c r="D81" s="64">
        <f t="shared" si="2"/>
        <v>1.5513282159785158</v>
      </c>
      <c r="E81" s="64">
        <f t="shared" si="3"/>
        <v>2.3579476910000015</v>
      </c>
      <c r="F81" s="64">
        <f t="shared" si="4"/>
        <v>3.5178762919199191</v>
      </c>
      <c r="G81" s="65">
        <f t="shared" si="5"/>
        <v>5.1597803519999994</v>
      </c>
    </row>
    <row r="82" spans="1:11" x14ac:dyDescent="0.25">
      <c r="B82" s="67">
        <v>10</v>
      </c>
      <c r="C82" s="68">
        <f t="shared" si="1"/>
        <v>1</v>
      </c>
      <c r="D82" s="68">
        <f t="shared" si="2"/>
        <v>1.6288946267774416</v>
      </c>
      <c r="E82" s="68">
        <f t="shared" si="3"/>
        <v>2.5937424601000019</v>
      </c>
      <c r="F82" s="68">
        <f t="shared" si="4"/>
        <v>4.0455577357079067</v>
      </c>
      <c r="G82" s="69">
        <f t="shared" si="5"/>
        <v>6.1917364223999991</v>
      </c>
    </row>
    <row r="84" spans="1:11" ht="31.5" customHeight="1" x14ac:dyDescent="0.25">
      <c r="A84" s="171" t="s">
        <v>50</v>
      </c>
      <c r="B84" s="171"/>
      <c r="C84" s="171"/>
      <c r="D84" s="171"/>
      <c r="E84" s="171"/>
      <c r="F84" s="171"/>
      <c r="G84" s="171"/>
      <c r="H84" s="171"/>
      <c r="I84" s="171"/>
      <c r="J84" s="171"/>
      <c r="K84" s="171"/>
    </row>
    <row r="106" spans="1:48" s="15" customFormat="1" x14ac:dyDescent="0.25">
      <c r="A106" s="11" t="s">
        <v>7</v>
      </c>
      <c r="B106" s="12"/>
      <c r="C106" s="12"/>
      <c r="D106" s="12"/>
      <c r="E106" s="13"/>
      <c r="F106" s="12"/>
      <c r="G106" s="12"/>
      <c r="H106" s="12"/>
      <c r="I106" s="12"/>
      <c r="J106" s="12"/>
      <c r="K106" s="12"/>
      <c r="L106" s="12"/>
      <c r="M106" s="12"/>
      <c r="N106" s="12"/>
      <c r="O106" s="14"/>
    </row>
    <row r="107" spans="1:48" s="15" customFormat="1" ht="110.25" customHeight="1" x14ac:dyDescent="0.25">
      <c r="A107" s="168" t="s">
        <v>51</v>
      </c>
      <c r="B107" s="168"/>
      <c r="C107" s="168"/>
      <c r="D107" s="168"/>
      <c r="E107" s="168"/>
      <c r="F107" s="168"/>
      <c r="G107" s="168"/>
      <c r="H107" s="168"/>
      <c r="I107" s="168"/>
      <c r="J107" s="168"/>
      <c r="K107" s="168"/>
      <c r="L107" s="12"/>
      <c r="M107" s="12"/>
      <c r="N107" s="12"/>
      <c r="O107" s="14"/>
    </row>
    <row r="108" spans="1:48" s="15" customFormat="1" x14ac:dyDescent="0.25">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c r="AE108" s="14"/>
      <c r="AF108" s="14"/>
      <c r="AG108" s="14"/>
      <c r="AH108" s="14"/>
      <c r="AI108" s="14"/>
      <c r="AJ108" s="14"/>
      <c r="AK108" s="14"/>
      <c r="AL108" s="14"/>
      <c r="AM108" s="14"/>
      <c r="AN108" s="14"/>
      <c r="AO108" s="14"/>
      <c r="AP108" s="14"/>
      <c r="AQ108" s="14"/>
      <c r="AR108" s="14"/>
      <c r="AS108" s="14"/>
      <c r="AT108" s="14"/>
      <c r="AU108" s="14"/>
      <c r="AV108" s="14"/>
    </row>
    <row r="110" spans="1:48" ht="31.5" customHeight="1" x14ac:dyDescent="0.25">
      <c r="A110" s="171" t="s">
        <v>52</v>
      </c>
      <c r="B110" s="171"/>
      <c r="C110" s="171"/>
      <c r="D110" s="171"/>
      <c r="E110" s="171"/>
      <c r="F110" s="171"/>
      <c r="G110" s="171"/>
      <c r="H110" s="171"/>
      <c r="I110" s="171"/>
      <c r="J110" s="171"/>
      <c r="K110" s="171"/>
    </row>
    <row r="112" spans="1:48" x14ac:dyDescent="0.25">
      <c r="B112" s="3" t="s">
        <v>21</v>
      </c>
      <c r="D112" s="5">
        <v>0.12</v>
      </c>
    </row>
    <row r="113" spans="1:48" x14ac:dyDescent="0.25">
      <c r="B113" s="3" t="s">
        <v>20</v>
      </c>
      <c r="D113" s="30">
        <v>3</v>
      </c>
    </row>
    <row r="114" spans="1:48" x14ac:dyDescent="0.25">
      <c r="B114" s="3" t="s">
        <v>22</v>
      </c>
      <c r="D114" s="7">
        <v>400</v>
      </c>
    </row>
    <row r="116" spans="1:48" x14ac:dyDescent="0.25">
      <c r="A116" s="171" t="s">
        <v>25</v>
      </c>
      <c r="B116" s="171"/>
      <c r="C116" s="171"/>
      <c r="D116" s="171"/>
      <c r="E116" s="171"/>
      <c r="F116" s="171"/>
      <c r="G116" s="171"/>
      <c r="H116" s="171"/>
      <c r="I116" s="171"/>
      <c r="J116" s="171"/>
      <c r="K116" s="171"/>
    </row>
    <row r="118" spans="1:48" x14ac:dyDescent="0.25">
      <c r="B118" s="3" t="s">
        <v>26</v>
      </c>
      <c r="D118" s="8">
        <f>FV(D112,D113,,-D114)</f>
        <v>561.97120000000018</v>
      </c>
    </row>
    <row r="120" spans="1:48" s="15" customFormat="1" x14ac:dyDescent="0.25">
      <c r="A120" s="11" t="s">
        <v>7</v>
      </c>
      <c r="B120" s="12"/>
      <c r="C120" s="12"/>
      <c r="D120" s="12"/>
      <c r="E120" s="13"/>
      <c r="F120" s="12"/>
      <c r="G120" s="12"/>
      <c r="H120" s="12"/>
      <c r="I120" s="12"/>
      <c r="J120" s="12"/>
      <c r="K120" s="12"/>
      <c r="L120" s="12"/>
      <c r="M120" s="12"/>
      <c r="N120" s="12"/>
      <c r="O120" s="14"/>
    </row>
    <row r="121" spans="1:48" s="15" customFormat="1" x14ac:dyDescent="0.25">
      <c r="A121" s="168" t="s">
        <v>27</v>
      </c>
      <c r="B121" s="168"/>
      <c r="C121" s="168"/>
      <c r="D121" s="168"/>
      <c r="E121" s="168"/>
      <c r="F121" s="168"/>
      <c r="G121" s="168"/>
      <c r="H121" s="168"/>
      <c r="I121" s="168"/>
      <c r="J121" s="168"/>
      <c r="K121" s="168"/>
      <c r="L121" s="12"/>
      <c r="M121" s="12"/>
      <c r="N121" s="12"/>
      <c r="O121" s="14"/>
    </row>
    <row r="122" spans="1:48" s="14" customFormat="1" x14ac:dyDescent="0.25"/>
    <row r="123" spans="1:48" s="14" customFormat="1" x14ac:dyDescent="0.25"/>
    <row r="124" spans="1:48" s="15" customFormat="1" x14ac:dyDescent="0.25">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c r="AA124" s="14"/>
      <c r="AB124" s="14"/>
      <c r="AC124" s="14"/>
      <c r="AD124" s="14"/>
      <c r="AE124" s="14"/>
      <c r="AF124" s="14"/>
      <c r="AG124" s="14"/>
      <c r="AH124" s="14"/>
      <c r="AI124" s="14"/>
      <c r="AJ124" s="14"/>
      <c r="AK124" s="14"/>
      <c r="AL124" s="14"/>
      <c r="AM124" s="14"/>
      <c r="AN124" s="14"/>
      <c r="AO124" s="14"/>
      <c r="AP124" s="14"/>
      <c r="AQ124" s="14"/>
      <c r="AR124" s="14"/>
      <c r="AS124" s="14"/>
      <c r="AT124" s="14"/>
      <c r="AU124" s="14"/>
      <c r="AV124" s="14"/>
    </row>
    <row r="125" spans="1:48" s="15" customFormat="1" x14ac:dyDescent="0.25">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c r="AA125" s="14"/>
      <c r="AB125" s="14"/>
      <c r="AC125" s="14"/>
      <c r="AD125" s="14"/>
      <c r="AE125" s="14"/>
      <c r="AF125" s="14"/>
      <c r="AG125" s="14"/>
      <c r="AH125" s="14"/>
      <c r="AI125" s="14"/>
      <c r="AJ125" s="14"/>
      <c r="AK125" s="14"/>
      <c r="AL125" s="14"/>
      <c r="AM125" s="14"/>
      <c r="AN125" s="14"/>
      <c r="AO125" s="14"/>
      <c r="AP125" s="14"/>
      <c r="AQ125" s="14"/>
      <c r="AR125" s="14"/>
      <c r="AS125" s="14"/>
      <c r="AT125" s="14"/>
      <c r="AU125" s="14"/>
      <c r="AV125" s="14"/>
    </row>
    <row r="126" spans="1:48" s="15" customFormat="1" x14ac:dyDescent="0.25">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c r="AA126" s="14"/>
      <c r="AB126" s="14"/>
      <c r="AC126" s="14"/>
      <c r="AD126" s="14"/>
      <c r="AE126" s="14"/>
      <c r="AF126" s="14"/>
      <c r="AG126" s="14"/>
      <c r="AH126" s="14"/>
      <c r="AI126" s="14"/>
      <c r="AJ126" s="14"/>
      <c r="AK126" s="14"/>
      <c r="AL126" s="14"/>
      <c r="AM126" s="14"/>
      <c r="AN126" s="14"/>
      <c r="AO126" s="14"/>
      <c r="AP126" s="14"/>
      <c r="AQ126" s="14"/>
      <c r="AR126" s="14"/>
      <c r="AS126" s="14"/>
      <c r="AT126" s="14"/>
      <c r="AU126" s="14"/>
      <c r="AV126" s="14"/>
    </row>
    <row r="127" spans="1:48" s="15" customFormat="1" x14ac:dyDescent="0.25">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c r="AA127" s="14"/>
      <c r="AB127" s="14"/>
      <c r="AC127" s="14"/>
      <c r="AD127" s="14"/>
      <c r="AE127" s="14"/>
      <c r="AF127" s="14"/>
      <c r="AG127" s="14"/>
      <c r="AH127" s="14"/>
      <c r="AI127" s="14"/>
      <c r="AJ127" s="14"/>
      <c r="AK127" s="14"/>
      <c r="AL127" s="14"/>
      <c r="AM127" s="14"/>
      <c r="AN127" s="14"/>
      <c r="AO127" s="14"/>
      <c r="AP127" s="14"/>
      <c r="AQ127" s="14"/>
      <c r="AR127" s="14"/>
      <c r="AS127" s="14"/>
      <c r="AT127" s="14"/>
      <c r="AU127" s="14"/>
      <c r="AV127" s="14"/>
    </row>
    <row r="128" spans="1:48" s="15" customFormat="1" x14ac:dyDescent="0.25">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c r="AA128" s="14"/>
      <c r="AB128" s="14"/>
      <c r="AC128" s="14"/>
      <c r="AD128" s="14"/>
      <c r="AE128" s="14"/>
      <c r="AF128" s="14"/>
      <c r="AG128" s="14"/>
      <c r="AH128" s="14"/>
      <c r="AI128" s="14"/>
      <c r="AJ128" s="14"/>
      <c r="AK128" s="14"/>
      <c r="AL128" s="14"/>
      <c r="AM128" s="14"/>
      <c r="AN128" s="14"/>
      <c r="AO128" s="14"/>
      <c r="AP128" s="14"/>
      <c r="AQ128" s="14"/>
      <c r="AR128" s="14"/>
      <c r="AS128" s="14"/>
      <c r="AT128" s="14"/>
      <c r="AU128" s="14"/>
      <c r="AV128" s="14"/>
    </row>
    <row r="129" spans="1:48" s="15" customFormat="1" x14ac:dyDescent="0.25">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c r="AB129" s="14"/>
      <c r="AC129" s="14"/>
      <c r="AD129" s="14"/>
      <c r="AE129" s="14"/>
      <c r="AF129" s="14"/>
      <c r="AG129" s="14"/>
      <c r="AH129" s="14"/>
      <c r="AI129" s="14"/>
      <c r="AJ129" s="14"/>
      <c r="AK129" s="14"/>
      <c r="AL129" s="14"/>
      <c r="AM129" s="14"/>
      <c r="AN129" s="14"/>
      <c r="AO129" s="14"/>
      <c r="AP129" s="14"/>
      <c r="AQ129" s="14"/>
      <c r="AR129" s="14"/>
      <c r="AS129" s="14"/>
      <c r="AT129" s="14"/>
      <c r="AU129" s="14"/>
      <c r="AV129" s="14"/>
    </row>
    <row r="130" spans="1:48" s="15" customFormat="1" x14ac:dyDescent="0.25">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c r="AB130" s="14"/>
      <c r="AC130" s="14"/>
      <c r="AD130" s="14"/>
      <c r="AE130" s="14"/>
      <c r="AF130" s="14"/>
      <c r="AG130" s="14"/>
      <c r="AH130" s="14"/>
      <c r="AI130" s="14"/>
      <c r="AJ130" s="14"/>
      <c r="AK130" s="14"/>
      <c r="AL130" s="14"/>
      <c r="AM130" s="14"/>
      <c r="AN130" s="14"/>
      <c r="AO130" s="14"/>
      <c r="AP130" s="14"/>
      <c r="AQ130" s="14"/>
      <c r="AR130" s="14"/>
      <c r="AS130" s="14"/>
      <c r="AT130" s="14"/>
      <c r="AU130" s="14"/>
      <c r="AV130" s="14"/>
    </row>
    <row r="131" spans="1:48" s="15" customFormat="1" x14ac:dyDescent="0.25">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c r="AE131" s="14"/>
      <c r="AF131" s="14"/>
      <c r="AG131" s="14"/>
      <c r="AH131" s="14"/>
      <c r="AI131" s="14"/>
      <c r="AJ131" s="14"/>
      <c r="AK131" s="14"/>
      <c r="AL131" s="14"/>
      <c r="AM131" s="14"/>
      <c r="AN131" s="14"/>
      <c r="AO131" s="14"/>
      <c r="AP131" s="14"/>
      <c r="AQ131" s="14"/>
      <c r="AR131" s="14"/>
      <c r="AS131" s="14"/>
      <c r="AT131" s="14"/>
      <c r="AU131" s="14"/>
      <c r="AV131" s="14"/>
    </row>
    <row r="132" spans="1:48" s="15" customFormat="1" x14ac:dyDescent="0.25">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c r="AE132" s="14"/>
      <c r="AF132" s="14"/>
      <c r="AG132" s="14"/>
      <c r="AH132" s="14"/>
      <c r="AI132" s="14"/>
      <c r="AJ132" s="14"/>
      <c r="AK132" s="14"/>
      <c r="AL132" s="14"/>
      <c r="AM132" s="14"/>
      <c r="AN132" s="14"/>
      <c r="AO132" s="14"/>
      <c r="AP132" s="14"/>
      <c r="AQ132" s="14"/>
      <c r="AR132" s="14"/>
      <c r="AS132" s="14"/>
      <c r="AT132" s="14"/>
      <c r="AU132" s="14"/>
      <c r="AV132" s="14"/>
    </row>
    <row r="133" spans="1:48" s="15" customFormat="1" x14ac:dyDescent="0.25">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c r="AB133" s="14"/>
      <c r="AC133" s="14"/>
      <c r="AD133" s="14"/>
      <c r="AE133" s="14"/>
      <c r="AF133" s="14"/>
      <c r="AG133" s="14"/>
      <c r="AH133" s="14"/>
      <c r="AI133" s="14"/>
      <c r="AJ133" s="14"/>
      <c r="AK133" s="14"/>
      <c r="AL133" s="14"/>
      <c r="AM133" s="14"/>
      <c r="AN133" s="14"/>
      <c r="AO133" s="14"/>
      <c r="AP133" s="14"/>
      <c r="AQ133" s="14"/>
      <c r="AR133" s="14"/>
      <c r="AS133" s="14"/>
      <c r="AT133" s="14"/>
      <c r="AU133" s="14"/>
      <c r="AV133" s="14"/>
    </row>
    <row r="134" spans="1:48" s="15" customFormat="1" x14ac:dyDescent="0.25">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c r="AB134" s="14"/>
      <c r="AC134" s="14"/>
      <c r="AD134" s="14"/>
      <c r="AE134" s="14"/>
      <c r="AF134" s="14"/>
      <c r="AG134" s="14"/>
      <c r="AH134" s="14"/>
      <c r="AI134" s="14"/>
      <c r="AJ134" s="14"/>
      <c r="AK134" s="14"/>
      <c r="AL134" s="14"/>
      <c r="AM134" s="14"/>
      <c r="AN134" s="14"/>
      <c r="AO134" s="14"/>
      <c r="AP134" s="14"/>
      <c r="AQ134" s="14"/>
      <c r="AR134" s="14"/>
      <c r="AS134" s="14"/>
      <c r="AT134" s="14"/>
      <c r="AU134" s="14"/>
      <c r="AV134" s="14"/>
    </row>
    <row r="135" spans="1:48" s="15" customFormat="1" x14ac:dyDescent="0.25">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c r="AE135" s="14"/>
      <c r="AF135" s="14"/>
      <c r="AG135" s="14"/>
      <c r="AH135" s="14"/>
      <c r="AI135" s="14"/>
      <c r="AJ135" s="14"/>
      <c r="AK135" s="14"/>
      <c r="AL135" s="14"/>
      <c r="AM135" s="14"/>
      <c r="AN135" s="14"/>
      <c r="AO135" s="14"/>
      <c r="AP135" s="14"/>
      <c r="AQ135" s="14"/>
      <c r="AR135" s="14"/>
      <c r="AS135" s="14"/>
      <c r="AT135" s="14"/>
      <c r="AU135" s="14"/>
      <c r="AV135" s="14"/>
    </row>
    <row r="136" spans="1:48" s="15" customFormat="1" x14ac:dyDescent="0.25">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c r="AB136" s="14"/>
      <c r="AC136" s="14"/>
      <c r="AD136" s="14"/>
      <c r="AE136" s="14"/>
      <c r="AF136" s="14"/>
      <c r="AG136" s="14"/>
      <c r="AH136" s="14"/>
      <c r="AI136" s="14"/>
      <c r="AJ136" s="14"/>
      <c r="AK136" s="14"/>
      <c r="AL136" s="14"/>
      <c r="AM136" s="14"/>
      <c r="AN136" s="14"/>
      <c r="AO136" s="14"/>
      <c r="AP136" s="14"/>
      <c r="AQ136" s="14"/>
      <c r="AR136" s="14"/>
      <c r="AS136" s="14"/>
      <c r="AT136" s="14"/>
      <c r="AU136" s="14"/>
      <c r="AV136" s="14"/>
    </row>
    <row r="137" spans="1:48" s="15" customFormat="1" x14ac:dyDescent="0.25">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c r="AE137" s="14"/>
      <c r="AF137" s="14"/>
      <c r="AG137" s="14"/>
      <c r="AH137" s="14"/>
      <c r="AI137" s="14"/>
      <c r="AJ137" s="14"/>
      <c r="AK137" s="14"/>
      <c r="AL137" s="14"/>
      <c r="AM137" s="14"/>
      <c r="AN137" s="14"/>
      <c r="AO137" s="14"/>
      <c r="AP137" s="14"/>
      <c r="AQ137" s="14"/>
      <c r="AR137" s="14"/>
      <c r="AS137" s="14"/>
      <c r="AT137" s="14"/>
      <c r="AU137" s="14"/>
      <c r="AV137" s="14"/>
    </row>
    <row r="138" spans="1:48" s="15" customFormat="1" x14ac:dyDescent="0.25">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4"/>
      <c r="AC138" s="14"/>
      <c r="AD138" s="14"/>
      <c r="AE138" s="14"/>
      <c r="AF138" s="14"/>
      <c r="AG138" s="14"/>
      <c r="AH138" s="14"/>
      <c r="AI138" s="14"/>
      <c r="AJ138" s="14"/>
      <c r="AK138" s="14"/>
      <c r="AL138" s="14"/>
      <c r="AM138" s="14"/>
      <c r="AN138" s="14"/>
      <c r="AO138" s="14"/>
      <c r="AP138" s="14"/>
      <c r="AQ138" s="14"/>
      <c r="AR138" s="14"/>
      <c r="AS138" s="14"/>
      <c r="AT138" s="14"/>
      <c r="AU138" s="14"/>
      <c r="AV138" s="14"/>
    </row>
    <row r="139" spans="1:48" s="15" customFormat="1" ht="63" customHeight="1" x14ac:dyDescent="0.25">
      <c r="A139" s="169" t="s">
        <v>53</v>
      </c>
      <c r="B139" s="169"/>
      <c r="C139" s="169"/>
      <c r="D139" s="169"/>
      <c r="E139" s="169"/>
      <c r="F139" s="169"/>
      <c r="G139" s="169"/>
      <c r="H139" s="169"/>
      <c r="I139" s="169"/>
      <c r="J139" s="169"/>
      <c r="K139" s="169"/>
      <c r="L139" s="14"/>
      <c r="M139" s="14"/>
      <c r="N139" s="14"/>
      <c r="O139" s="14"/>
      <c r="P139" s="14"/>
      <c r="Q139" s="14"/>
      <c r="R139" s="14"/>
      <c r="S139" s="14"/>
      <c r="T139" s="14"/>
      <c r="U139" s="14"/>
      <c r="V139" s="14"/>
      <c r="W139" s="14"/>
      <c r="X139" s="14"/>
      <c r="Y139" s="14"/>
      <c r="Z139" s="14"/>
      <c r="AA139" s="14"/>
      <c r="AB139" s="14"/>
      <c r="AC139" s="14"/>
      <c r="AD139" s="14"/>
      <c r="AE139" s="14"/>
      <c r="AF139" s="14"/>
      <c r="AG139" s="14"/>
      <c r="AH139" s="14"/>
      <c r="AI139" s="14"/>
      <c r="AJ139" s="14"/>
      <c r="AK139" s="14"/>
      <c r="AL139" s="14"/>
      <c r="AM139" s="14"/>
      <c r="AN139" s="14"/>
      <c r="AO139" s="14"/>
      <c r="AP139" s="14"/>
      <c r="AQ139" s="14"/>
      <c r="AR139" s="14"/>
      <c r="AS139" s="14"/>
      <c r="AT139" s="14"/>
      <c r="AU139" s="14"/>
      <c r="AV139" s="14"/>
    </row>
    <row r="140" spans="1:48" s="15" customFormat="1" x14ac:dyDescent="0.25">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c r="AB140" s="14"/>
      <c r="AC140" s="14"/>
      <c r="AD140" s="14"/>
      <c r="AE140" s="14"/>
      <c r="AF140" s="14"/>
      <c r="AG140" s="14"/>
      <c r="AH140" s="14"/>
      <c r="AI140" s="14"/>
      <c r="AJ140" s="14"/>
      <c r="AK140" s="14"/>
      <c r="AL140" s="14"/>
      <c r="AM140" s="14"/>
      <c r="AN140" s="14"/>
      <c r="AO140" s="14"/>
      <c r="AP140" s="14"/>
      <c r="AQ140" s="14"/>
      <c r="AR140" s="14"/>
      <c r="AS140" s="14"/>
      <c r="AT140" s="14"/>
      <c r="AU140" s="14"/>
      <c r="AV140" s="14"/>
    </row>
    <row r="142" spans="1:48" x14ac:dyDescent="0.25">
      <c r="A142" s="170" t="s">
        <v>79</v>
      </c>
      <c r="B142" s="170"/>
      <c r="C142" s="170"/>
      <c r="D142" s="170"/>
      <c r="E142" s="170"/>
      <c r="F142" s="170"/>
      <c r="G142" s="170"/>
      <c r="H142" s="170"/>
      <c r="I142" s="170"/>
      <c r="J142" s="170"/>
      <c r="K142" s="170"/>
    </row>
    <row r="144" spans="1:48" ht="31.5" customHeight="1" x14ac:dyDescent="0.25">
      <c r="B144" s="171" t="s">
        <v>54</v>
      </c>
      <c r="C144" s="171"/>
      <c r="D144" s="171"/>
      <c r="E144" s="171"/>
      <c r="F144" s="171"/>
      <c r="G144" s="171"/>
      <c r="H144" s="171"/>
      <c r="I144" s="171"/>
      <c r="J144" s="171"/>
      <c r="K144" s="171"/>
    </row>
    <row r="146" spans="1:48" x14ac:dyDescent="0.25">
      <c r="B146" s="3" t="s">
        <v>30</v>
      </c>
      <c r="F146" s="7">
        <v>24</v>
      </c>
    </row>
    <row r="147" spans="1:48" x14ac:dyDescent="0.25">
      <c r="B147" s="3" t="s">
        <v>28</v>
      </c>
      <c r="F147" s="5">
        <v>0.1</v>
      </c>
    </row>
    <row r="148" spans="1:48" x14ac:dyDescent="0.25">
      <c r="B148" s="3" t="s">
        <v>20</v>
      </c>
      <c r="F148" s="30">
        <v>389</v>
      </c>
    </row>
    <row r="150" spans="1:48" x14ac:dyDescent="0.25">
      <c r="B150" s="3" t="s">
        <v>29</v>
      </c>
      <c r="D150" s="177">
        <f>FV(F147,F148,,-F146)</f>
        <v>3.0336520577901632E+17</v>
      </c>
      <c r="E150" s="177"/>
      <c r="F150" s="177"/>
    </row>
    <row r="152" spans="1:48" s="15" customFormat="1" x14ac:dyDescent="0.25">
      <c r="A152" s="11" t="s">
        <v>7</v>
      </c>
      <c r="B152" s="12"/>
      <c r="C152" s="12"/>
      <c r="D152" s="12"/>
      <c r="E152" s="13"/>
      <c r="F152" s="12"/>
      <c r="G152" s="12"/>
      <c r="H152" s="12"/>
      <c r="I152" s="12"/>
      <c r="J152" s="12"/>
      <c r="K152" s="12"/>
      <c r="L152" s="12"/>
      <c r="M152" s="12"/>
      <c r="N152" s="12"/>
      <c r="O152" s="14"/>
    </row>
    <row r="153" spans="1:48" s="15" customFormat="1" ht="78.75" customHeight="1" x14ac:dyDescent="0.25">
      <c r="A153" s="168" t="s">
        <v>276</v>
      </c>
      <c r="B153" s="168"/>
      <c r="C153" s="168"/>
      <c r="D153" s="168"/>
      <c r="E153" s="168"/>
      <c r="F153" s="168"/>
      <c r="G153" s="168"/>
      <c r="H153" s="168"/>
      <c r="I153" s="168"/>
      <c r="J153" s="168"/>
      <c r="K153" s="168"/>
      <c r="L153" s="12"/>
      <c r="M153" s="12"/>
      <c r="N153" s="12"/>
      <c r="O153" s="14"/>
    </row>
    <row r="154" spans="1:48" s="15" customFormat="1" x14ac:dyDescent="0.25">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c r="AB154" s="14"/>
      <c r="AC154" s="14"/>
      <c r="AD154" s="14"/>
      <c r="AE154" s="14"/>
      <c r="AF154" s="14"/>
      <c r="AG154" s="14"/>
      <c r="AH154" s="14"/>
      <c r="AI154" s="14"/>
      <c r="AJ154" s="14"/>
      <c r="AK154" s="14"/>
      <c r="AL154" s="14"/>
      <c r="AM154" s="14"/>
      <c r="AN154" s="14"/>
      <c r="AO154" s="14"/>
      <c r="AP154" s="14"/>
      <c r="AQ154" s="14"/>
      <c r="AR154" s="14"/>
      <c r="AS154" s="14"/>
      <c r="AT154" s="14"/>
      <c r="AU154" s="14"/>
      <c r="AV154" s="14"/>
    </row>
    <row r="155" spans="1:48" s="15" customFormat="1" x14ac:dyDescent="0.25">
      <c r="A155" s="169" t="s">
        <v>46</v>
      </c>
      <c r="B155" s="169"/>
      <c r="C155" s="169"/>
      <c r="D155" s="169"/>
      <c r="E155" s="169"/>
      <c r="F155" s="169"/>
      <c r="G155" s="169"/>
      <c r="H155" s="169"/>
      <c r="I155" s="169"/>
      <c r="J155" s="169"/>
      <c r="K155" s="169"/>
      <c r="L155" s="14"/>
      <c r="M155" s="14"/>
      <c r="N155" s="14"/>
      <c r="O155" s="14"/>
      <c r="P155" s="14"/>
      <c r="Q155" s="14"/>
      <c r="R155" s="14"/>
      <c r="S155" s="14"/>
      <c r="T155" s="14"/>
      <c r="U155" s="14"/>
      <c r="V155" s="14"/>
      <c r="W155" s="14"/>
      <c r="X155" s="14"/>
      <c r="Y155" s="14"/>
      <c r="Z155" s="14"/>
      <c r="AA155" s="14"/>
      <c r="AB155" s="14"/>
      <c r="AC155" s="14"/>
      <c r="AD155" s="14"/>
      <c r="AE155" s="14"/>
      <c r="AF155" s="14"/>
      <c r="AG155" s="14"/>
      <c r="AH155" s="14"/>
      <c r="AI155" s="14"/>
      <c r="AJ155" s="14"/>
      <c r="AK155" s="14"/>
      <c r="AL155" s="14"/>
      <c r="AM155" s="14"/>
      <c r="AN155" s="14"/>
      <c r="AO155" s="14"/>
      <c r="AP155" s="14"/>
      <c r="AQ155" s="14"/>
      <c r="AR155" s="14"/>
      <c r="AS155" s="14"/>
      <c r="AT155" s="14"/>
      <c r="AU155" s="14"/>
      <c r="AV155" s="14"/>
    </row>
    <row r="156" spans="1:48" s="15" customFormat="1" x14ac:dyDescent="0.25">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c r="AA156" s="14"/>
      <c r="AB156" s="14"/>
      <c r="AC156" s="14"/>
      <c r="AD156" s="14"/>
      <c r="AE156" s="14"/>
      <c r="AF156" s="14"/>
      <c r="AG156" s="14"/>
      <c r="AH156" s="14"/>
      <c r="AI156" s="14"/>
      <c r="AJ156" s="14"/>
      <c r="AK156" s="14"/>
      <c r="AL156" s="14"/>
      <c r="AM156" s="14"/>
      <c r="AN156" s="14"/>
      <c r="AO156" s="14"/>
      <c r="AP156" s="14"/>
      <c r="AQ156" s="14"/>
      <c r="AR156" s="14"/>
      <c r="AS156" s="14"/>
      <c r="AT156" s="14"/>
      <c r="AU156" s="14"/>
      <c r="AV156" s="14"/>
    </row>
    <row r="158" spans="1:48" x14ac:dyDescent="0.25">
      <c r="A158" s="170" t="s">
        <v>31</v>
      </c>
      <c r="B158" s="170"/>
      <c r="C158" s="170"/>
      <c r="D158" s="170"/>
    </row>
    <row r="159" spans="1:48" s="3" customFormat="1" ht="31.5" customHeight="1" x14ac:dyDescent="0.25">
      <c r="A159" s="171" t="s">
        <v>62</v>
      </c>
      <c r="B159" s="171"/>
      <c r="C159" s="171"/>
      <c r="D159" s="171"/>
      <c r="E159" s="171"/>
      <c r="F159" s="171"/>
      <c r="G159" s="171"/>
      <c r="H159" s="171"/>
      <c r="I159" s="171"/>
      <c r="J159" s="171"/>
      <c r="K159" s="171"/>
    </row>
    <row r="160" spans="1:48" s="3" customFormat="1" x14ac:dyDescent="0.25"/>
    <row r="161" spans="1:14" s="3" customFormat="1" x14ac:dyDescent="0.25">
      <c r="A161" s="170" t="s">
        <v>80</v>
      </c>
      <c r="B161" s="170"/>
      <c r="C161" s="170"/>
      <c r="D161" s="170"/>
      <c r="E161" s="170"/>
    </row>
    <row r="162" spans="1:14" s="3" customFormat="1" x14ac:dyDescent="0.25"/>
    <row r="163" spans="1:14" s="3" customFormat="1" x14ac:dyDescent="0.25">
      <c r="B163" s="3" t="s">
        <v>81</v>
      </c>
    </row>
    <row r="164" spans="1:14" s="3" customFormat="1" x14ac:dyDescent="0.25"/>
    <row r="165" spans="1:14" s="3" customFormat="1" x14ac:dyDescent="0.25">
      <c r="B165" s="3" t="s">
        <v>26</v>
      </c>
      <c r="D165" s="7">
        <v>10000</v>
      </c>
    </row>
    <row r="166" spans="1:14" s="3" customFormat="1" x14ac:dyDescent="0.25">
      <c r="B166" s="3" t="s">
        <v>32</v>
      </c>
      <c r="D166" s="30">
        <v>3</v>
      </c>
    </row>
    <row r="167" spans="1:14" s="3" customFormat="1" x14ac:dyDescent="0.25">
      <c r="B167" s="3" t="s">
        <v>28</v>
      </c>
      <c r="D167" s="5">
        <v>0.08</v>
      </c>
    </row>
    <row r="168" spans="1:14" s="3" customFormat="1" x14ac:dyDescent="0.25"/>
    <row r="169" spans="1:14" s="3" customFormat="1" x14ac:dyDescent="0.25">
      <c r="B169" s="3" t="s">
        <v>33</v>
      </c>
      <c r="D169" s="8">
        <f>PV(D167,D166,,-D165)</f>
        <v>7938.3224102016957</v>
      </c>
    </row>
    <row r="170" spans="1:14" s="3" customFormat="1" x14ac:dyDescent="0.25"/>
    <row r="171" spans="1:14" s="14" customFormat="1" x14ac:dyDescent="0.25">
      <c r="A171" s="34" t="s">
        <v>7</v>
      </c>
      <c r="B171" s="12"/>
      <c r="C171" s="12"/>
      <c r="D171" s="12"/>
      <c r="E171" s="13"/>
      <c r="F171" s="12"/>
      <c r="G171" s="12"/>
      <c r="H171" s="12"/>
      <c r="I171" s="12"/>
      <c r="J171" s="12"/>
      <c r="K171" s="12"/>
      <c r="L171" s="12"/>
      <c r="M171" s="12"/>
      <c r="N171" s="12"/>
    </row>
    <row r="172" spans="1:14" s="14" customFormat="1" x14ac:dyDescent="0.25">
      <c r="A172" s="12" t="s">
        <v>34</v>
      </c>
      <c r="B172" s="12"/>
      <c r="C172" s="12"/>
      <c r="D172" s="12"/>
      <c r="E172" s="13"/>
      <c r="F172" s="12"/>
      <c r="G172" s="12"/>
      <c r="H172" s="12"/>
      <c r="I172" s="12"/>
      <c r="J172" s="12"/>
      <c r="K172" s="12"/>
      <c r="L172" s="12"/>
      <c r="M172" s="12"/>
      <c r="N172" s="12"/>
    </row>
    <row r="173" spans="1:14" s="14" customFormat="1" x14ac:dyDescent="0.25"/>
    <row r="174" spans="1:14" s="14" customFormat="1" x14ac:dyDescent="0.25"/>
    <row r="175" spans="1:14" s="14" customFormat="1" x14ac:dyDescent="0.25"/>
    <row r="176" spans="1:14" s="14" customFormat="1" x14ac:dyDescent="0.25"/>
    <row r="177" spans="1:11" s="14" customFormat="1" x14ac:dyDescent="0.25"/>
    <row r="178" spans="1:11" s="14" customFormat="1" x14ac:dyDescent="0.25"/>
    <row r="179" spans="1:11" s="14" customFormat="1" x14ac:dyDescent="0.25"/>
    <row r="180" spans="1:11" s="14" customFormat="1" x14ac:dyDescent="0.25"/>
    <row r="181" spans="1:11" s="14" customFormat="1" x14ac:dyDescent="0.25"/>
    <row r="182" spans="1:11" s="14" customFormat="1" x14ac:dyDescent="0.25"/>
    <row r="183" spans="1:11" s="14" customFormat="1" x14ac:dyDescent="0.25"/>
    <row r="184" spans="1:11" s="14" customFormat="1" x14ac:dyDescent="0.25"/>
    <row r="185" spans="1:11" s="14" customFormat="1" x14ac:dyDescent="0.25"/>
    <row r="186" spans="1:11" s="14" customFormat="1" x14ac:dyDescent="0.25"/>
    <row r="187" spans="1:11" s="14" customFormat="1" x14ac:dyDescent="0.25"/>
    <row r="188" spans="1:11" s="14" customFormat="1" x14ac:dyDescent="0.25"/>
    <row r="189" spans="1:11" s="14" customFormat="1" x14ac:dyDescent="0.25"/>
    <row r="190" spans="1:11" s="14" customFormat="1" ht="63" customHeight="1" x14ac:dyDescent="0.25">
      <c r="A190" s="169" t="s">
        <v>63</v>
      </c>
      <c r="B190" s="169"/>
      <c r="C190" s="169"/>
      <c r="D190" s="169"/>
      <c r="E190" s="169"/>
      <c r="F190" s="169"/>
      <c r="G190" s="169"/>
      <c r="H190" s="169"/>
      <c r="I190" s="169"/>
      <c r="J190" s="169"/>
      <c r="K190" s="169"/>
    </row>
    <row r="191" spans="1:11" s="14" customFormat="1" x14ac:dyDescent="0.25"/>
    <row r="192" spans="1:11" s="3" customFormat="1" x14ac:dyDescent="0.25"/>
    <row r="193" spans="1:14" s="3" customFormat="1" ht="31.5" customHeight="1" x14ac:dyDescent="0.25">
      <c r="A193" s="171" t="s">
        <v>64</v>
      </c>
      <c r="B193" s="171"/>
      <c r="C193" s="171"/>
      <c r="D193" s="171"/>
      <c r="E193" s="171"/>
      <c r="F193" s="171"/>
      <c r="G193" s="171"/>
      <c r="H193" s="171"/>
      <c r="I193" s="171"/>
      <c r="J193" s="171"/>
      <c r="K193" s="171"/>
    </row>
    <row r="194" spans="1:14" s="3" customFormat="1" x14ac:dyDescent="0.25"/>
    <row r="195" spans="1:14" s="3" customFormat="1" x14ac:dyDescent="0.25">
      <c r="B195" s="3" t="s">
        <v>26</v>
      </c>
      <c r="D195" s="7">
        <v>1</v>
      </c>
    </row>
    <row r="196" spans="1:14" s="3" customFormat="1" x14ac:dyDescent="0.25">
      <c r="B196" s="3" t="s">
        <v>32</v>
      </c>
      <c r="D196" s="30">
        <v>2</v>
      </c>
    </row>
    <row r="197" spans="1:14" s="3" customFormat="1" x14ac:dyDescent="0.25">
      <c r="B197" s="3" t="s">
        <v>28</v>
      </c>
      <c r="D197" s="5">
        <v>0.09</v>
      </c>
    </row>
    <row r="198" spans="1:14" s="3" customFormat="1" x14ac:dyDescent="0.25"/>
    <row r="199" spans="1:14" s="3" customFormat="1" x14ac:dyDescent="0.25">
      <c r="B199" s="3" t="s">
        <v>33</v>
      </c>
      <c r="D199" s="31">
        <f>PV(D197,D196,,-D195)</f>
        <v>0.84167999326655996</v>
      </c>
    </row>
    <row r="200" spans="1:14" s="3" customFormat="1" x14ac:dyDescent="0.25">
      <c r="D200" s="31"/>
    </row>
    <row r="201" spans="1:14" s="14" customFormat="1" x14ac:dyDescent="0.25">
      <c r="A201" s="11" t="s">
        <v>7</v>
      </c>
      <c r="B201" s="12"/>
      <c r="C201" s="12"/>
      <c r="D201" s="12"/>
      <c r="E201" s="13"/>
      <c r="F201" s="12"/>
      <c r="G201" s="12"/>
      <c r="H201" s="12"/>
      <c r="I201" s="12"/>
      <c r="J201" s="12"/>
      <c r="K201" s="12"/>
      <c r="L201" s="12"/>
      <c r="M201" s="12"/>
      <c r="N201" s="12"/>
    </row>
    <row r="202" spans="1:14" s="14" customFormat="1" ht="47.25" customHeight="1" x14ac:dyDescent="0.25">
      <c r="A202" s="168" t="s">
        <v>65</v>
      </c>
      <c r="B202" s="168"/>
      <c r="C202" s="168"/>
      <c r="D202" s="168"/>
      <c r="E202" s="168"/>
      <c r="F202" s="168"/>
      <c r="G202" s="168"/>
      <c r="H202" s="168"/>
      <c r="I202" s="168"/>
      <c r="J202" s="168"/>
      <c r="K202" s="168"/>
      <c r="L202" s="12"/>
      <c r="M202" s="12"/>
      <c r="N202" s="12"/>
    </row>
    <row r="203" spans="1:14" s="14" customFormat="1" x14ac:dyDescent="0.25"/>
    <row r="204" spans="1:14" s="14" customFormat="1" x14ac:dyDescent="0.25"/>
    <row r="205" spans="1:14" s="14" customFormat="1" x14ac:dyDescent="0.25"/>
    <row r="206" spans="1:14" s="14" customFormat="1" x14ac:dyDescent="0.25"/>
    <row r="207" spans="1:14" s="14" customFormat="1" x14ac:dyDescent="0.25"/>
    <row r="208" spans="1:14" s="14" customFormat="1" x14ac:dyDescent="0.25"/>
    <row r="209" spans="1:11" s="14" customFormat="1" x14ac:dyDescent="0.25"/>
    <row r="210" spans="1:11" s="14" customFormat="1" x14ac:dyDescent="0.25"/>
    <row r="211" spans="1:11" s="14" customFormat="1" ht="47.25" customHeight="1" x14ac:dyDescent="0.25">
      <c r="A211" s="169" t="s">
        <v>66</v>
      </c>
      <c r="B211" s="169"/>
      <c r="C211" s="169"/>
      <c r="D211" s="169"/>
      <c r="E211" s="169"/>
      <c r="F211" s="169"/>
      <c r="G211" s="169"/>
      <c r="H211" s="169"/>
      <c r="I211" s="169"/>
      <c r="J211" s="169"/>
      <c r="K211" s="169"/>
    </row>
    <row r="212" spans="1:11" s="14" customFormat="1" x14ac:dyDescent="0.25"/>
    <row r="213" spans="1:11" s="3" customFormat="1" x14ac:dyDescent="0.25">
      <c r="D213" s="31"/>
    </row>
    <row r="214" spans="1:11" s="3" customFormat="1" x14ac:dyDescent="0.25">
      <c r="B214" s="56"/>
      <c r="C214" s="173" t="s">
        <v>12</v>
      </c>
      <c r="D214" s="173"/>
      <c r="E214" s="173"/>
      <c r="F214" s="173"/>
      <c r="G214" s="173"/>
      <c r="H214" s="174"/>
    </row>
    <row r="215" spans="1:11" s="3" customFormat="1" x14ac:dyDescent="0.25">
      <c r="B215" s="70"/>
      <c r="C215" s="71">
        <f>D199</f>
        <v>0.84167999326655996</v>
      </c>
      <c r="D215" s="61">
        <v>0</v>
      </c>
      <c r="E215" s="61">
        <v>0.05</v>
      </c>
      <c r="F215" s="61">
        <v>0.1</v>
      </c>
      <c r="G215" s="61">
        <v>0.15</v>
      </c>
      <c r="H215" s="62">
        <v>0.2</v>
      </c>
    </row>
    <row r="216" spans="1:11" s="3" customFormat="1" x14ac:dyDescent="0.25">
      <c r="B216" s="175" t="s">
        <v>35</v>
      </c>
      <c r="C216" s="72">
        <v>0</v>
      </c>
      <c r="D216" s="73">
        <f t="dataTable" ref="D216:H225" dt2D="1" dtr="1" r1="D197" r2="D196"/>
        <v>1</v>
      </c>
      <c r="E216" s="73">
        <v>1</v>
      </c>
      <c r="F216" s="73">
        <v>1</v>
      </c>
      <c r="G216" s="73">
        <v>1</v>
      </c>
      <c r="H216" s="74">
        <v>1</v>
      </c>
    </row>
    <row r="217" spans="1:11" s="3" customFormat="1" x14ac:dyDescent="0.25">
      <c r="B217" s="175"/>
      <c r="C217" s="72">
        <v>1</v>
      </c>
      <c r="D217" s="73">
        <v>1</v>
      </c>
      <c r="E217" s="73">
        <v>0.95238095238095233</v>
      </c>
      <c r="F217" s="73">
        <v>0.90909090909090906</v>
      </c>
      <c r="G217" s="73">
        <v>0.86956521739130443</v>
      </c>
      <c r="H217" s="74">
        <v>0.83333333333333337</v>
      </c>
    </row>
    <row r="218" spans="1:11" s="3" customFormat="1" x14ac:dyDescent="0.25">
      <c r="B218" s="175"/>
      <c r="C218" s="72">
        <v>2</v>
      </c>
      <c r="D218" s="73">
        <v>1</v>
      </c>
      <c r="E218" s="73">
        <v>0.90702947845804982</v>
      </c>
      <c r="F218" s="73">
        <v>0.82644628099173545</v>
      </c>
      <c r="G218" s="73">
        <v>0.7561436672967865</v>
      </c>
      <c r="H218" s="74">
        <v>0.69444444444444442</v>
      </c>
    </row>
    <row r="219" spans="1:11" s="3" customFormat="1" x14ac:dyDescent="0.25">
      <c r="B219" s="175"/>
      <c r="C219" s="72">
        <v>3</v>
      </c>
      <c r="D219" s="73">
        <v>1</v>
      </c>
      <c r="E219" s="73">
        <v>0.86383759853147601</v>
      </c>
      <c r="F219" s="73">
        <v>0.75131480090157754</v>
      </c>
      <c r="G219" s="73">
        <v>0.65751623243198831</v>
      </c>
      <c r="H219" s="74">
        <v>0.57870370370370372</v>
      </c>
    </row>
    <row r="220" spans="1:11" s="3" customFormat="1" x14ac:dyDescent="0.25">
      <c r="B220" s="175"/>
      <c r="C220" s="72">
        <v>4</v>
      </c>
      <c r="D220" s="73">
        <v>1</v>
      </c>
      <c r="E220" s="73">
        <v>0.82270247479188197</v>
      </c>
      <c r="F220" s="73">
        <v>0.68301345536507052</v>
      </c>
      <c r="G220" s="73">
        <v>0.57175324559303342</v>
      </c>
      <c r="H220" s="74">
        <v>0.48225308641975312</v>
      </c>
    </row>
    <row r="221" spans="1:11" s="3" customFormat="1" x14ac:dyDescent="0.25">
      <c r="B221" s="175"/>
      <c r="C221" s="72">
        <v>5</v>
      </c>
      <c r="D221" s="73">
        <v>1</v>
      </c>
      <c r="E221" s="73">
        <v>0.78352616646845896</v>
      </c>
      <c r="F221" s="73">
        <v>0.62092132305915493</v>
      </c>
      <c r="G221" s="73">
        <v>0.49717673529828987</v>
      </c>
      <c r="H221" s="74">
        <v>0.4018775720164609</v>
      </c>
    </row>
    <row r="222" spans="1:11" s="3" customFormat="1" x14ac:dyDescent="0.25">
      <c r="B222" s="175"/>
      <c r="C222" s="72">
        <v>6</v>
      </c>
      <c r="D222" s="73">
        <v>1</v>
      </c>
      <c r="E222" s="73">
        <v>0.74621539663662761</v>
      </c>
      <c r="F222" s="73">
        <v>0.56447393005377722</v>
      </c>
      <c r="G222" s="73">
        <v>0.43232759591155645</v>
      </c>
      <c r="H222" s="74">
        <v>0.33489797668038412</v>
      </c>
    </row>
    <row r="223" spans="1:11" s="3" customFormat="1" x14ac:dyDescent="0.25">
      <c r="B223" s="175"/>
      <c r="C223" s="72">
        <v>7</v>
      </c>
      <c r="D223" s="73">
        <v>1</v>
      </c>
      <c r="E223" s="73">
        <v>0.71068133013012147</v>
      </c>
      <c r="F223" s="73">
        <v>0.51315811823070645</v>
      </c>
      <c r="G223" s="73">
        <v>0.37593703992309269</v>
      </c>
      <c r="H223" s="74">
        <v>0.27908164723365342</v>
      </c>
    </row>
    <row r="224" spans="1:11" s="3" customFormat="1" x14ac:dyDescent="0.25">
      <c r="B224" s="175"/>
      <c r="C224" s="72">
        <v>8</v>
      </c>
      <c r="D224" s="73">
        <v>1</v>
      </c>
      <c r="E224" s="73">
        <v>0.67683936202868722</v>
      </c>
      <c r="F224" s="73">
        <v>0.46650738020973315</v>
      </c>
      <c r="G224" s="73">
        <v>0.32690177384616753</v>
      </c>
      <c r="H224" s="74">
        <v>0.23256803936137788</v>
      </c>
    </row>
    <row r="225" spans="1:14" s="3" customFormat="1" x14ac:dyDescent="0.25">
      <c r="B225" s="176"/>
      <c r="C225" s="75">
        <v>9</v>
      </c>
      <c r="D225" s="76">
        <v>1</v>
      </c>
      <c r="E225" s="76">
        <v>0.64460891621779726</v>
      </c>
      <c r="F225" s="76">
        <v>0.42409761837248466</v>
      </c>
      <c r="G225" s="76">
        <v>0.28426241204014574</v>
      </c>
      <c r="H225" s="77">
        <v>0.1938066994678149</v>
      </c>
    </row>
    <row r="226" spans="1:14" s="3" customFormat="1" x14ac:dyDescent="0.25"/>
    <row r="227" spans="1:14" s="14" customFormat="1" x14ac:dyDescent="0.25">
      <c r="A227" s="11" t="s">
        <v>7</v>
      </c>
      <c r="B227" s="12"/>
      <c r="C227" s="12"/>
      <c r="D227" s="12"/>
      <c r="E227" s="13"/>
      <c r="F227" s="12"/>
      <c r="G227" s="12"/>
      <c r="H227" s="12"/>
      <c r="I227" s="12"/>
      <c r="J227" s="12"/>
      <c r="K227" s="12"/>
      <c r="L227" s="12"/>
      <c r="M227" s="12"/>
      <c r="N227" s="12"/>
    </row>
    <row r="228" spans="1:14" s="14" customFormat="1" ht="31.5" customHeight="1" x14ac:dyDescent="0.25">
      <c r="A228" s="168" t="s">
        <v>55</v>
      </c>
      <c r="B228" s="168"/>
      <c r="C228" s="168"/>
      <c r="D228" s="168"/>
      <c r="E228" s="168"/>
      <c r="F228" s="168"/>
      <c r="G228" s="168"/>
      <c r="H228" s="168"/>
      <c r="I228" s="168"/>
      <c r="J228" s="168"/>
      <c r="K228" s="168"/>
      <c r="L228" s="12"/>
      <c r="M228" s="12"/>
      <c r="N228" s="12"/>
    </row>
    <row r="229" spans="1:14" s="14" customFormat="1" x14ac:dyDescent="0.25"/>
    <row r="230" spans="1:14" s="3" customFormat="1" x14ac:dyDescent="0.25"/>
    <row r="231" spans="1:14" s="3" customFormat="1" x14ac:dyDescent="0.25">
      <c r="A231" s="171" t="s">
        <v>39</v>
      </c>
      <c r="B231" s="171"/>
      <c r="C231" s="171"/>
      <c r="D231" s="171"/>
      <c r="E231" s="171"/>
      <c r="F231" s="171"/>
      <c r="G231" s="171"/>
      <c r="H231" s="171"/>
      <c r="I231" s="171"/>
      <c r="J231" s="171"/>
      <c r="K231" s="171"/>
    </row>
    <row r="232" spans="1:14" s="3" customFormat="1" x14ac:dyDescent="0.25">
      <c r="D232" s="7"/>
    </row>
    <row r="233" spans="1:14" s="3" customFormat="1" x14ac:dyDescent="0.25">
      <c r="D233" s="7"/>
    </row>
    <row r="234" spans="1:14" s="3" customFormat="1" x14ac:dyDescent="0.25">
      <c r="D234" s="5"/>
    </row>
    <row r="235" spans="1:14" s="3" customFormat="1" x14ac:dyDescent="0.25"/>
    <row r="236" spans="1:14" s="3" customFormat="1" x14ac:dyDescent="0.25">
      <c r="D236" s="8"/>
    </row>
    <row r="237" spans="1:14" s="3" customFormat="1" x14ac:dyDescent="0.25"/>
    <row r="238" spans="1:14" s="3" customFormat="1" x14ac:dyDescent="0.25"/>
    <row r="239" spans="1:14" s="3" customFormat="1" x14ac:dyDescent="0.25"/>
    <row r="240" spans="1:14" s="3" customFormat="1" x14ac:dyDescent="0.25"/>
    <row r="241" spans="1:11" s="3" customFormat="1" x14ac:dyDescent="0.25"/>
    <row r="242" spans="1:11" s="3" customFormat="1" x14ac:dyDescent="0.25"/>
    <row r="243" spans="1:11" s="3" customFormat="1" x14ac:dyDescent="0.25"/>
    <row r="244" spans="1:11" s="3" customFormat="1" x14ac:dyDescent="0.25"/>
    <row r="245" spans="1:11" s="3" customFormat="1" x14ac:dyDescent="0.25"/>
    <row r="246" spans="1:11" s="3" customFormat="1" x14ac:dyDescent="0.25"/>
    <row r="247" spans="1:11" s="3" customFormat="1" x14ac:dyDescent="0.25"/>
    <row r="248" spans="1:11" s="3" customFormat="1" x14ac:dyDescent="0.25"/>
    <row r="249" spans="1:11" s="3" customFormat="1" x14ac:dyDescent="0.25"/>
    <row r="250" spans="1:11" s="3" customFormat="1" x14ac:dyDescent="0.25"/>
    <row r="251" spans="1:11" s="3" customFormat="1" x14ac:dyDescent="0.25"/>
    <row r="252" spans="1:11" s="3" customFormat="1" x14ac:dyDescent="0.25"/>
    <row r="253" spans="1:11" s="3" customFormat="1" x14ac:dyDescent="0.25">
      <c r="A253" s="4" t="s">
        <v>83</v>
      </c>
    </row>
    <row r="254" spans="1:11" s="3" customFormat="1" x14ac:dyDescent="0.25">
      <c r="A254" s="171" t="s">
        <v>67</v>
      </c>
      <c r="B254" s="171"/>
      <c r="C254" s="171"/>
      <c r="D254" s="171"/>
      <c r="E254" s="171"/>
      <c r="F254" s="171"/>
      <c r="G254" s="171"/>
      <c r="H254" s="171"/>
      <c r="I254" s="171"/>
      <c r="J254" s="171"/>
      <c r="K254" s="171"/>
    </row>
    <row r="255" spans="1:11" s="3" customFormat="1" x14ac:dyDescent="0.25"/>
    <row r="256" spans="1:11" s="3" customFormat="1" x14ac:dyDescent="0.25">
      <c r="A256" s="170" t="s">
        <v>84</v>
      </c>
      <c r="B256" s="170"/>
      <c r="C256" s="170"/>
    </row>
    <row r="257" spans="1:14" s="3" customFormat="1" x14ac:dyDescent="0.25"/>
    <row r="258" spans="1:14" s="3" customFormat="1" ht="31.5" customHeight="1" x14ac:dyDescent="0.25">
      <c r="A258" s="171" t="s">
        <v>270</v>
      </c>
      <c r="B258" s="171"/>
      <c r="C258" s="171"/>
      <c r="D258" s="171"/>
      <c r="E258" s="171"/>
      <c r="F258" s="171"/>
      <c r="G258" s="171"/>
      <c r="H258" s="171"/>
      <c r="I258" s="171"/>
      <c r="J258" s="171"/>
      <c r="K258" s="171"/>
    </row>
    <row r="259" spans="1:14" s="3" customFormat="1" x14ac:dyDescent="0.25"/>
    <row r="260" spans="1:14" s="3" customFormat="1" x14ac:dyDescent="0.25">
      <c r="B260" s="3" t="s">
        <v>33</v>
      </c>
      <c r="D260" s="7">
        <v>38610</v>
      </c>
    </row>
    <row r="261" spans="1:14" s="3" customFormat="1" x14ac:dyDescent="0.25">
      <c r="B261" s="3" t="s">
        <v>26</v>
      </c>
      <c r="D261" s="7">
        <v>50000</v>
      </c>
    </row>
    <row r="262" spans="1:14" s="3" customFormat="1" x14ac:dyDescent="0.25">
      <c r="B262" s="3" t="s">
        <v>32</v>
      </c>
      <c r="D262" s="30">
        <v>3</v>
      </c>
    </row>
    <row r="263" spans="1:14" s="3" customFormat="1" x14ac:dyDescent="0.25"/>
    <row r="264" spans="1:14" s="3" customFormat="1" x14ac:dyDescent="0.25">
      <c r="B264" s="3" t="s">
        <v>28</v>
      </c>
      <c r="D264" s="32">
        <f>RATE(D262,,-D260,D261)</f>
        <v>8.9992227030195354E-2</v>
      </c>
    </row>
    <row r="265" spans="1:14" s="3" customFormat="1" x14ac:dyDescent="0.25"/>
    <row r="266" spans="1:14" s="14" customFormat="1" x14ac:dyDescent="0.25">
      <c r="A266" s="11" t="s">
        <v>7</v>
      </c>
      <c r="B266" s="12"/>
      <c r="C266" s="12"/>
      <c r="D266" s="12"/>
      <c r="E266" s="13"/>
      <c r="F266" s="12"/>
      <c r="G266" s="12"/>
      <c r="H266" s="12"/>
      <c r="I266" s="12"/>
      <c r="J266" s="12"/>
      <c r="K266" s="12"/>
      <c r="L266" s="12"/>
      <c r="M266" s="12"/>
      <c r="N266" s="12"/>
    </row>
    <row r="267" spans="1:14" s="14" customFormat="1" x14ac:dyDescent="0.25">
      <c r="A267" s="168" t="s">
        <v>36</v>
      </c>
      <c r="B267" s="168"/>
      <c r="C267" s="168"/>
      <c r="D267" s="168"/>
      <c r="E267" s="168"/>
      <c r="F267" s="168"/>
      <c r="G267" s="168"/>
      <c r="H267" s="168"/>
      <c r="I267" s="168"/>
      <c r="J267" s="168"/>
      <c r="K267" s="168"/>
      <c r="L267" s="12"/>
      <c r="M267" s="12"/>
      <c r="N267" s="12"/>
    </row>
    <row r="268" spans="1:14" s="14" customFormat="1" x14ac:dyDescent="0.25"/>
    <row r="269" spans="1:14" s="14" customFormat="1" x14ac:dyDescent="0.25"/>
    <row r="270" spans="1:14" s="14" customFormat="1" x14ac:dyDescent="0.25"/>
    <row r="271" spans="1:14" s="14" customFormat="1" x14ac:dyDescent="0.25"/>
    <row r="272" spans="1:14" s="14" customFormat="1" x14ac:dyDescent="0.25"/>
    <row r="273" spans="1:11" s="14" customFormat="1" x14ac:dyDescent="0.25"/>
    <row r="274" spans="1:11" s="14" customFormat="1" x14ac:dyDescent="0.25"/>
    <row r="275" spans="1:11" s="14" customFormat="1" x14ac:dyDescent="0.25"/>
    <row r="276" spans="1:11" s="14" customFormat="1" x14ac:dyDescent="0.25"/>
    <row r="277" spans="1:11" s="14" customFormat="1" x14ac:dyDescent="0.25"/>
    <row r="278" spans="1:11" s="14" customFormat="1" x14ac:dyDescent="0.25"/>
    <row r="279" spans="1:11" s="14" customFormat="1" x14ac:dyDescent="0.25"/>
    <row r="280" spans="1:11" s="14" customFormat="1" x14ac:dyDescent="0.25"/>
    <row r="281" spans="1:11" s="14" customFormat="1" x14ac:dyDescent="0.25"/>
    <row r="282" spans="1:11" s="14" customFormat="1" x14ac:dyDescent="0.25"/>
    <row r="283" spans="1:11" s="14" customFormat="1" x14ac:dyDescent="0.25"/>
    <row r="284" spans="1:11" s="14" customFormat="1" x14ac:dyDescent="0.25"/>
    <row r="285" spans="1:11" s="14" customFormat="1" x14ac:dyDescent="0.25"/>
    <row r="286" spans="1:11" s="14" customFormat="1" ht="47.25" customHeight="1" x14ac:dyDescent="0.25">
      <c r="A286" s="169" t="s">
        <v>68</v>
      </c>
      <c r="B286" s="169"/>
      <c r="C286" s="169"/>
      <c r="D286" s="169"/>
      <c r="E286" s="169"/>
      <c r="F286" s="169"/>
      <c r="G286" s="169"/>
      <c r="H286" s="169"/>
      <c r="I286" s="169"/>
      <c r="J286" s="169"/>
      <c r="K286" s="169"/>
    </row>
    <row r="287" spans="1:11" s="14" customFormat="1" x14ac:dyDescent="0.25"/>
    <row r="288" spans="1:11" s="3" customFormat="1" x14ac:dyDescent="0.25"/>
    <row r="289" spans="1:14" s="3" customFormat="1" x14ac:dyDescent="0.25">
      <c r="A289" s="4" t="s">
        <v>82</v>
      </c>
    </row>
    <row r="290" spans="1:14" s="3" customFormat="1" ht="15.75" customHeight="1" x14ac:dyDescent="0.25">
      <c r="A290" s="171" t="s">
        <v>85</v>
      </c>
      <c r="B290" s="171"/>
      <c r="C290" s="171"/>
      <c r="D290" s="171"/>
      <c r="E290" s="171"/>
      <c r="F290" s="171"/>
      <c r="G290" s="171"/>
      <c r="H290" s="171"/>
      <c r="I290" s="171"/>
      <c r="J290" s="171"/>
      <c r="K290" s="171"/>
    </row>
    <row r="291" spans="1:14" s="3" customFormat="1" x14ac:dyDescent="0.25"/>
    <row r="292" spans="1:14" s="3" customFormat="1" x14ac:dyDescent="0.25">
      <c r="A292" s="4" t="s">
        <v>86</v>
      </c>
    </row>
    <row r="293" spans="1:14" s="3" customFormat="1" x14ac:dyDescent="0.25"/>
    <row r="294" spans="1:14" s="3" customFormat="1" x14ac:dyDescent="0.25">
      <c r="A294" s="171" t="s">
        <v>37</v>
      </c>
      <c r="B294" s="171"/>
      <c r="C294" s="171"/>
      <c r="D294" s="171"/>
      <c r="E294" s="171"/>
      <c r="F294" s="171"/>
      <c r="G294" s="171"/>
      <c r="H294" s="171"/>
      <c r="I294" s="171"/>
      <c r="J294" s="171"/>
      <c r="K294" s="171"/>
    </row>
    <row r="295" spans="1:14" s="3" customFormat="1" x14ac:dyDescent="0.25"/>
    <row r="296" spans="1:14" s="3" customFormat="1" x14ac:dyDescent="0.25">
      <c r="B296" s="3" t="s">
        <v>33</v>
      </c>
      <c r="D296" s="7">
        <v>2300000</v>
      </c>
    </row>
    <row r="297" spans="1:14" s="3" customFormat="1" x14ac:dyDescent="0.25">
      <c r="B297" s="3" t="s">
        <v>26</v>
      </c>
      <c r="D297" s="7">
        <v>10000000</v>
      </c>
    </row>
    <row r="298" spans="1:14" s="3" customFormat="1" x14ac:dyDescent="0.25">
      <c r="B298" s="3" t="s">
        <v>28</v>
      </c>
      <c r="D298" s="5">
        <v>0.05</v>
      </c>
    </row>
    <row r="299" spans="1:14" s="3" customFormat="1" x14ac:dyDescent="0.25"/>
    <row r="300" spans="1:14" s="3" customFormat="1" x14ac:dyDescent="0.25">
      <c r="B300" s="3" t="s">
        <v>32</v>
      </c>
      <c r="D300" s="33">
        <f>NPER(D298,,-D296,D297)</f>
        <v>30.122382145615351</v>
      </c>
    </row>
    <row r="301" spans="1:14" s="3" customFormat="1" x14ac:dyDescent="0.25"/>
    <row r="302" spans="1:14" s="14" customFormat="1" x14ac:dyDescent="0.25">
      <c r="A302" s="11" t="s">
        <v>7</v>
      </c>
      <c r="B302" s="12"/>
      <c r="C302" s="12"/>
      <c r="D302" s="12"/>
      <c r="E302" s="13"/>
      <c r="F302" s="12"/>
      <c r="G302" s="12"/>
      <c r="H302" s="12"/>
      <c r="I302" s="12"/>
      <c r="J302" s="12"/>
      <c r="K302" s="12"/>
      <c r="L302" s="12"/>
      <c r="M302" s="12"/>
      <c r="N302" s="12"/>
    </row>
    <row r="303" spans="1:14" s="14" customFormat="1" x14ac:dyDescent="0.25">
      <c r="A303" s="168" t="s">
        <v>56</v>
      </c>
      <c r="B303" s="168"/>
      <c r="C303" s="168"/>
      <c r="D303" s="168"/>
      <c r="E303" s="168"/>
      <c r="F303" s="168"/>
      <c r="G303" s="168"/>
      <c r="H303" s="168"/>
      <c r="I303" s="168"/>
      <c r="J303" s="168"/>
      <c r="K303" s="168"/>
      <c r="L303" s="12"/>
      <c r="M303" s="12"/>
      <c r="N303" s="12"/>
    </row>
    <row r="304" spans="1:14" s="14" customFormat="1" x14ac:dyDescent="0.25"/>
    <row r="305" s="14" customFormat="1" x14ac:dyDescent="0.25"/>
    <row r="306" s="14" customFormat="1" x14ac:dyDescent="0.25"/>
    <row r="307" s="14" customFormat="1" x14ac:dyDescent="0.25"/>
    <row r="308" s="14" customFormat="1" x14ac:dyDescent="0.25"/>
    <row r="309" s="14" customFormat="1" x14ac:dyDescent="0.25"/>
    <row r="310" s="14" customFormat="1" x14ac:dyDescent="0.25"/>
    <row r="311" s="14" customFormat="1" x14ac:dyDescent="0.25"/>
    <row r="312" s="14" customFormat="1" x14ac:dyDescent="0.25"/>
    <row r="313" s="14" customFormat="1" x14ac:dyDescent="0.25"/>
    <row r="314" s="14" customFormat="1" x14ac:dyDescent="0.25"/>
    <row r="315" s="14" customFormat="1" x14ac:dyDescent="0.25"/>
    <row r="316" s="14" customFormat="1" x14ac:dyDescent="0.25"/>
    <row r="317" s="14" customFormat="1" x14ac:dyDescent="0.25"/>
    <row r="318" s="14" customFormat="1" x14ac:dyDescent="0.25"/>
    <row r="319" s="14" customFormat="1" x14ac:dyDescent="0.25"/>
    <row r="320" s="14" customFormat="1" x14ac:dyDescent="0.25"/>
    <row r="321" spans="1:11" s="14" customFormat="1" ht="47.25" customHeight="1" x14ac:dyDescent="0.25">
      <c r="A321" s="169" t="s">
        <v>69</v>
      </c>
      <c r="B321" s="169"/>
      <c r="C321" s="169"/>
      <c r="D321" s="169"/>
      <c r="E321" s="169"/>
      <c r="F321" s="169"/>
      <c r="G321" s="169"/>
      <c r="H321" s="169"/>
      <c r="I321" s="169"/>
      <c r="J321" s="169"/>
      <c r="K321" s="169"/>
    </row>
    <row r="322" spans="1:11" s="14" customFormat="1" x14ac:dyDescent="0.25"/>
    <row r="323" spans="1:11" s="3" customFormat="1" x14ac:dyDescent="0.25"/>
    <row r="324" spans="1:11" s="3" customFormat="1" x14ac:dyDescent="0.25">
      <c r="A324" s="4" t="s">
        <v>43</v>
      </c>
    </row>
    <row r="325" spans="1:11" s="3" customFormat="1" x14ac:dyDescent="0.25"/>
    <row r="326" spans="1:11" s="3" customFormat="1" ht="31.5" customHeight="1" x14ac:dyDescent="0.25">
      <c r="A326" s="171" t="s">
        <v>57</v>
      </c>
      <c r="B326" s="171"/>
      <c r="C326" s="171"/>
      <c r="D326" s="171"/>
      <c r="E326" s="171"/>
      <c r="F326" s="171"/>
      <c r="G326" s="171"/>
      <c r="H326" s="171"/>
      <c r="I326" s="171"/>
      <c r="J326" s="171"/>
      <c r="K326" s="171"/>
    </row>
    <row r="327" spans="1:11" s="3" customFormat="1" x14ac:dyDescent="0.25"/>
    <row r="328" spans="1:11" s="3" customFormat="1" x14ac:dyDescent="0.25">
      <c r="B328" s="3" t="s">
        <v>33</v>
      </c>
      <c r="C328" s="7">
        <v>100</v>
      </c>
    </row>
    <row r="329" spans="1:11" s="3" customFormat="1" x14ac:dyDescent="0.25">
      <c r="B329" s="83" t="s">
        <v>1</v>
      </c>
      <c r="C329" s="84" t="s">
        <v>44</v>
      </c>
    </row>
    <row r="330" spans="1:11" s="3" customFormat="1" x14ac:dyDescent="0.25">
      <c r="B330" s="81">
        <v>1</v>
      </c>
      <c r="C330" s="78">
        <v>0.08</v>
      </c>
    </row>
    <row r="331" spans="1:11" s="3" customFormat="1" x14ac:dyDescent="0.25">
      <c r="B331" s="81">
        <v>2</v>
      </c>
      <c r="C331" s="78">
        <v>0.06</v>
      </c>
    </row>
    <row r="332" spans="1:11" s="3" customFormat="1" x14ac:dyDescent="0.25">
      <c r="B332" s="81">
        <v>3</v>
      </c>
      <c r="C332" s="78">
        <v>0.1</v>
      </c>
    </row>
    <row r="333" spans="1:11" s="3" customFormat="1" x14ac:dyDescent="0.25">
      <c r="B333" s="81">
        <v>4</v>
      </c>
      <c r="C333" s="78">
        <v>0.15</v>
      </c>
    </row>
    <row r="334" spans="1:11" s="3" customFormat="1" x14ac:dyDescent="0.25">
      <c r="B334" s="81">
        <v>5</v>
      </c>
      <c r="C334" s="78">
        <v>0.11</v>
      </c>
    </row>
    <row r="335" spans="1:11" s="3" customFormat="1" x14ac:dyDescent="0.25">
      <c r="B335" s="82">
        <v>6</v>
      </c>
      <c r="C335" s="79">
        <v>0.09</v>
      </c>
    </row>
    <row r="336" spans="1:11" s="3" customFormat="1" x14ac:dyDescent="0.25"/>
    <row r="337" spans="1:14" s="3" customFormat="1" ht="31.5" customHeight="1" x14ac:dyDescent="0.25">
      <c r="A337" s="171" t="s">
        <v>70</v>
      </c>
      <c r="B337" s="171"/>
      <c r="C337" s="171"/>
      <c r="D337" s="171"/>
      <c r="E337" s="171"/>
      <c r="F337" s="171"/>
      <c r="G337" s="171"/>
      <c r="H337" s="171"/>
      <c r="I337" s="171"/>
      <c r="J337" s="171"/>
      <c r="K337" s="171"/>
    </row>
    <row r="338" spans="1:14" s="3" customFormat="1" x14ac:dyDescent="0.25"/>
    <row r="339" spans="1:14" s="3" customFormat="1" ht="31.5" x14ac:dyDescent="0.25">
      <c r="B339" s="83" t="s">
        <v>1</v>
      </c>
      <c r="C339" s="85" t="s">
        <v>58</v>
      </c>
    </row>
    <row r="340" spans="1:14" s="3" customFormat="1" x14ac:dyDescent="0.25">
      <c r="B340" s="81">
        <v>1</v>
      </c>
      <c r="C340" s="50">
        <f>C328*(1+C330)</f>
        <v>108</v>
      </c>
    </row>
    <row r="341" spans="1:14" s="3" customFormat="1" x14ac:dyDescent="0.25">
      <c r="B341" s="81">
        <v>2</v>
      </c>
      <c r="C341" s="51">
        <f>C340*(1+C331)</f>
        <v>114.48</v>
      </c>
    </row>
    <row r="342" spans="1:14" s="3" customFormat="1" x14ac:dyDescent="0.25">
      <c r="B342" s="81">
        <v>3</v>
      </c>
      <c r="C342" s="51">
        <f>C341*(1+C332)</f>
        <v>125.92800000000001</v>
      </c>
    </row>
    <row r="343" spans="1:14" s="3" customFormat="1" x14ac:dyDescent="0.25">
      <c r="B343" s="81">
        <v>4</v>
      </c>
      <c r="C343" s="51">
        <f>C342*(1+C333)</f>
        <v>144.81720000000001</v>
      </c>
    </row>
    <row r="344" spans="1:14" s="3" customFormat="1" x14ac:dyDescent="0.25">
      <c r="B344" s="81">
        <v>5</v>
      </c>
      <c r="C344" s="51">
        <f>C343*(1+C334)</f>
        <v>160.74709200000004</v>
      </c>
    </row>
    <row r="345" spans="1:14" s="3" customFormat="1" x14ac:dyDescent="0.25">
      <c r="B345" s="82">
        <v>6</v>
      </c>
      <c r="C345" s="80">
        <f>C344*(1+C335)</f>
        <v>175.21433028000004</v>
      </c>
    </row>
    <row r="346" spans="1:14" s="3" customFormat="1" x14ac:dyDescent="0.25">
      <c r="B346" s="10"/>
      <c r="C346" s="16"/>
    </row>
    <row r="347" spans="1:14" s="3" customFormat="1" ht="31.5" customHeight="1" x14ac:dyDescent="0.25">
      <c r="A347" s="171" t="s">
        <v>71</v>
      </c>
      <c r="B347" s="171"/>
      <c r="C347" s="171"/>
      <c r="D347" s="171"/>
      <c r="E347" s="171"/>
      <c r="F347" s="171"/>
      <c r="G347" s="171"/>
      <c r="H347" s="171"/>
      <c r="I347" s="171"/>
      <c r="J347" s="171"/>
      <c r="K347" s="171"/>
    </row>
    <row r="348" spans="1:14" s="3" customFormat="1" x14ac:dyDescent="0.25"/>
    <row r="349" spans="1:14" s="3" customFormat="1" x14ac:dyDescent="0.25">
      <c r="B349" s="3" t="s">
        <v>26</v>
      </c>
      <c r="C349" s="8"/>
    </row>
    <row r="350" spans="1:14" s="3" customFormat="1" x14ac:dyDescent="0.25"/>
    <row r="351" spans="1:14" s="14" customFormat="1" x14ac:dyDescent="0.25">
      <c r="A351" s="11" t="s">
        <v>7</v>
      </c>
      <c r="B351" s="12"/>
      <c r="C351" s="12"/>
      <c r="D351" s="12"/>
      <c r="E351" s="13"/>
      <c r="F351" s="12"/>
      <c r="G351" s="12"/>
      <c r="H351" s="12"/>
      <c r="I351" s="12"/>
      <c r="J351" s="12"/>
      <c r="K351" s="12"/>
      <c r="L351" s="12"/>
      <c r="M351" s="12"/>
      <c r="N351" s="12"/>
    </row>
    <row r="352" spans="1:14" s="14" customFormat="1" x14ac:dyDescent="0.25">
      <c r="A352" s="168" t="s">
        <v>45</v>
      </c>
      <c r="B352" s="168"/>
      <c r="C352" s="168"/>
      <c r="D352" s="168"/>
      <c r="E352" s="168"/>
      <c r="F352" s="168"/>
      <c r="G352" s="168"/>
      <c r="H352" s="168"/>
      <c r="I352" s="168"/>
      <c r="J352" s="168"/>
      <c r="K352" s="168"/>
      <c r="L352" s="12"/>
      <c r="M352" s="12"/>
      <c r="N352" s="12"/>
    </row>
    <row r="353" spans="1:11" s="14" customFormat="1" x14ac:dyDescent="0.25"/>
    <row r="354" spans="1:11" s="14" customFormat="1" x14ac:dyDescent="0.25"/>
    <row r="355" spans="1:11" s="14" customFormat="1" x14ac:dyDescent="0.25"/>
    <row r="356" spans="1:11" s="14" customFormat="1" x14ac:dyDescent="0.25"/>
    <row r="357" spans="1:11" s="14" customFormat="1" x14ac:dyDescent="0.25"/>
    <row r="358" spans="1:11" s="14" customFormat="1" x14ac:dyDescent="0.25"/>
    <row r="359" spans="1:11" s="14" customFormat="1" x14ac:dyDescent="0.25"/>
    <row r="360" spans="1:11" s="14" customFormat="1" x14ac:dyDescent="0.25"/>
    <row r="361" spans="1:11" s="14" customFormat="1" x14ac:dyDescent="0.25"/>
    <row r="362" spans="1:11" s="14" customFormat="1" x14ac:dyDescent="0.25"/>
    <row r="363" spans="1:11" s="14" customFormat="1" x14ac:dyDescent="0.25"/>
    <row r="364" spans="1:11" s="14" customFormat="1" x14ac:dyDescent="0.25"/>
    <row r="365" spans="1:11" s="14" customFormat="1" x14ac:dyDescent="0.25"/>
    <row r="366" spans="1:11" s="14" customFormat="1" x14ac:dyDescent="0.25"/>
    <row r="367" spans="1:11" s="14" customFormat="1" ht="15.75" customHeight="1" x14ac:dyDescent="0.25">
      <c r="A367" s="169" t="s">
        <v>59</v>
      </c>
      <c r="B367" s="169"/>
      <c r="C367" s="169"/>
      <c r="D367" s="169"/>
      <c r="E367" s="169"/>
      <c r="F367" s="169"/>
      <c r="G367" s="169"/>
      <c r="H367" s="169"/>
      <c r="I367" s="169"/>
      <c r="J367" s="169"/>
      <c r="K367" s="169"/>
    </row>
    <row r="368" spans="1:11" s="14" customFormat="1" x14ac:dyDescent="0.25"/>
    <row r="369" spans="1:11" s="3" customFormat="1" x14ac:dyDescent="0.25"/>
    <row r="370" spans="1:11" s="3" customFormat="1" x14ac:dyDescent="0.25">
      <c r="A370" s="170" t="s">
        <v>93</v>
      </c>
      <c r="B370" s="170"/>
      <c r="C370" s="170"/>
    </row>
    <row r="371" spans="1:11" s="3" customFormat="1" ht="31.5" customHeight="1" x14ac:dyDescent="0.25">
      <c r="A371" s="171" t="s">
        <v>94</v>
      </c>
      <c r="B371" s="171"/>
      <c r="C371" s="171"/>
      <c r="D371" s="171"/>
      <c r="E371" s="171"/>
      <c r="F371" s="171"/>
      <c r="G371" s="171"/>
      <c r="H371" s="171"/>
      <c r="I371" s="171"/>
      <c r="J371" s="171"/>
      <c r="K371" s="171"/>
    </row>
    <row r="372" spans="1:11" s="3" customFormat="1" x14ac:dyDescent="0.25"/>
    <row r="373" spans="1:11" s="3" customFormat="1" x14ac:dyDescent="0.25">
      <c r="A373" s="170" t="s">
        <v>95</v>
      </c>
      <c r="B373" s="170"/>
      <c r="C373" s="170"/>
    </row>
    <row r="374" spans="1:11" s="3" customFormat="1" x14ac:dyDescent="0.25">
      <c r="A374" s="172" t="s">
        <v>271</v>
      </c>
      <c r="B374" s="172"/>
      <c r="C374" s="172"/>
      <c r="D374" s="172"/>
      <c r="E374" s="172"/>
      <c r="F374" s="172"/>
      <c r="G374" s="172"/>
      <c r="H374" s="172"/>
      <c r="I374" s="172"/>
      <c r="J374" s="172"/>
      <c r="K374" s="172"/>
    </row>
    <row r="375" spans="1:11" s="3" customFormat="1" x14ac:dyDescent="0.25"/>
    <row r="376" spans="1:11" s="3" customFormat="1" x14ac:dyDescent="0.25">
      <c r="B376" s="93" t="s">
        <v>87</v>
      </c>
      <c r="C376" s="94" t="s">
        <v>88</v>
      </c>
    </row>
    <row r="377" spans="1:11" s="3" customFormat="1" x14ac:dyDescent="0.25">
      <c r="B377" s="48">
        <v>0</v>
      </c>
      <c r="C377" s="95">
        <v>-50000</v>
      </c>
    </row>
    <row r="378" spans="1:11" s="3" customFormat="1" x14ac:dyDescent="0.25">
      <c r="B378" s="48">
        <v>1</v>
      </c>
      <c r="C378" s="96">
        <v>25000</v>
      </c>
    </row>
    <row r="379" spans="1:11" s="3" customFormat="1" x14ac:dyDescent="0.25">
      <c r="B379" s="48">
        <v>2</v>
      </c>
      <c r="C379" s="96">
        <v>20000</v>
      </c>
    </row>
    <row r="380" spans="1:11" s="3" customFormat="1" x14ac:dyDescent="0.25">
      <c r="B380" s="52">
        <v>3</v>
      </c>
      <c r="C380" s="97">
        <v>15000</v>
      </c>
    </row>
    <row r="381" spans="1:11" s="3" customFormat="1" x14ac:dyDescent="0.25"/>
    <row r="382" spans="1:11" s="3" customFormat="1" x14ac:dyDescent="0.25">
      <c r="B382" s="3" t="s">
        <v>89</v>
      </c>
      <c r="C382" s="5">
        <v>7.0000000000000007E-2</v>
      </c>
    </row>
    <row r="383" spans="1:11" s="3" customFormat="1" x14ac:dyDescent="0.25"/>
    <row r="384" spans="1:11" s="3" customFormat="1" x14ac:dyDescent="0.25">
      <c r="B384" s="3" t="s">
        <v>90</v>
      </c>
      <c r="C384" s="92">
        <f>NPV(C382,C378:C380)+C377</f>
        <v>3077.7287001354198</v>
      </c>
    </row>
    <row r="385" spans="1:14" s="3" customFormat="1" x14ac:dyDescent="0.25"/>
    <row r="386" spans="1:14" s="14" customFormat="1" x14ac:dyDescent="0.25">
      <c r="A386" s="34" t="s">
        <v>7</v>
      </c>
      <c r="B386" s="12"/>
      <c r="C386" s="12"/>
      <c r="D386" s="12"/>
      <c r="E386" s="13"/>
      <c r="F386" s="12"/>
      <c r="G386" s="12"/>
      <c r="H386" s="12"/>
      <c r="I386" s="12"/>
      <c r="J386" s="12"/>
      <c r="K386" s="12"/>
      <c r="L386" s="12"/>
      <c r="M386" s="12"/>
      <c r="N386" s="12"/>
    </row>
    <row r="387" spans="1:14" s="14" customFormat="1" ht="15.75" customHeight="1" x14ac:dyDescent="0.25">
      <c r="A387" s="168" t="s">
        <v>91</v>
      </c>
      <c r="B387" s="168"/>
      <c r="C387" s="168"/>
      <c r="D387" s="168"/>
      <c r="E387" s="168"/>
      <c r="F387" s="168"/>
      <c r="G387" s="168"/>
      <c r="H387" s="168"/>
      <c r="I387" s="168"/>
      <c r="J387" s="168"/>
      <c r="K387" s="168"/>
      <c r="L387" s="12"/>
      <c r="M387" s="12"/>
      <c r="N387" s="12"/>
    </row>
    <row r="388" spans="1:14" s="14" customFormat="1" x14ac:dyDescent="0.25"/>
    <row r="389" spans="1:14" s="14" customFormat="1" x14ac:dyDescent="0.25"/>
    <row r="390" spans="1:14" s="14" customFormat="1" x14ac:dyDescent="0.25"/>
    <row r="391" spans="1:14" s="14" customFormat="1" x14ac:dyDescent="0.25"/>
    <row r="392" spans="1:14" s="14" customFormat="1" x14ac:dyDescent="0.25"/>
    <row r="393" spans="1:14" s="14" customFormat="1" x14ac:dyDescent="0.25"/>
    <row r="394" spans="1:14" s="14" customFormat="1" x14ac:dyDescent="0.25"/>
    <row r="395" spans="1:14" s="14" customFormat="1" x14ac:dyDescent="0.25"/>
    <row r="396" spans="1:14" s="14" customFormat="1" x14ac:dyDescent="0.25"/>
    <row r="397" spans="1:14" s="14" customFormat="1" x14ac:dyDescent="0.25"/>
    <row r="398" spans="1:14" s="14" customFormat="1" x14ac:dyDescent="0.25"/>
    <row r="399" spans="1:14" s="14" customFormat="1" x14ac:dyDescent="0.25"/>
    <row r="400" spans="1:14" s="14" customFormat="1" x14ac:dyDescent="0.25"/>
    <row r="401" spans="1:11" s="14" customFormat="1" x14ac:dyDescent="0.25"/>
    <row r="402" spans="1:11" s="14" customFormat="1" x14ac:dyDescent="0.25"/>
    <row r="403" spans="1:11" s="14" customFormat="1" x14ac:dyDescent="0.25"/>
    <row r="404" spans="1:11" s="14" customFormat="1" x14ac:dyDescent="0.25"/>
    <row r="405" spans="1:11" s="14" customFormat="1" x14ac:dyDescent="0.25"/>
    <row r="406" spans="1:11" s="14" customFormat="1" ht="63" customHeight="1" x14ac:dyDescent="0.25">
      <c r="A406" s="169" t="s">
        <v>92</v>
      </c>
      <c r="B406" s="169"/>
      <c r="C406" s="169"/>
      <c r="D406" s="169"/>
      <c r="E406" s="169"/>
      <c r="F406" s="169"/>
      <c r="G406" s="169"/>
      <c r="H406" s="169"/>
      <c r="I406" s="169"/>
      <c r="J406" s="169"/>
      <c r="K406" s="169"/>
    </row>
    <row r="407" spans="1:11" s="14" customFormat="1" x14ac:dyDescent="0.25"/>
    <row r="408" spans="1:11" s="3" customFormat="1" x14ac:dyDescent="0.25"/>
    <row r="409" spans="1:11" ht="31.5" customHeight="1" x14ac:dyDescent="0.25">
      <c r="A409" s="171" t="s">
        <v>277</v>
      </c>
      <c r="B409" s="171"/>
      <c r="C409" s="171"/>
      <c r="D409" s="171"/>
      <c r="E409" s="171"/>
      <c r="F409" s="171"/>
      <c r="G409" s="171"/>
      <c r="H409" s="171"/>
      <c r="I409" s="171"/>
      <c r="J409" s="171"/>
      <c r="K409" s="171"/>
    </row>
    <row r="411" spans="1:11" x14ac:dyDescent="0.25">
      <c r="B411" s="3" t="s">
        <v>28</v>
      </c>
      <c r="C411" s="5">
        <v>0.12</v>
      </c>
    </row>
    <row r="412" spans="1:11" x14ac:dyDescent="0.25">
      <c r="C412" s="98" t="s">
        <v>96</v>
      </c>
    </row>
    <row r="413" spans="1:11" x14ac:dyDescent="0.25">
      <c r="B413" s="10">
        <v>0</v>
      </c>
      <c r="C413" s="7">
        <v>13000000</v>
      </c>
    </row>
    <row r="414" spans="1:11" x14ac:dyDescent="0.25">
      <c r="B414" s="10">
        <v>1</v>
      </c>
      <c r="C414" s="7">
        <v>12400000</v>
      </c>
    </row>
    <row r="415" spans="1:11" x14ac:dyDescent="0.25">
      <c r="B415" s="10">
        <v>2</v>
      </c>
      <c r="C415" s="7">
        <v>14300000</v>
      </c>
    </row>
    <row r="416" spans="1:11" x14ac:dyDescent="0.25">
      <c r="B416" s="10">
        <v>3</v>
      </c>
      <c r="C416" s="7">
        <v>18500000</v>
      </c>
    </row>
    <row r="417" spans="2:5" x14ac:dyDescent="0.25">
      <c r="B417" s="10">
        <v>4</v>
      </c>
      <c r="C417" s="7">
        <v>19000000</v>
      </c>
    </row>
    <row r="418" spans="2:5" x14ac:dyDescent="0.25">
      <c r="B418" s="10">
        <v>5</v>
      </c>
      <c r="C418" s="7">
        <v>20800000</v>
      </c>
    </row>
    <row r="419" spans="2:5" x14ac:dyDescent="0.25">
      <c r="B419" s="10">
        <v>6</v>
      </c>
      <c r="C419" s="7">
        <v>23000000</v>
      </c>
    </row>
    <row r="421" spans="2:5" x14ac:dyDescent="0.25">
      <c r="B421" s="3" t="s">
        <v>97</v>
      </c>
      <c r="D421" s="167">
        <f>NPV(C411,C414:C419)+C413</f>
        <v>84169073.480673283</v>
      </c>
      <c r="E421" s="167"/>
    </row>
  </sheetData>
  <mergeCells count="55">
    <mergeCell ref="A68:K68"/>
    <mergeCell ref="A84:K84"/>
    <mergeCell ref="A107:K107"/>
    <mergeCell ref="A110:K110"/>
    <mergeCell ref="A5:K5"/>
    <mergeCell ref="B9:K9"/>
    <mergeCell ref="A17:K17"/>
    <mergeCell ref="A22:K22"/>
    <mergeCell ref="A32:K32"/>
    <mergeCell ref="A7:K7"/>
    <mergeCell ref="C70:G70"/>
    <mergeCell ref="A41:K41"/>
    <mergeCell ref="A62:K62"/>
    <mergeCell ref="A65:K65"/>
    <mergeCell ref="A142:K142"/>
    <mergeCell ref="A159:K159"/>
    <mergeCell ref="A190:K190"/>
    <mergeCell ref="A193:K193"/>
    <mergeCell ref="A116:K116"/>
    <mergeCell ref="A121:K121"/>
    <mergeCell ref="A139:K139"/>
    <mergeCell ref="B144:K144"/>
    <mergeCell ref="A153:K153"/>
    <mergeCell ref="D150:F150"/>
    <mergeCell ref="A155:K155"/>
    <mergeCell ref="A231:K231"/>
    <mergeCell ref="A158:D158"/>
    <mergeCell ref="A161:E161"/>
    <mergeCell ref="A254:K254"/>
    <mergeCell ref="A258:K258"/>
    <mergeCell ref="A202:K202"/>
    <mergeCell ref="A211:K211"/>
    <mergeCell ref="C214:H214"/>
    <mergeCell ref="B216:B225"/>
    <mergeCell ref="A228:K228"/>
    <mergeCell ref="A352:K352"/>
    <mergeCell ref="A367:K367"/>
    <mergeCell ref="A256:C256"/>
    <mergeCell ref="A371:K371"/>
    <mergeCell ref="A374:K374"/>
    <mergeCell ref="A303:K303"/>
    <mergeCell ref="A321:K321"/>
    <mergeCell ref="A326:K326"/>
    <mergeCell ref="A337:K337"/>
    <mergeCell ref="A347:K347"/>
    <mergeCell ref="A267:K267"/>
    <mergeCell ref="A286:K286"/>
    <mergeCell ref="A290:K290"/>
    <mergeCell ref="A294:K294"/>
    <mergeCell ref="D421:E421"/>
    <mergeCell ref="A387:K387"/>
    <mergeCell ref="A406:K406"/>
    <mergeCell ref="A370:C370"/>
    <mergeCell ref="A373:C373"/>
    <mergeCell ref="A409:K409"/>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0"/>
  <sheetViews>
    <sheetView workbookViewId="0"/>
  </sheetViews>
  <sheetFormatPr defaultRowHeight="15.75" x14ac:dyDescent="0.25"/>
  <cols>
    <col min="1" max="1" width="4.7109375" style="3" customWidth="1"/>
    <col min="2" max="2" width="10.7109375" style="3" customWidth="1"/>
    <col min="3" max="13" width="14.7109375" style="3" customWidth="1"/>
    <col min="14" max="36" width="10.7109375" style="3" customWidth="1"/>
    <col min="37" max="16384" width="9.140625" style="3"/>
  </cols>
  <sheetData>
    <row r="1" spans="1:14" ht="16.5" thickBot="1" x14ac:dyDescent="0.3"/>
    <row r="2" spans="1:14" ht="21" x14ac:dyDescent="0.35">
      <c r="B2" s="99" t="s">
        <v>109</v>
      </c>
      <c r="C2" s="100"/>
      <c r="D2" s="39"/>
    </row>
    <row r="3" spans="1:14" s="101" customFormat="1" ht="21.75" thickBot="1" x14ac:dyDescent="0.4">
      <c r="B3" s="40" t="s">
        <v>110</v>
      </c>
      <c r="C3" s="102"/>
      <c r="D3" s="103"/>
    </row>
    <row r="5" spans="1:14" x14ac:dyDescent="0.25">
      <c r="A5" s="171" t="s">
        <v>98</v>
      </c>
      <c r="B5" s="171"/>
      <c r="C5" s="171"/>
      <c r="D5" s="171"/>
      <c r="E5" s="171"/>
      <c r="F5" s="171"/>
      <c r="G5" s="171"/>
      <c r="H5" s="171"/>
      <c r="I5" s="171"/>
      <c r="J5" s="171"/>
      <c r="K5" s="171"/>
    </row>
    <row r="7" spans="1:14" x14ac:dyDescent="0.25">
      <c r="A7" s="4" t="s">
        <v>111</v>
      </c>
    </row>
    <row r="9" spans="1:14" ht="31.5" customHeight="1" x14ac:dyDescent="0.25">
      <c r="A9" s="171" t="s">
        <v>112</v>
      </c>
      <c r="B9" s="171"/>
      <c r="C9" s="171"/>
      <c r="D9" s="171"/>
      <c r="E9" s="171"/>
      <c r="F9" s="171"/>
      <c r="G9" s="171"/>
      <c r="H9" s="171"/>
      <c r="I9" s="171"/>
      <c r="J9" s="171"/>
      <c r="K9" s="171"/>
    </row>
    <row r="11" spans="1:14" x14ac:dyDescent="0.25">
      <c r="B11" s="3" t="s">
        <v>99</v>
      </c>
      <c r="E11" s="5">
        <v>0.24</v>
      </c>
    </row>
    <row r="12" spans="1:14" x14ac:dyDescent="0.25">
      <c r="B12" s="3" t="s">
        <v>100</v>
      </c>
      <c r="E12" s="30">
        <v>12</v>
      </c>
    </row>
    <row r="14" spans="1:14" x14ac:dyDescent="0.25">
      <c r="B14" s="3" t="s">
        <v>101</v>
      </c>
      <c r="E14" s="32">
        <f>EFFECT(E11,E12)</f>
        <v>0.26824179456254527</v>
      </c>
    </row>
    <row r="16" spans="1:14" s="14" customFormat="1" x14ac:dyDescent="0.25">
      <c r="A16" s="34" t="s">
        <v>7</v>
      </c>
      <c r="B16" s="12"/>
      <c r="C16" s="12"/>
      <c r="D16" s="12"/>
      <c r="E16" s="13"/>
      <c r="F16" s="12"/>
      <c r="G16" s="12"/>
      <c r="H16" s="12"/>
      <c r="I16" s="12"/>
      <c r="J16" s="12"/>
      <c r="K16" s="12"/>
      <c r="L16" s="12"/>
      <c r="M16" s="12"/>
      <c r="N16" s="12"/>
    </row>
    <row r="17" spans="1:14" s="14" customFormat="1" ht="15.75" customHeight="1" x14ac:dyDescent="0.25">
      <c r="A17" s="168" t="s">
        <v>102</v>
      </c>
      <c r="B17" s="168"/>
      <c r="C17" s="168"/>
      <c r="D17" s="168"/>
      <c r="E17" s="168"/>
      <c r="F17" s="168"/>
      <c r="G17" s="168"/>
      <c r="H17" s="168"/>
      <c r="I17" s="168"/>
      <c r="J17" s="168"/>
      <c r="K17" s="168"/>
      <c r="L17" s="12"/>
      <c r="M17" s="12"/>
      <c r="N17" s="12"/>
    </row>
    <row r="18" spans="1:14" s="14" customFormat="1" x14ac:dyDescent="0.25"/>
    <row r="19" spans="1:14" s="14" customFormat="1" x14ac:dyDescent="0.25"/>
    <row r="20" spans="1:14" s="14" customFormat="1" x14ac:dyDescent="0.25"/>
    <row r="21" spans="1:14" s="14" customFormat="1" x14ac:dyDescent="0.25"/>
    <row r="22" spans="1:14" s="14" customFormat="1" x14ac:dyDescent="0.25"/>
    <row r="23" spans="1:14" s="14" customFormat="1" x14ac:dyDescent="0.25"/>
    <row r="24" spans="1:14" s="14" customFormat="1" x14ac:dyDescent="0.25"/>
    <row r="25" spans="1:14" s="14" customFormat="1" x14ac:dyDescent="0.25"/>
    <row r="26" spans="1:14" s="14" customFormat="1" x14ac:dyDescent="0.25"/>
    <row r="27" spans="1:14" s="14" customFormat="1" x14ac:dyDescent="0.25"/>
    <row r="28" spans="1:14" s="14" customFormat="1" x14ac:dyDescent="0.25"/>
    <row r="29" spans="1:14" s="14" customFormat="1" x14ac:dyDescent="0.25"/>
    <row r="30" spans="1:14" s="14" customFormat="1" x14ac:dyDescent="0.25"/>
    <row r="31" spans="1:14" s="14" customFormat="1" x14ac:dyDescent="0.25"/>
    <row r="32" spans="1:14" s="14" customFormat="1" x14ac:dyDescent="0.25">
      <c r="A32" s="169" t="s">
        <v>103</v>
      </c>
      <c r="B32" s="169"/>
      <c r="C32" s="169"/>
      <c r="D32" s="169"/>
      <c r="E32" s="169"/>
      <c r="F32" s="169"/>
      <c r="G32" s="169"/>
      <c r="H32" s="169"/>
      <c r="I32" s="169"/>
      <c r="J32" s="169"/>
      <c r="K32" s="169"/>
    </row>
    <row r="33" spans="1:14" s="14" customFormat="1" x14ac:dyDescent="0.25"/>
    <row r="35" spans="1:14" x14ac:dyDescent="0.25">
      <c r="A35" s="3" t="s">
        <v>113</v>
      </c>
    </row>
    <row r="37" spans="1:14" x14ac:dyDescent="0.25">
      <c r="A37" s="171" t="s">
        <v>104</v>
      </c>
      <c r="B37" s="171"/>
      <c r="C37" s="171"/>
      <c r="D37" s="171"/>
      <c r="E37" s="171"/>
      <c r="F37" s="171"/>
      <c r="G37" s="171"/>
      <c r="H37" s="171"/>
      <c r="I37" s="171"/>
      <c r="J37" s="171"/>
      <c r="K37" s="171"/>
    </row>
    <row r="39" spans="1:14" x14ac:dyDescent="0.25">
      <c r="B39" s="3" t="s">
        <v>101</v>
      </c>
      <c r="E39" s="5">
        <v>0.18</v>
      </c>
    </row>
    <row r="40" spans="1:14" x14ac:dyDescent="0.25">
      <c r="B40" s="3" t="s">
        <v>100</v>
      </c>
      <c r="E40" s="30">
        <v>12</v>
      </c>
    </row>
    <row r="42" spans="1:14" x14ac:dyDescent="0.25">
      <c r="B42" s="3" t="s">
        <v>99</v>
      </c>
      <c r="E42" s="32">
        <f>NOMINAL(E39,E40)</f>
        <v>0.16666116418091903</v>
      </c>
    </row>
    <row r="44" spans="1:14" s="14" customFormat="1" x14ac:dyDescent="0.25">
      <c r="A44" s="34" t="s">
        <v>7</v>
      </c>
      <c r="B44" s="12"/>
      <c r="C44" s="12"/>
      <c r="D44" s="12"/>
      <c r="E44" s="13"/>
      <c r="F44" s="12"/>
      <c r="G44" s="12"/>
      <c r="H44" s="12"/>
      <c r="I44" s="12"/>
      <c r="J44" s="12"/>
      <c r="K44" s="12"/>
      <c r="L44" s="12"/>
      <c r="M44" s="12"/>
      <c r="N44" s="12"/>
    </row>
    <row r="45" spans="1:14" s="14" customFormat="1" ht="15.75" customHeight="1" x14ac:dyDescent="0.25">
      <c r="A45" s="168" t="s">
        <v>105</v>
      </c>
      <c r="B45" s="168"/>
      <c r="C45" s="168"/>
      <c r="D45" s="168"/>
      <c r="E45" s="168"/>
      <c r="F45" s="168"/>
      <c r="G45" s="168"/>
      <c r="H45" s="168"/>
      <c r="I45" s="168"/>
      <c r="J45" s="168"/>
      <c r="K45" s="168"/>
      <c r="L45" s="12"/>
      <c r="M45" s="12"/>
      <c r="N45" s="12"/>
    </row>
    <row r="46" spans="1:14" s="14" customFormat="1" x14ac:dyDescent="0.25"/>
    <row r="47" spans="1:14" s="14" customFormat="1" x14ac:dyDescent="0.25"/>
    <row r="48" spans="1:14" s="14" customFormat="1" x14ac:dyDescent="0.25"/>
    <row r="49" spans="1:11" s="14" customFormat="1" x14ac:dyDescent="0.25"/>
    <row r="50" spans="1:11" s="14" customFormat="1" x14ac:dyDescent="0.25"/>
    <row r="51" spans="1:11" s="14" customFormat="1" x14ac:dyDescent="0.25"/>
    <row r="52" spans="1:11" s="14" customFormat="1" x14ac:dyDescent="0.25"/>
    <row r="53" spans="1:11" s="14" customFormat="1" x14ac:dyDescent="0.25"/>
    <row r="54" spans="1:11" s="14" customFormat="1" x14ac:dyDescent="0.25"/>
    <row r="55" spans="1:11" s="14" customFormat="1" x14ac:dyDescent="0.25"/>
    <row r="56" spans="1:11" s="14" customFormat="1" x14ac:dyDescent="0.25"/>
    <row r="57" spans="1:11" s="14" customFormat="1" x14ac:dyDescent="0.25"/>
    <row r="58" spans="1:11" s="14" customFormat="1" x14ac:dyDescent="0.25"/>
    <row r="59" spans="1:11" s="14" customFormat="1" x14ac:dyDescent="0.25"/>
    <row r="60" spans="1:11" s="14" customFormat="1" x14ac:dyDescent="0.25">
      <c r="A60" s="169" t="s">
        <v>106</v>
      </c>
      <c r="B60" s="169"/>
      <c r="C60" s="169"/>
      <c r="D60" s="169"/>
      <c r="E60" s="169"/>
      <c r="F60" s="169"/>
      <c r="G60" s="169"/>
      <c r="H60" s="169"/>
      <c r="I60" s="169"/>
      <c r="J60" s="169"/>
      <c r="K60" s="169"/>
    </row>
    <row r="61" spans="1:11" s="14" customFormat="1" x14ac:dyDescent="0.25"/>
    <row r="63" spans="1:11" x14ac:dyDescent="0.25">
      <c r="A63" s="178" t="s">
        <v>114</v>
      </c>
      <c r="B63" s="178"/>
      <c r="C63" s="178"/>
      <c r="D63" s="178"/>
      <c r="E63" s="178"/>
      <c r="F63" s="178"/>
      <c r="G63" s="178"/>
      <c r="H63" s="178"/>
      <c r="I63" s="178"/>
      <c r="J63" s="178"/>
      <c r="K63" s="178"/>
    </row>
    <row r="65" spans="1:14" x14ac:dyDescent="0.25">
      <c r="A65" s="171" t="s">
        <v>107</v>
      </c>
      <c r="B65" s="171"/>
      <c r="C65" s="171"/>
      <c r="D65" s="171"/>
      <c r="E65" s="171"/>
      <c r="F65" s="171"/>
      <c r="G65" s="171"/>
      <c r="H65" s="171"/>
      <c r="I65" s="171"/>
      <c r="J65" s="171"/>
      <c r="K65" s="171"/>
    </row>
    <row r="67" spans="1:14" x14ac:dyDescent="0.25">
      <c r="A67" s="170" t="s">
        <v>115</v>
      </c>
      <c r="B67" s="170"/>
      <c r="C67" s="170"/>
      <c r="D67" s="170"/>
      <c r="E67" s="170"/>
    </row>
    <row r="68" spans="1:14" x14ac:dyDescent="0.25">
      <c r="A68" s="171" t="s">
        <v>116</v>
      </c>
      <c r="B68" s="171"/>
      <c r="C68" s="171"/>
      <c r="D68" s="171"/>
      <c r="E68" s="171"/>
      <c r="F68" s="171"/>
      <c r="G68" s="171"/>
      <c r="H68" s="171"/>
      <c r="I68" s="171"/>
      <c r="J68" s="171"/>
      <c r="K68" s="171"/>
    </row>
    <row r="70" spans="1:14" x14ac:dyDescent="0.25">
      <c r="B70" s="3" t="s">
        <v>99</v>
      </c>
      <c r="C70" s="104">
        <v>5.5E-2</v>
      </c>
    </row>
    <row r="72" spans="1:14" x14ac:dyDescent="0.25">
      <c r="B72" s="3" t="s">
        <v>101</v>
      </c>
      <c r="C72" s="32">
        <f>EXP(C70)-1</f>
        <v>5.6540614675494316E-2</v>
      </c>
    </row>
    <row r="75" spans="1:14" s="14" customFormat="1" x14ac:dyDescent="0.25">
      <c r="A75" s="34" t="s">
        <v>7</v>
      </c>
      <c r="B75" s="12"/>
      <c r="C75" s="12"/>
      <c r="D75" s="12"/>
      <c r="E75" s="13"/>
      <c r="F75" s="12"/>
      <c r="G75" s="12"/>
      <c r="H75" s="12"/>
      <c r="I75" s="12"/>
      <c r="J75" s="12"/>
      <c r="K75" s="12"/>
      <c r="L75" s="12"/>
      <c r="M75" s="12"/>
      <c r="N75" s="12"/>
    </row>
    <row r="76" spans="1:14" s="14" customFormat="1" x14ac:dyDescent="0.25">
      <c r="A76" s="168" t="s">
        <v>108</v>
      </c>
      <c r="B76" s="168"/>
      <c r="C76" s="168"/>
      <c r="D76" s="168"/>
      <c r="E76" s="168"/>
      <c r="F76" s="168"/>
      <c r="G76" s="168"/>
      <c r="H76" s="168"/>
      <c r="I76" s="168"/>
      <c r="J76" s="168"/>
      <c r="K76" s="12"/>
      <c r="L76" s="12"/>
      <c r="M76" s="12"/>
      <c r="N76" s="12"/>
    </row>
    <row r="77" spans="1:14" s="14" customFormat="1" x14ac:dyDescent="0.25"/>
    <row r="78" spans="1:14" s="14" customFormat="1" x14ac:dyDescent="0.25"/>
    <row r="79" spans="1:14" s="14" customFormat="1" x14ac:dyDescent="0.25"/>
    <row r="80" spans="1:14" s="14" customFormat="1" x14ac:dyDescent="0.25"/>
    <row r="81" spans="1:11" s="14" customFormat="1" x14ac:dyDescent="0.25"/>
    <row r="82" spans="1:11" s="14" customFormat="1" x14ac:dyDescent="0.25"/>
    <row r="83" spans="1:11" s="14" customFormat="1" x14ac:dyDescent="0.25"/>
    <row r="84" spans="1:11" s="14" customFormat="1" x14ac:dyDescent="0.25"/>
    <row r="85" spans="1:11" s="14" customFormat="1" x14ac:dyDescent="0.25"/>
    <row r="86" spans="1:11" s="14" customFormat="1" x14ac:dyDescent="0.25"/>
    <row r="87" spans="1:11" s="14" customFormat="1" x14ac:dyDescent="0.25"/>
    <row r="88" spans="1:11" s="14" customFormat="1" x14ac:dyDescent="0.25"/>
    <row r="89" spans="1:11" s="14" customFormat="1" ht="47.25" customHeight="1" x14ac:dyDescent="0.25">
      <c r="A89" s="169" t="str">
        <f>"The sole argument of this Excel function is Number, which is the number we want to calculate the exponential value. If you notice, the function returns "&amp;ROUND(EXP(C70),9)&amp;" in this case. Since we are dealing with interest rates, we need to calculate the exponential function for the interest rate and then subtract 1 (one.)"</f>
        <v>The sole argument of this Excel function is Number, which is the number we want to calculate the exponential value. If you notice, the function returns 1.056540615 in this case. Since we are dealing with interest rates, we need to calculate the exponential function for the interest rate and then subtract 1 (one.)</v>
      </c>
      <c r="B89" s="169"/>
      <c r="C89" s="169"/>
      <c r="D89" s="169"/>
      <c r="E89" s="169"/>
      <c r="F89" s="169"/>
      <c r="G89" s="169"/>
      <c r="H89" s="169"/>
      <c r="I89" s="169"/>
      <c r="J89" s="169"/>
      <c r="K89" s="169"/>
    </row>
    <row r="90" spans="1:11" s="14" customFormat="1" x14ac:dyDescent="0.25"/>
  </sheetData>
  <mergeCells count="13">
    <mergeCell ref="A89:K89"/>
    <mergeCell ref="A67:E67"/>
    <mergeCell ref="A5:K5"/>
    <mergeCell ref="A9:K9"/>
    <mergeCell ref="A17:K17"/>
    <mergeCell ref="A32:K32"/>
    <mergeCell ref="A37:K37"/>
    <mergeCell ref="A45:K45"/>
    <mergeCell ref="A60:K60"/>
    <mergeCell ref="A63:K63"/>
    <mergeCell ref="A65:K65"/>
    <mergeCell ref="A68:K68"/>
    <mergeCell ref="A76:J76"/>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4"/>
  <sheetViews>
    <sheetView workbookViewId="0"/>
  </sheetViews>
  <sheetFormatPr defaultRowHeight="15.75" x14ac:dyDescent="0.25"/>
  <cols>
    <col min="1" max="1" width="4.7109375" style="3" customWidth="1"/>
    <col min="2" max="3" width="14.7109375" style="3" customWidth="1"/>
    <col min="4" max="4" width="15.7109375" style="3" bestFit="1" customWidth="1"/>
    <col min="5" max="35" width="14.7109375" style="3" customWidth="1"/>
    <col min="36" max="67" width="10.7109375" style="3" customWidth="1"/>
    <col min="68" max="16384" width="9.140625" style="3"/>
  </cols>
  <sheetData>
    <row r="1" spans="1:11" ht="16.5" thickBot="1" x14ac:dyDescent="0.3"/>
    <row r="2" spans="1:11" ht="21" x14ac:dyDescent="0.35">
      <c r="B2" s="99" t="s">
        <v>146</v>
      </c>
      <c r="C2" s="112"/>
    </row>
    <row r="3" spans="1:11" ht="21.75" thickBot="1" x14ac:dyDescent="0.4">
      <c r="B3" s="40" t="s">
        <v>147</v>
      </c>
      <c r="C3" s="103"/>
    </row>
    <row r="5" spans="1:11" ht="31.5" customHeight="1" x14ac:dyDescent="0.25">
      <c r="A5" s="171" t="s">
        <v>148</v>
      </c>
      <c r="B5" s="171"/>
      <c r="C5" s="171"/>
      <c r="D5" s="171"/>
      <c r="E5" s="171"/>
      <c r="F5" s="171"/>
      <c r="G5" s="171"/>
      <c r="H5" s="171"/>
      <c r="I5" s="171"/>
      <c r="J5" s="171"/>
      <c r="K5" s="171"/>
    </row>
    <row r="7" spans="1:11" x14ac:dyDescent="0.25">
      <c r="A7" s="4" t="s">
        <v>117</v>
      </c>
    </row>
    <row r="9" spans="1:11" ht="31.5" customHeight="1" x14ac:dyDescent="0.25">
      <c r="A9" s="171" t="s">
        <v>149</v>
      </c>
      <c r="B9" s="171"/>
      <c r="C9" s="171"/>
      <c r="D9" s="171"/>
      <c r="E9" s="171"/>
      <c r="F9" s="171"/>
      <c r="G9" s="171"/>
      <c r="H9" s="171"/>
      <c r="I9" s="171"/>
      <c r="J9" s="171"/>
      <c r="K9" s="171"/>
    </row>
    <row r="11" spans="1:11" x14ac:dyDescent="0.25">
      <c r="A11" s="178" t="s">
        <v>150</v>
      </c>
      <c r="B11" s="178"/>
      <c r="C11" s="178"/>
      <c r="D11" s="178"/>
    </row>
    <row r="12" spans="1:11" x14ac:dyDescent="0.25">
      <c r="A12" s="171" t="s">
        <v>151</v>
      </c>
      <c r="B12" s="171"/>
      <c r="C12" s="171"/>
      <c r="D12" s="171"/>
      <c r="E12" s="171"/>
      <c r="F12" s="171"/>
      <c r="G12" s="171"/>
      <c r="H12" s="171"/>
      <c r="I12" s="171"/>
      <c r="J12" s="171"/>
      <c r="K12" s="171"/>
    </row>
    <row r="14" spans="1:11" x14ac:dyDescent="0.25">
      <c r="B14" s="3" t="s">
        <v>118</v>
      </c>
      <c r="D14" s="7">
        <v>50000</v>
      </c>
    </row>
    <row r="15" spans="1:11" x14ac:dyDescent="0.25">
      <c r="B15" s="3" t="s">
        <v>119</v>
      </c>
      <c r="D15" s="30">
        <v>20</v>
      </c>
    </row>
    <row r="16" spans="1:11" x14ac:dyDescent="0.25">
      <c r="B16" s="3" t="s">
        <v>28</v>
      </c>
      <c r="D16" s="5">
        <v>0.08</v>
      </c>
    </row>
    <row r="18" spans="1:14" x14ac:dyDescent="0.25">
      <c r="B18" s="3" t="s">
        <v>33</v>
      </c>
      <c r="D18" s="8">
        <f>PV(D16,D15,-D14)</f>
        <v>490907.37037246465</v>
      </c>
    </row>
    <row r="20" spans="1:14" s="14" customFormat="1" x14ac:dyDescent="0.25">
      <c r="A20" s="34" t="s">
        <v>7</v>
      </c>
      <c r="B20" s="12"/>
      <c r="C20" s="12"/>
      <c r="D20" s="12"/>
      <c r="E20" s="13"/>
      <c r="F20" s="12"/>
      <c r="G20" s="12"/>
      <c r="H20" s="12"/>
      <c r="I20" s="12"/>
      <c r="J20" s="12"/>
      <c r="K20" s="12"/>
      <c r="L20" s="12"/>
      <c r="M20" s="12"/>
      <c r="N20" s="12"/>
    </row>
    <row r="21" spans="1:14" s="14" customFormat="1" ht="15.75" customHeight="1" x14ac:dyDescent="0.25">
      <c r="A21" s="168" t="s">
        <v>120</v>
      </c>
      <c r="B21" s="168"/>
      <c r="C21" s="168"/>
      <c r="D21" s="168"/>
      <c r="E21" s="168"/>
      <c r="F21" s="168"/>
      <c r="G21" s="168"/>
      <c r="H21" s="168"/>
      <c r="I21" s="168"/>
      <c r="J21" s="168"/>
      <c r="K21" s="168"/>
      <c r="L21" s="12"/>
      <c r="M21" s="12"/>
      <c r="N21" s="12"/>
    </row>
    <row r="22" spans="1:14" s="14" customFormat="1" x14ac:dyDescent="0.25"/>
    <row r="23" spans="1:14" s="14" customFormat="1" x14ac:dyDescent="0.25"/>
    <row r="24" spans="1:14" s="14" customFormat="1" x14ac:dyDescent="0.25"/>
    <row r="25" spans="1:14" s="14" customFormat="1" x14ac:dyDescent="0.25"/>
    <row r="26" spans="1:14" s="14" customFormat="1" x14ac:dyDescent="0.25"/>
    <row r="27" spans="1:14" s="14" customFormat="1" x14ac:dyDescent="0.25"/>
    <row r="28" spans="1:14" s="14" customFormat="1" x14ac:dyDescent="0.25"/>
    <row r="29" spans="1:14" s="14" customFormat="1" x14ac:dyDescent="0.25"/>
    <row r="30" spans="1:14" s="14" customFormat="1" x14ac:dyDescent="0.25"/>
    <row r="31" spans="1:14" s="14" customFormat="1" x14ac:dyDescent="0.25"/>
    <row r="32" spans="1:14" s="14" customFormat="1" x14ac:dyDescent="0.25"/>
    <row r="33" spans="1:11" s="14" customFormat="1" x14ac:dyDescent="0.25"/>
    <row r="34" spans="1:11" s="14" customFormat="1" x14ac:dyDescent="0.25"/>
    <row r="35" spans="1:11" s="14" customFormat="1" x14ac:dyDescent="0.25"/>
    <row r="36" spans="1:11" s="14" customFormat="1" x14ac:dyDescent="0.25"/>
    <row r="37" spans="1:11" s="14" customFormat="1" x14ac:dyDescent="0.25"/>
    <row r="38" spans="1:11" s="14" customFormat="1" x14ac:dyDescent="0.25"/>
    <row r="39" spans="1:11" s="14" customFormat="1" ht="63" customHeight="1" x14ac:dyDescent="0.25">
      <c r="A39" s="169" t="s">
        <v>121</v>
      </c>
      <c r="B39" s="169"/>
      <c r="C39" s="169"/>
      <c r="D39" s="169"/>
      <c r="E39" s="169"/>
      <c r="F39" s="169"/>
      <c r="G39" s="169"/>
      <c r="H39" s="169"/>
      <c r="I39" s="169"/>
      <c r="J39" s="169"/>
      <c r="K39" s="169"/>
    </row>
    <row r="40" spans="1:11" s="14" customFormat="1" x14ac:dyDescent="0.25"/>
    <row r="42" spans="1:11" x14ac:dyDescent="0.25">
      <c r="A42" s="4" t="s">
        <v>139</v>
      </c>
    </row>
    <row r="44" spans="1:11" ht="31.5" customHeight="1" x14ac:dyDescent="0.25">
      <c r="A44" s="171" t="s">
        <v>140</v>
      </c>
      <c r="B44" s="171"/>
      <c r="C44" s="171"/>
      <c r="D44" s="171"/>
      <c r="E44" s="171"/>
      <c r="F44" s="171"/>
      <c r="G44" s="171"/>
      <c r="H44" s="171"/>
      <c r="I44" s="171"/>
      <c r="J44" s="171"/>
      <c r="K44" s="171"/>
    </row>
    <row r="46" spans="1:11" x14ac:dyDescent="0.25">
      <c r="A46" s="170" t="s">
        <v>153</v>
      </c>
      <c r="B46" s="170"/>
      <c r="C46" s="170"/>
      <c r="D46" s="170"/>
    </row>
    <row r="47" spans="1:11" x14ac:dyDescent="0.25">
      <c r="A47" s="3" t="s">
        <v>154</v>
      </c>
    </row>
    <row r="49" spans="1:14" x14ac:dyDescent="0.25">
      <c r="B49" s="3" t="s">
        <v>141</v>
      </c>
      <c r="D49" s="7">
        <v>3000</v>
      </c>
    </row>
    <row r="50" spans="1:14" x14ac:dyDescent="0.25">
      <c r="B50" s="3" t="s">
        <v>130</v>
      </c>
      <c r="D50" s="30">
        <v>30</v>
      </c>
    </row>
    <row r="51" spans="1:14" x14ac:dyDescent="0.25">
      <c r="B51" s="3" t="s">
        <v>28</v>
      </c>
      <c r="D51" s="5">
        <v>0.06</v>
      </c>
    </row>
    <row r="53" spans="1:14" x14ac:dyDescent="0.25">
      <c r="B53" s="3" t="s">
        <v>26</v>
      </c>
      <c r="D53" s="8">
        <f>FV(D51,D50,-D49)</f>
        <v>237174.558645663</v>
      </c>
    </row>
    <row r="55" spans="1:14" s="14" customFormat="1" x14ac:dyDescent="0.25">
      <c r="A55" s="34" t="s">
        <v>7</v>
      </c>
      <c r="B55" s="12"/>
      <c r="C55" s="12"/>
      <c r="D55" s="12"/>
      <c r="E55" s="13"/>
      <c r="F55" s="12"/>
      <c r="G55" s="12"/>
      <c r="H55" s="12"/>
      <c r="I55" s="12"/>
      <c r="J55" s="12"/>
      <c r="K55" s="12"/>
      <c r="L55" s="12"/>
      <c r="M55" s="12"/>
      <c r="N55" s="12"/>
    </row>
    <row r="56" spans="1:14" s="14" customFormat="1" x14ac:dyDescent="0.25">
      <c r="A56" s="168" t="s">
        <v>142</v>
      </c>
      <c r="B56" s="168"/>
      <c r="C56" s="168"/>
      <c r="D56" s="168"/>
      <c r="E56" s="168"/>
      <c r="F56" s="168"/>
      <c r="G56" s="168"/>
      <c r="H56" s="168"/>
      <c r="I56" s="168"/>
      <c r="J56" s="168"/>
      <c r="K56" s="12"/>
      <c r="L56" s="12"/>
      <c r="M56" s="12"/>
      <c r="N56" s="12"/>
    </row>
    <row r="57" spans="1:14" s="14" customFormat="1" x14ac:dyDescent="0.25"/>
    <row r="58" spans="1:14" s="14" customFormat="1" x14ac:dyDescent="0.25"/>
    <row r="59" spans="1:14" s="14" customFormat="1" x14ac:dyDescent="0.25"/>
    <row r="60" spans="1:14" s="14" customFormat="1" x14ac:dyDescent="0.25"/>
    <row r="61" spans="1:14" s="14" customFormat="1" x14ac:dyDescent="0.25"/>
    <row r="62" spans="1:14" s="14" customFormat="1" x14ac:dyDescent="0.25"/>
    <row r="63" spans="1:14" s="14" customFormat="1" x14ac:dyDescent="0.25"/>
    <row r="64" spans="1:14" s="14" customFormat="1" x14ac:dyDescent="0.25"/>
    <row r="65" spans="1:11" s="14" customFormat="1" x14ac:dyDescent="0.25"/>
    <row r="66" spans="1:11" s="14" customFormat="1" x14ac:dyDescent="0.25"/>
    <row r="67" spans="1:11" s="14" customFormat="1" x14ac:dyDescent="0.25"/>
    <row r="68" spans="1:11" s="14" customFormat="1" x14ac:dyDescent="0.25"/>
    <row r="69" spans="1:11" s="14" customFormat="1" x14ac:dyDescent="0.25"/>
    <row r="70" spans="1:11" s="14" customFormat="1" x14ac:dyDescent="0.25"/>
    <row r="71" spans="1:11" s="14" customFormat="1" x14ac:dyDescent="0.25"/>
    <row r="72" spans="1:11" s="14" customFormat="1" x14ac:dyDescent="0.25"/>
    <row r="73" spans="1:11" s="14" customFormat="1" x14ac:dyDescent="0.25"/>
    <row r="74" spans="1:11" s="14" customFormat="1" ht="63" customHeight="1" x14ac:dyDescent="0.25">
      <c r="A74" s="169" t="s">
        <v>121</v>
      </c>
      <c r="B74" s="169"/>
      <c r="C74" s="169"/>
      <c r="D74" s="169"/>
      <c r="E74" s="169"/>
      <c r="F74" s="169"/>
      <c r="G74" s="169"/>
      <c r="H74" s="169"/>
      <c r="I74" s="169"/>
      <c r="J74" s="169"/>
      <c r="K74" s="169"/>
    </row>
    <row r="75" spans="1:11" s="14" customFormat="1" x14ac:dyDescent="0.25"/>
    <row r="77" spans="1:11" ht="31.5" customHeight="1" x14ac:dyDescent="0.25">
      <c r="A77" s="171" t="s">
        <v>143</v>
      </c>
      <c r="B77" s="171"/>
      <c r="C77" s="171"/>
      <c r="D77" s="171"/>
      <c r="E77" s="171"/>
      <c r="F77" s="171"/>
      <c r="G77" s="171"/>
      <c r="H77" s="171"/>
      <c r="I77" s="171"/>
      <c r="J77" s="171"/>
      <c r="K77" s="171"/>
    </row>
    <row r="79" spans="1:11" x14ac:dyDescent="0.25">
      <c r="A79" s="170" t="s">
        <v>152</v>
      </c>
      <c r="B79" s="170"/>
      <c r="C79" s="170"/>
    </row>
    <row r="80" spans="1:11" x14ac:dyDescent="0.25">
      <c r="A80" s="171" t="s">
        <v>155</v>
      </c>
      <c r="B80" s="171"/>
      <c r="C80" s="171"/>
      <c r="D80" s="171"/>
      <c r="E80" s="171"/>
      <c r="F80" s="171"/>
      <c r="G80" s="171"/>
      <c r="H80" s="171"/>
      <c r="I80" s="171"/>
      <c r="J80" s="171"/>
      <c r="K80" s="171"/>
    </row>
    <row r="82" spans="1:14" x14ac:dyDescent="0.25">
      <c r="B82" s="3" t="s">
        <v>30</v>
      </c>
      <c r="E82" s="7">
        <v>175000</v>
      </c>
    </row>
    <row r="83" spans="1:14" x14ac:dyDescent="0.25">
      <c r="B83" s="3" t="s">
        <v>122</v>
      </c>
      <c r="E83" s="30">
        <v>240</v>
      </c>
    </row>
    <row r="84" spans="1:14" x14ac:dyDescent="0.25">
      <c r="B84" s="3" t="s">
        <v>123</v>
      </c>
      <c r="E84" s="104">
        <v>5.0000000000000001E-3</v>
      </c>
    </row>
    <row r="86" spans="1:14" x14ac:dyDescent="0.25">
      <c r="B86" s="3" t="s">
        <v>124</v>
      </c>
      <c r="E86" s="8">
        <f>PMT(E84,E83,-E82)</f>
        <v>1253.7543523367885</v>
      </c>
    </row>
    <row r="88" spans="1:14" s="14" customFormat="1" x14ac:dyDescent="0.25">
      <c r="A88" s="34" t="s">
        <v>7</v>
      </c>
      <c r="B88" s="12"/>
      <c r="C88" s="12"/>
      <c r="D88" s="12"/>
      <c r="E88" s="13"/>
      <c r="F88" s="12"/>
      <c r="G88" s="12"/>
      <c r="H88" s="12"/>
      <c r="I88" s="12"/>
      <c r="J88" s="12"/>
      <c r="K88" s="12"/>
      <c r="L88" s="12"/>
      <c r="M88" s="12"/>
      <c r="N88" s="12"/>
    </row>
    <row r="89" spans="1:14" s="14" customFormat="1" x14ac:dyDescent="0.25">
      <c r="A89" s="168" t="s">
        <v>125</v>
      </c>
      <c r="B89" s="168"/>
      <c r="C89" s="168"/>
      <c r="D89" s="168"/>
      <c r="E89" s="168"/>
      <c r="F89" s="168"/>
      <c r="G89" s="168"/>
      <c r="H89" s="168"/>
      <c r="I89" s="168"/>
      <c r="J89" s="168"/>
      <c r="K89" s="12"/>
      <c r="L89" s="12"/>
      <c r="M89" s="12"/>
      <c r="N89" s="12"/>
    </row>
    <row r="90" spans="1:14" s="14" customFormat="1" x14ac:dyDescent="0.25"/>
    <row r="91" spans="1:14" s="14" customFormat="1" x14ac:dyDescent="0.25"/>
    <row r="92" spans="1:14" s="14" customFormat="1" x14ac:dyDescent="0.25"/>
    <row r="93" spans="1:14" s="14" customFormat="1" x14ac:dyDescent="0.25"/>
    <row r="94" spans="1:14" s="14" customFormat="1" x14ac:dyDescent="0.25"/>
    <row r="95" spans="1:14" s="14" customFormat="1" x14ac:dyDescent="0.25"/>
    <row r="96" spans="1:14" s="14" customFormat="1" x14ac:dyDescent="0.25"/>
    <row r="97" spans="1:11" s="14" customFormat="1" x14ac:dyDescent="0.25"/>
    <row r="98" spans="1:11" s="14" customFormat="1" x14ac:dyDescent="0.25"/>
    <row r="99" spans="1:11" s="14" customFormat="1" x14ac:dyDescent="0.25"/>
    <row r="100" spans="1:11" s="14" customFormat="1" x14ac:dyDescent="0.25"/>
    <row r="101" spans="1:11" s="14" customFormat="1" x14ac:dyDescent="0.25"/>
    <row r="102" spans="1:11" s="14" customFormat="1" x14ac:dyDescent="0.25"/>
    <row r="103" spans="1:11" s="14" customFormat="1" x14ac:dyDescent="0.25"/>
    <row r="104" spans="1:11" s="14" customFormat="1" x14ac:dyDescent="0.25"/>
    <row r="105" spans="1:11" s="14" customFormat="1" x14ac:dyDescent="0.25"/>
    <row r="106" spans="1:11" s="14" customFormat="1" x14ac:dyDescent="0.25"/>
    <row r="107" spans="1:11" s="14" customFormat="1" ht="63" customHeight="1" x14ac:dyDescent="0.25">
      <c r="A107" s="169" t="s">
        <v>126</v>
      </c>
      <c r="B107" s="169"/>
      <c r="C107" s="169"/>
      <c r="D107" s="169"/>
      <c r="E107" s="169"/>
      <c r="F107" s="169"/>
      <c r="G107" s="169"/>
      <c r="H107" s="169"/>
      <c r="I107" s="169"/>
      <c r="J107" s="169"/>
      <c r="K107" s="169"/>
    </row>
    <row r="108" spans="1:11" s="14" customFormat="1" x14ac:dyDescent="0.25"/>
    <row r="110" spans="1:11" x14ac:dyDescent="0.25">
      <c r="A110" s="170" t="s">
        <v>83</v>
      </c>
      <c r="B110" s="170"/>
      <c r="C110" s="170"/>
    </row>
    <row r="111" spans="1:11" ht="31.5" customHeight="1" x14ac:dyDescent="0.25">
      <c r="A111" s="171" t="s">
        <v>127</v>
      </c>
      <c r="B111" s="171"/>
      <c r="C111" s="171"/>
      <c r="D111" s="171"/>
      <c r="E111" s="171"/>
      <c r="F111" s="171"/>
      <c r="G111" s="171"/>
      <c r="H111" s="171"/>
      <c r="I111" s="171"/>
      <c r="J111" s="171"/>
      <c r="K111" s="171"/>
    </row>
    <row r="113" spans="1:14" x14ac:dyDescent="0.25">
      <c r="B113" s="3" t="s">
        <v>128</v>
      </c>
      <c r="E113" s="7">
        <v>1500000</v>
      </c>
    </row>
    <row r="114" spans="1:14" x14ac:dyDescent="0.25">
      <c r="B114" s="3" t="s">
        <v>129</v>
      </c>
      <c r="E114" s="7">
        <v>4000</v>
      </c>
    </row>
    <row r="115" spans="1:14" x14ac:dyDescent="0.25">
      <c r="B115" s="3" t="s">
        <v>130</v>
      </c>
      <c r="E115" s="105">
        <v>35</v>
      </c>
    </row>
    <row r="117" spans="1:14" x14ac:dyDescent="0.25">
      <c r="B117" s="3" t="s">
        <v>28</v>
      </c>
      <c r="E117" s="106">
        <f>RATE(E115,-E114,,E113)</f>
        <v>0.11399963496651477</v>
      </c>
    </row>
    <row r="119" spans="1:14" s="14" customFormat="1" x14ac:dyDescent="0.25">
      <c r="A119" s="34" t="s">
        <v>7</v>
      </c>
      <c r="B119" s="12"/>
      <c r="C119" s="12"/>
      <c r="D119" s="12"/>
      <c r="E119" s="13"/>
      <c r="F119" s="12"/>
      <c r="G119" s="12"/>
      <c r="H119" s="12"/>
      <c r="I119" s="12"/>
      <c r="J119" s="12"/>
      <c r="K119" s="12"/>
      <c r="L119" s="12"/>
      <c r="M119" s="12"/>
      <c r="N119" s="12"/>
    </row>
    <row r="120" spans="1:14" s="14" customFormat="1" x14ac:dyDescent="0.25">
      <c r="A120" s="168" t="s">
        <v>131</v>
      </c>
      <c r="B120" s="168"/>
      <c r="C120" s="168"/>
      <c r="D120" s="168"/>
      <c r="E120" s="168"/>
      <c r="F120" s="168"/>
      <c r="G120" s="168"/>
      <c r="H120" s="168"/>
      <c r="I120" s="168"/>
      <c r="J120" s="168"/>
      <c r="K120" s="12"/>
      <c r="L120" s="12"/>
      <c r="M120" s="12"/>
      <c r="N120" s="12"/>
    </row>
    <row r="121" spans="1:14" s="14" customFormat="1" x14ac:dyDescent="0.25"/>
    <row r="122" spans="1:14" s="14" customFormat="1" x14ac:dyDescent="0.25"/>
    <row r="123" spans="1:14" s="14" customFormat="1" x14ac:dyDescent="0.25"/>
    <row r="124" spans="1:14" s="14" customFormat="1" x14ac:dyDescent="0.25"/>
    <row r="125" spans="1:14" s="14" customFormat="1" x14ac:dyDescent="0.25"/>
    <row r="126" spans="1:14" s="14" customFormat="1" x14ac:dyDescent="0.25"/>
    <row r="127" spans="1:14" s="14" customFormat="1" x14ac:dyDescent="0.25"/>
    <row r="128" spans="1:14" s="14" customFormat="1" x14ac:dyDescent="0.25"/>
    <row r="129" spans="1:11" s="14" customFormat="1" x14ac:dyDescent="0.25"/>
    <row r="130" spans="1:11" s="14" customFormat="1" x14ac:dyDescent="0.25"/>
    <row r="131" spans="1:11" s="14" customFormat="1" x14ac:dyDescent="0.25"/>
    <row r="132" spans="1:11" s="14" customFormat="1" x14ac:dyDescent="0.25"/>
    <row r="133" spans="1:11" s="14" customFormat="1" x14ac:dyDescent="0.25"/>
    <row r="134" spans="1:11" s="14" customFormat="1" x14ac:dyDescent="0.25"/>
    <row r="135" spans="1:11" s="14" customFormat="1" x14ac:dyDescent="0.25"/>
    <row r="136" spans="1:11" s="14" customFormat="1" x14ac:dyDescent="0.25"/>
    <row r="137" spans="1:11" s="14" customFormat="1" x14ac:dyDescent="0.25"/>
    <row r="138" spans="1:11" s="14" customFormat="1" x14ac:dyDescent="0.25"/>
    <row r="139" spans="1:11" s="14" customFormat="1" ht="47.25" customHeight="1" x14ac:dyDescent="0.25">
      <c r="A139" s="169" t="s">
        <v>132</v>
      </c>
      <c r="B139" s="169"/>
      <c r="C139" s="169"/>
      <c r="D139" s="169"/>
      <c r="E139" s="169"/>
      <c r="F139" s="169"/>
      <c r="G139" s="169"/>
      <c r="H139" s="169"/>
      <c r="I139" s="169"/>
      <c r="J139" s="169"/>
      <c r="K139" s="169"/>
    </row>
    <row r="140" spans="1:11" s="14" customFormat="1" x14ac:dyDescent="0.25"/>
    <row r="142" spans="1:11" x14ac:dyDescent="0.25">
      <c r="A142" s="4" t="s">
        <v>156</v>
      </c>
    </row>
    <row r="143" spans="1:11" x14ac:dyDescent="0.25">
      <c r="A143" s="171" t="s">
        <v>157</v>
      </c>
      <c r="B143" s="171"/>
      <c r="C143" s="171"/>
      <c r="D143" s="171"/>
      <c r="E143" s="171"/>
      <c r="F143" s="171"/>
      <c r="G143" s="171"/>
      <c r="H143" s="171"/>
      <c r="I143" s="171"/>
      <c r="J143" s="171"/>
      <c r="K143" s="171"/>
    </row>
    <row r="145" spans="1:11" x14ac:dyDescent="0.25">
      <c r="B145" s="3" t="s">
        <v>133</v>
      </c>
      <c r="E145" s="7">
        <v>3000</v>
      </c>
    </row>
    <row r="146" spans="1:11" x14ac:dyDescent="0.25">
      <c r="B146" s="3" t="s">
        <v>124</v>
      </c>
      <c r="E146" s="7">
        <v>50</v>
      </c>
    </row>
    <row r="147" spans="1:11" x14ac:dyDescent="0.25">
      <c r="B147" s="3" t="s">
        <v>123</v>
      </c>
      <c r="E147" s="107">
        <v>1.4999999999999999E-2</v>
      </c>
    </row>
    <row r="149" spans="1:11" x14ac:dyDescent="0.25">
      <c r="B149" s="3" t="s">
        <v>134</v>
      </c>
      <c r="E149" s="108">
        <f>NPER(E147,-E146,E145)</f>
        <v>154.65410856522377</v>
      </c>
    </row>
    <row r="150" spans="1:11" x14ac:dyDescent="0.25">
      <c r="B150" s="3" t="s">
        <v>135</v>
      </c>
      <c r="E150" s="108">
        <f>E149/12</f>
        <v>12.887842380435314</v>
      </c>
    </row>
    <row r="151" spans="1:11" x14ac:dyDescent="0.25">
      <c r="E151" s="108"/>
    </row>
    <row r="152" spans="1:11" x14ac:dyDescent="0.25">
      <c r="A152" s="171" t="s">
        <v>136</v>
      </c>
      <c r="B152" s="171"/>
      <c r="C152" s="171"/>
      <c r="D152" s="171"/>
      <c r="E152" s="171"/>
      <c r="F152" s="171"/>
      <c r="G152" s="171"/>
      <c r="H152" s="171"/>
      <c r="I152" s="171"/>
      <c r="J152" s="171"/>
      <c r="K152" s="171"/>
    </row>
    <row r="154" spans="1:11" s="14" customFormat="1" x14ac:dyDescent="0.25">
      <c r="A154" s="34" t="s">
        <v>7</v>
      </c>
      <c r="B154" s="12"/>
      <c r="C154" s="12"/>
      <c r="D154" s="12"/>
      <c r="E154" s="13"/>
      <c r="F154" s="12"/>
      <c r="G154" s="12"/>
      <c r="H154" s="12"/>
      <c r="I154" s="12"/>
      <c r="J154" s="12"/>
      <c r="K154" s="12"/>
    </row>
    <row r="155" spans="1:11" s="14" customFormat="1" x14ac:dyDescent="0.25">
      <c r="A155" s="168" t="s">
        <v>137</v>
      </c>
      <c r="B155" s="168"/>
      <c r="C155" s="168"/>
      <c r="D155" s="168"/>
      <c r="E155" s="168"/>
      <c r="F155" s="168"/>
      <c r="G155" s="168"/>
      <c r="H155" s="168"/>
      <c r="I155" s="168"/>
      <c r="J155" s="168"/>
      <c r="K155" s="12"/>
    </row>
    <row r="156" spans="1:11" s="14" customFormat="1" x14ac:dyDescent="0.25"/>
    <row r="157" spans="1:11" s="14" customFormat="1" x14ac:dyDescent="0.25"/>
    <row r="158" spans="1:11" s="14" customFormat="1" x14ac:dyDescent="0.25"/>
    <row r="159" spans="1:11" s="14" customFormat="1" x14ac:dyDescent="0.25"/>
    <row r="160" spans="1:11" s="14" customFormat="1" x14ac:dyDescent="0.25"/>
    <row r="161" spans="1:11" s="14" customFormat="1" x14ac:dyDescent="0.25"/>
    <row r="162" spans="1:11" s="14" customFormat="1" x14ac:dyDescent="0.25"/>
    <row r="163" spans="1:11" s="14" customFormat="1" x14ac:dyDescent="0.25"/>
    <row r="164" spans="1:11" s="14" customFormat="1" x14ac:dyDescent="0.25"/>
    <row r="165" spans="1:11" s="14" customFormat="1" x14ac:dyDescent="0.25"/>
    <row r="166" spans="1:11" s="14" customFormat="1" x14ac:dyDescent="0.25"/>
    <row r="167" spans="1:11" s="14" customFormat="1" x14ac:dyDescent="0.25"/>
    <row r="168" spans="1:11" s="14" customFormat="1" x14ac:dyDescent="0.25"/>
    <row r="169" spans="1:11" s="14" customFormat="1" x14ac:dyDescent="0.25"/>
    <row r="170" spans="1:11" s="14" customFormat="1" x14ac:dyDescent="0.25"/>
    <row r="171" spans="1:11" s="14" customFormat="1" x14ac:dyDescent="0.25"/>
    <row r="172" spans="1:11" s="14" customFormat="1" x14ac:dyDescent="0.25"/>
    <row r="173" spans="1:11" s="14" customFormat="1" x14ac:dyDescent="0.25"/>
    <row r="174" spans="1:11" s="14" customFormat="1" ht="47.25" customHeight="1" x14ac:dyDescent="0.25">
      <c r="A174" s="169" t="s">
        <v>138</v>
      </c>
      <c r="B174" s="169"/>
      <c r="C174" s="169"/>
      <c r="D174" s="169"/>
      <c r="E174" s="169"/>
      <c r="F174" s="169"/>
      <c r="G174" s="169"/>
      <c r="H174" s="169"/>
      <c r="I174" s="169"/>
      <c r="J174" s="169"/>
      <c r="K174" s="169"/>
    </row>
    <row r="175" spans="1:11" s="14" customFormat="1" x14ac:dyDescent="0.25"/>
    <row r="177" spans="1:11" x14ac:dyDescent="0.25">
      <c r="A177" s="170" t="s">
        <v>171</v>
      </c>
      <c r="B177" s="170"/>
      <c r="C177" s="170"/>
    </row>
    <row r="178" spans="1:11" x14ac:dyDescent="0.25">
      <c r="A178" s="171" t="s">
        <v>159</v>
      </c>
      <c r="B178" s="171"/>
      <c r="C178" s="171"/>
      <c r="D178" s="171"/>
      <c r="E178" s="171"/>
      <c r="F178" s="171"/>
      <c r="G178" s="171"/>
      <c r="H178" s="171"/>
      <c r="I178" s="171"/>
      <c r="J178" s="171"/>
      <c r="K178" s="171"/>
    </row>
    <row r="180" spans="1:11" x14ac:dyDescent="0.25">
      <c r="A180" s="4" t="s">
        <v>160</v>
      </c>
    </row>
    <row r="181" spans="1:11" x14ac:dyDescent="0.25">
      <c r="A181" s="172" t="s">
        <v>164</v>
      </c>
      <c r="B181" s="172"/>
      <c r="C181" s="172"/>
      <c r="D181" s="172"/>
      <c r="E181" s="172"/>
      <c r="F181" s="172"/>
      <c r="G181" s="172"/>
      <c r="H181" s="172"/>
      <c r="I181" s="172"/>
      <c r="J181" s="172"/>
      <c r="K181" s="172"/>
    </row>
    <row r="183" spans="1:11" x14ac:dyDescent="0.25">
      <c r="B183" s="3" t="s">
        <v>161</v>
      </c>
      <c r="D183" s="30">
        <v>4</v>
      </c>
    </row>
    <row r="184" spans="1:11" x14ac:dyDescent="0.25">
      <c r="B184" s="3" t="s">
        <v>162</v>
      </c>
      <c r="D184" s="7">
        <v>500</v>
      </c>
    </row>
    <row r="185" spans="1:11" x14ac:dyDescent="0.25">
      <c r="B185" s="3" t="s">
        <v>163</v>
      </c>
      <c r="D185" s="30">
        <v>6</v>
      </c>
    </row>
    <row r="186" spans="1:11" x14ac:dyDescent="0.25">
      <c r="B186" s="3" t="s">
        <v>28</v>
      </c>
      <c r="D186" s="5">
        <v>0.1</v>
      </c>
    </row>
    <row r="187" spans="1:11" x14ac:dyDescent="0.25">
      <c r="D187" s="5"/>
    </row>
    <row r="188" spans="1:11" x14ac:dyDescent="0.25">
      <c r="A188" s="3" t="s">
        <v>166</v>
      </c>
      <c r="D188" s="5"/>
    </row>
    <row r="189" spans="1:11" x14ac:dyDescent="0.25">
      <c r="D189" s="5"/>
    </row>
    <row r="190" spans="1:11" x14ac:dyDescent="0.25">
      <c r="B190" s="3" t="s">
        <v>167</v>
      </c>
      <c r="D190" s="36">
        <f>PV(D186,D183,-D184)</f>
        <v>1584.9327231746474</v>
      </c>
    </row>
    <row r="191" spans="1:11" x14ac:dyDescent="0.25">
      <c r="D191" s="5"/>
    </row>
    <row r="192" spans="1:11" ht="31.5" customHeight="1" x14ac:dyDescent="0.25">
      <c r="A192" s="171" t="s">
        <v>267</v>
      </c>
      <c r="B192" s="171"/>
      <c r="C192" s="171"/>
      <c r="D192" s="171"/>
      <c r="E192" s="171"/>
      <c r="F192" s="171"/>
      <c r="G192" s="171"/>
      <c r="H192" s="171"/>
      <c r="I192" s="171"/>
      <c r="J192" s="171"/>
      <c r="K192" s="171"/>
    </row>
    <row r="194" spans="1:11" x14ac:dyDescent="0.25">
      <c r="B194" s="3" t="s">
        <v>29</v>
      </c>
      <c r="D194" s="8">
        <f>PV(D186,D185-1,,-D190)</f>
        <v>984.11852343335147</v>
      </c>
    </row>
    <row r="196" spans="1:11" s="14" customFormat="1" x14ac:dyDescent="0.25">
      <c r="A196" s="34" t="s">
        <v>7</v>
      </c>
    </row>
    <row r="197" spans="1:11" s="14" customFormat="1" ht="47.25" customHeight="1" x14ac:dyDescent="0.25">
      <c r="A197" s="169" t="s">
        <v>168</v>
      </c>
      <c r="B197" s="169"/>
      <c r="C197" s="169"/>
      <c r="D197" s="169"/>
      <c r="E197" s="169"/>
      <c r="F197" s="169"/>
      <c r="G197" s="169"/>
      <c r="H197" s="169"/>
      <c r="I197" s="169"/>
      <c r="J197" s="169"/>
      <c r="K197" s="169"/>
    </row>
    <row r="198" spans="1:11" s="14" customFormat="1" x14ac:dyDescent="0.25"/>
    <row r="200" spans="1:11" x14ac:dyDescent="0.25">
      <c r="B200" s="3" t="s">
        <v>29</v>
      </c>
      <c r="D200" s="8">
        <f>PV(D186,D185-1,0,PV(D186,D183,D184))</f>
        <v>984.11852343335147</v>
      </c>
      <c r="E200" s="8"/>
    </row>
    <row r="202" spans="1:11" x14ac:dyDescent="0.25">
      <c r="A202" s="171" t="s">
        <v>169</v>
      </c>
      <c r="B202" s="171"/>
      <c r="C202" s="171"/>
      <c r="D202" s="171"/>
      <c r="E202" s="171"/>
      <c r="F202" s="171"/>
      <c r="G202" s="171"/>
      <c r="H202" s="171"/>
      <c r="I202" s="171"/>
      <c r="J202" s="171"/>
      <c r="K202" s="171"/>
    </row>
    <row r="204" spans="1:11" ht="15.75" customHeight="1" x14ac:dyDescent="0.25">
      <c r="B204" s="45" t="s">
        <v>1</v>
      </c>
      <c r="C204" s="47" t="s">
        <v>2</v>
      </c>
    </row>
    <row r="205" spans="1:11" ht="15.75" customHeight="1" x14ac:dyDescent="0.25">
      <c r="B205" s="48">
        <v>1</v>
      </c>
      <c r="C205" s="109">
        <v>0</v>
      </c>
    </row>
    <row r="206" spans="1:11" ht="15.75" customHeight="1" x14ac:dyDescent="0.25">
      <c r="B206" s="48">
        <v>2</v>
      </c>
      <c r="C206" s="109">
        <v>0</v>
      </c>
    </row>
    <row r="207" spans="1:11" ht="15.75" customHeight="1" x14ac:dyDescent="0.25">
      <c r="B207" s="48">
        <v>3</v>
      </c>
      <c r="C207" s="109">
        <v>0</v>
      </c>
    </row>
    <row r="208" spans="1:11" ht="15.75" customHeight="1" x14ac:dyDescent="0.25">
      <c r="B208" s="48">
        <v>4</v>
      </c>
      <c r="C208" s="109">
        <v>0</v>
      </c>
    </row>
    <row r="209" spans="1:11" x14ac:dyDescent="0.25">
      <c r="B209" s="48">
        <v>5</v>
      </c>
      <c r="C209" s="95">
        <v>0</v>
      </c>
    </row>
    <row r="210" spans="1:11" x14ac:dyDescent="0.25">
      <c r="B210" s="48">
        <v>6</v>
      </c>
      <c r="C210" s="95">
        <v>500</v>
      </c>
    </row>
    <row r="211" spans="1:11" x14ac:dyDescent="0.25">
      <c r="B211" s="48">
        <v>7</v>
      </c>
      <c r="C211" s="95">
        <v>500</v>
      </c>
    </row>
    <row r="212" spans="1:11" x14ac:dyDescent="0.25">
      <c r="B212" s="48">
        <v>8</v>
      </c>
      <c r="C212" s="95">
        <v>500</v>
      </c>
    </row>
    <row r="213" spans="1:11" x14ac:dyDescent="0.25">
      <c r="B213" s="48">
        <v>9</v>
      </c>
      <c r="C213" s="95">
        <v>500</v>
      </c>
    </row>
    <row r="214" spans="1:11" x14ac:dyDescent="0.25">
      <c r="B214" s="48">
        <v>10</v>
      </c>
      <c r="C214" s="95">
        <v>0</v>
      </c>
    </row>
    <row r="215" spans="1:11" x14ac:dyDescent="0.25">
      <c r="B215" s="48"/>
      <c r="C215" s="95"/>
    </row>
    <row r="216" spans="1:11" x14ac:dyDescent="0.25">
      <c r="B216" s="52" t="s">
        <v>44</v>
      </c>
      <c r="C216" s="110">
        <v>0.1</v>
      </c>
    </row>
    <row r="218" spans="1:11" x14ac:dyDescent="0.25">
      <c r="A218" s="172" t="s">
        <v>170</v>
      </c>
      <c r="B218" s="172"/>
      <c r="C218" s="172"/>
      <c r="D218" s="172"/>
      <c r="E218" s="172"/>
      <c r="F218" s="172"/>
      <c r="G218" s="172"/>
      <c r="H218" s="172"/>
      <c r="I218" s="172"/>
      <c r="J218" s="172"/>
      <c r="K218" s="172"/>
    </row>
    <row r="220" spans="1:11" x14ac:dyDescent="0.25">
      <c r="B220" s="3" t="s">
        <v>29</v>
      </c>
      <c r="D220" s="8">
        <f>NPV(C216,C205:C214)</f>
        <v>984.11852343335067</v>
      </c>
    </row>
    <row r="222" spans="1:11" x14ac:dyDescent="0.25">
      <c r="A222" s="4" t="s">
        <v>172</v>
      </c>
    </row>
    <row r="223" spans="1:11" ht="31.5" customHeight="1" x14ac:dyDescent="0.25">
      <c r="A223" s="171" t="s">
        <v>173</v>
      </c>
      <c r="B223" s="171"/>
      <c r="C223" s="171"/>
      <c r="D223" s="171"/>
      <c r="E223" s="171"/>
      <c r="F223" s="171"/>
      <c r="G223" s="171"/>
      <c r="H223" s="171"/>
      <c r="I223" s="171"/>
      <c r="J223" s="171"/>
      <c r="K223" s="171"/>
    </row>
    <row r="224" spans="1:11" ht="15.75" customHeight="1" x14ac:dyDescent="0.25">
      <c r="A224" s="89"/>
      <c r="B224" s="89"/>
      <c r="C224" s="89"/>
      <c r="D224" s="89"/>
      <c r="E224" s="89"/>
      <c r="F224" s="89"/>
      <c r="G224" s="89"/>
      <c r="H224" s="89"/>
      <c r="I224" s="89"/>
      <c r="J224" s="89"/>
      <c r="K224" s="89"/>
    </row>
    <row r="225" spans="1:11" ht="15.75" customHeight="1" x14ac:dyDescent="0.25">
      <c r="A225" s="91" t="s">
        <v>174</v>
      </c>
      <c r="B225" s="89"/>
      <c r="C225" s="89"/>
      <c r="D225" s="89"/>
      <c r="E225" s="89"/>
      <c r="F225" s="89"/>
      <c r="G225" s="89"/>
      <c r="H225" s="89"/>
      <c r="I225" s="89"/>
      <c r="J225" s="89"/>
      <c r="K225" s="89"/>
    </row>
    <row r="226" spans="1:11" ht="31.5" customHeight="1" x14ac:dyDescent="0.25">
      <c r="A226" s="171" t="s">
        <v>175</v>
      </c>
      <c r="B226" s="171"/>
      <c r="C226" s="171"/>
      <c r="D226" s="171"/>
      <c r="E226" s="171"/>
      <c r="F226" s="171"/>
      <c r="G226" s="171"/>
      <c r="H226" s="171"/>
      <c r="I226" s="171"/>
      <c r="J226" s="171"/>
      <c r="K226" s="171"/>
    </row>
    <row r="228" spans="1:11" x14ac:dyDescent="0.25">
      <c r="B228" s="3" t="s">
        <v>144</v>
      </c>
      <c r="E228" s="7">
        <v>50000</v>
      </c>
    </row>
    <row r="229" spans="1:11" x14ac:dyDescent="0.25">
      <c r="B229" s="3" t="s">
        <v>20</v>
      </c>
      <c r="E229" s="30">
        <v>20</v>
      </c>
    </row>
    <row r="230" spans="1:11" x14ac:dyDescent="0.25">
      <c r="B230" s="3" t="s">
        <v>28</v>
      </c>
      <c r="E230" s="5">
        <v>0.08</v>
      </c>
    </row>
    <row r="232" spans="1:11" x14ac:dyDescent="0.25">
      <c r="B232" s="3" t="s">
        <v>33</v>
      </c>
      <c r="E232" s="8">
        <f>PV(E230,E229,-E228,,1)</f>
        <v>530179.96000226191</v>
      </c>
    </row>
    <row r="234" spans="1:11" s="14" customFormat="1" x14ac:dyDescent="0.25">
      <c r="A234" s="34" t="s">
        <v>7</v>
      </c>
      <c r="B234" s="12"/>
      <c r="C234" s="12"/>
      <c r="D234" s="12"/>
      <c r="E234" s="13"/>
      <c r="F234" s="12"/>
      <c r="G234" s="12"/>
      <c r="H234" s="12"/>
      <c r="I234" s="12"/>
      <c r="J234" s="12"/>
    </row>
    <row r="235" spans="1:11" s="14" customFormat="1" ht="15.75" customHeight="1" x14ac:dyDescent="0.25">
      <c r="A235" s="168" t="s">
        <v>176</v>
      </c>
      <c r="B235" s="168"/>
      <c r="C235" s="168"/>
      <c r="D235" s="168"/>
      <c r="E235" s="168"/>
      <c r="F235" s="168"/>
      <c r="G235" s="168"/>
      <c r="H235" s="168"/>
      <c r="I235" s="168"/>
      <c r="J235" s="168"/>
      <c r="K235" s="168"/>
    </row>
    <row r="236" spans="1:11" s="14" customFormat="1" x14ac:dyDescent="0.25"/>
    <row r="237" spans="1:11" s="14" customFormat="1" x14ac:dyDescent="0.25"/>
    <row r="238" spans="1:11" s="14" customFormat="1" x14ac:dyDescent="0.25"/>
    <row r="239" spans="1:11" s="14" customFormat="1" x14ac:dyDescent="0.25"/>
    <row r="240" spans="1:11" s="14" customFormat="1" x14ac:dyDescent="0.25"/>
    <row r="241" spans="1:11" s="14" customFormat="1" x14ac:dyDescent="0.25"/>
    <row r="242" spans="1:11" s="14" customFormat="1" x14ac:dyDescent="0.25"/>
    <row r="243" spans="1:11" s="14" customFormat="1" x14ac:dyDescent="0.25"/>
    <row r="244" spans="1:11" s="14" customFormat="1" x14ac:dyDescent="0.25"/>
    <row r="245" spans="1:11" s="14" customFormat="1" x14ac:dyDescent="0.25"/>
    <row r="246" spans="1:11" s="14" customFormat="1" x14ac:dyDescent="0.25"/>
    <row r="247" spans="1:11" s="14" customFormat="1" x14ac:dyDescent="0.25"/>
    <row r="248" spans="1:11" s="14" customFormat="1" x14ac:dyDescent="0.25"/>
    <row r="249" spans="1:11" s="14" customFormat="1" x14ac:dyDescent="0.25"/>
    <row r="250" spans="1:11" s="14" customFormat="1" x14ac:dyDescent="0.25"/>
    <row r="251" spans="1:11" s="14" customFormat="1" x14ac:dyDescent="0.25"/>
    <row r="252" spans="1:11" s="14" customFormat="1" x14ac:dyDescent="0.25"/>
    <row r="253" spans="1:11" s="14" customFormat="1" ht="31.5" customHeight="1" x14ac:dyDescent="0.25">
      <c r="A253" s="169" t="s">
        <v>145</v>
      </c>
      <c r="B253" s="169"/>
      <c r="C253" s="169"/>
      <c r="D253" s="169"/>
      <c r="E253" s="169"/>
      <c r="F253" s="169"/>
      <c r="G253" s="169"/>
      <c r="H253" s="169"/>
      <c r="I253" s="169"/>
      <c r="J253" s="169"/>
      <c r="K253" s="169"/>
    </row>
    <row r="254" spans="1:11" s="14" customFormat="1" x14ac:dyDescent="0.25"/>
    <row r="256" spans="1:11" x14ac:dyDescent="0.25">
      <c r="A256" s="111" t="s">
        <v>177</v>
      </c>
      <c r="B256" s="111"/>
    </row>
    <row r="257" spans="1:11" x14ac:dyDescent="0.25">
      <c r="A257" s="3" t="s">
        <v>268</v>
      </c>
    </row>
    <row r="259" spans="1:11" x14ac:dyDescent="0.25">
      <c r="B259" s="3" t="s">
        <v>178</v>
      </c>
      <c r="D259" s="7">
        <v>450</v>
      </c>
    </row>
    <row r="260" spans="1:11" x14ac:dyDescent="0.25">
      <c r="B260" s="3" t="s">
        <v>179</v>
      </c>
      <c r="D260" s="30">
        <v>2</v>
      </c>
    </row>
    <row r="261" spans="1:11" x14ac:dyDescent="0.25">
      <c r="B261" s="3" t="s">
        <v>180</v>
      </c>
      <c r="D261" s="30">
        <v>20</v>
      </c>
    </row>
    <row r="262" spans="1:11" x14ac:dyDescent="0.25">
      <c r="B262" s="3" t="s">
        <v>101</v>
      </c>
      <c r="D262" s="5">
        <v>0.06</v>
      </c>
    </row>
    <row r="264" spans="1:11" x14ac:dyDescent="0.25">
      <c r="A264" s="171" t="s">
        <v>181</v>
      </c>
      <c r="B264" s="171"/>
      <c r="C264" s="171"/>
      <c r="D264" s="171"/>
      <c r="E264" s="171"/>
      <c r="F264" s="171"/>
      <c r="G264" s="171"/>
      <c r="H264" s="171"/>
      <c r="I264" s="171"/>
      <c r="J264" s="171"/>
      <c r="K264" s="171"/>
    </row>
    <row r="266" spans="1:11" x14ac:dyDescent="0.25">
      <c r="B266" s="3" t="s">
        <v>182</v>
      </c>
      <c r="D266" s="32">
        <f>(1+D262)^D260-1</f>
        <v>0.12360000000000015</v>
      </c>
    </row>
    <row r="268" spans="1:11" x14ac:dyDescent="0.25">
      <c r="A268" s="3" t="s">
        <v>183</v>
      </c>
    </row>
    <row r="270" spans="1:11" x14ac:dyDescent="0.25">
      <c r="B270" s="3" t="s">
        <v>29</v>
      </c>
      <c r="D270" s="8">
        <f>PV(D266,D261/D260,-D259)</f>
        <v>2505.5653147351268</v>
      </c>
    </row>
    <row r="272" spans="1:11" x14ac:dyDescent="0.25">
      <c r="A272" s="171" t="s">
        <v>184</v>
      </c>
      <c r="B272" s="171"/>
      <c r="C272" s="171"/>
      <c r="D272" s="171"/>
      <c r="E272" s="171"/>
      <c r="F272" s="171"/>
      <c r="G272" s="171"/>
      <c r="H272" s="171"/>
      <c r="I272" s="171"/>
      <c r="J272" s="171"/>
      <c r="K272" s="171"/>
    </row>
    <row r="274" spans="2:4" x14ac:dyDescent="0.25">
      <c r="B274" s="3" t="s">
        <v>29</v>
      </c>
      <c r="D274" s="8">
        <f>PV((1+D262)^D260-1,D261/D260,-D259)</f>
        <v>2505.5653147351268</v>
      </c>
    </row>
  </sheetData>
  <mergeCells count="36">
    <mergeCell ref="A272:K272"/>
    <mergeCell ref="A202:K202"/>
    <mergeCell ref="A218:K218"/>
    <mergeCell ref="A226:K226"/>
    <mergeCell ref="A264:K264"/>
    <mergeCell ref="A178:K178"/>
    <mergeCell ref="A181:K181"/>
    <mergeCell ref="A197:K197"/>
    <mergeCell ref="A192:K192"/>
    <mergeCell ref="A253:K253"/>
    <mergeCell ref="A139:K139"/>
    <mergeCell ref="A143:K143"/>
    <mergeCell ref="A152:K152"/>
    <mergeCell ref="A80:K80"/>
    <mergeCell ref="A89:J89"/>
    <mergeCell ref="A74:K74"/>
    <mergeCell ref="A77:K77"/>
    <mergeCell ref="A107:K107"/>
    <mergeCell ref="A111:K111"/>
    <mergeCell ref="A120:J120"/>
    <mergeCell ref="A177:C177"/>
    <mergeCell ref="A223:K223"/>
    <mergeCell ref="A235:K235"/>
    <mergeCell ref="A5:K5"/>
    <mergeCell ref="A11:D11"/>
    <mergeCell ref="A79:C79"/>
    <mergeCell ref="A46:D46"/>
    <mergeCell ref="A110:C110"/>
    <mergeCell ref="A9:K9"/>
    <mergeCell ref="A12:K12"/>
    <mergeCell ref="A21:K21"/>
    <mergeCell ref="A39:K39"/>
    <mergeCell ref="A155:J155"/>
    <mergeCell ref="A174:K174"/>
    <mergeCell ref="A44:K44"/>
    <mergeCell ref="A56:J56"/>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1"/>
  <sheetViews>
    <sheetView topLeftCell="A50" workbookViewId="0">
      <selection activeCell="F19" sqref="F19"/>
    </sheetView>
  </sheetViews>
  <sheetFormatPr defaultRowHeight="15.75" x14ac:dyDescent="0.25"/>
  <cols>
    <col min="1" max="1" width="4.7109375" style="3" customWidth="1"/>
    <col min="2" max="24" width="14.7109375" style="3" customWidth="1"/>
    <col min="25" max="54" width="10.7109375" style="3" customWidth="1"/>
    <col min="55" max="16384" width="9.140625" style="3"/>
  </cols>
  <sheetData>
    <row r="1" spans="1:11" ht="16.5" thickBot="1" x14ac:dyDescent="0.3"/>
    <row r="2" spans="1:11" ht="21" x14ac:dyDescent="0.35">
      <c r="B2" s="99" t="s">
        <v>263</v>
      </c>
      <c r="C2" s="39"/>
    </row>
    <row r="3" spans="1:11" ht="21.75" thickBot="1" x14ac:dyDescent="0.4">
      <c r="B3" s="40" t="s">
        <v>264</v>
      </c>
      <c r="C3" s="113"/>
    </row>
    <row r="5" spans="1:11" x14ac:dyDescent="0.25">
      <c r="A5" s="4" t="s">
        <v>185</v>
      </c>
    </row>
    <row r="7" spans="1:11" ht="31.5" customHeight="1" x14ac:dyDescent="0.25">
      <c r="A7" s="171" t="s">
        <v>186</v>
      </c>
      <c r="B7" s="171"/>
      <c r="C7" s="171"/>
      <c r="D7" s="171"/>
      <c r="E7" s="171"/>
      <c r="F7" s="171"/>
      <c r="G7" s="171"/>
      <c r="H7" s="171"/>
      <c r="I7" s="171"/>
      <c r="J7" s="171"/>
      <c r="K7" s="171"/>
    </row>
    <row r="9" spans="1:11" x14ac:dyDescent="0.25">
      <c r="B9" s="3" t="s">
        <v>187</v>
      </c>
      <c r="D9" s="7">
        <v>350000</v>
      </c>
    </row>
    <row r="10" spans="1:11" x14ac:dyDescent="0.25">
      <c r="B10" s="3" t="s">
        <v>28</v>
      </c>
      <c r="D10" s="5">
        <v>0.09</v>
      </c>
    </row>
    <row r="12" spans="1:11" x14ac:dyDescent="0.25">
      <c r="A12" s="3" t="s">
        <v>188</v>
      </c>
    </row>
    <row r="14" spans="1:11" x14ac:dyDescent="0.25">
      <c r="B14" s="3" t="s">
        <v>189</v>
      </c>
      <c r="D14" s="8">
        <f>D9/15</f>
        <v>23333.333333333332</v>
      </c>
    </row>
    <row r="16" spans="1:11" x14ac:dyDescent="0.25">
      <c r="A16" s="3" t="s">
        <v>190</v>
      </c>
    </row>
    <row r="18" spans="2:7" ht="31.5" x14ac:dyDescent="0.25">
      <c r="B18" s="56"/>
      <c r="C18" s="114" t="s">
        <v>191</v>
      </c>
      <c r="D18" s="114" t="s">
        <v>192</v>
      </c>
      <c r="E18" s="114" t="s">
        <v>193</v>
      </c>
      <c r="F18" s="114" t="s">
        <v>194</v>
      </c>
      <c r="G18" s="115" t="s">
        <v>195</v>
      </c>
    </row>
    <row r="19" spans="2:7" x14ac:dyDescent="0.25">
      <c r="B19" s="48">
        <v>1</v>
      </c>
      <c r="C19" s="49">
        <f>D9</f>
        <v>350000</v>
      </c>
      <c r="D19" s="49">
        <f>F19+E19</f>
        <v>54833.333333333328</v>
      </c>
      <c r="E19" s="49">
        <f>C19*$D$10</f>
        <v>31500</v>
      </c>
      <c r="F19" s="49">
        <f>$D$14</f>
        <v>23333.333333333332</v>
      </c>
      <c r="G19" s="50">
        <f>C19-F19</f>
        <v>326666.66666666669</v>
      </c>
    </row>
    <row r="20" spans="2:7" x14ac:dyDescent="0.25">
      <c r="B20" s="48">
        <v>2</v>
      </c>
      <c r="C20" s="44">
        <f>G19</f>
        <v>326666.66666666669</v>
      </c>
      <c r="D20" s="44">
        <f>F20+E20</f>
        <v>52733.333333333328</v>
      </c>
      <c r="E20" s="44">
        <f>C20*$D$10</f>
        <v>29400</v>
      </c>
      <c r="F20" s="44">
        <f>$D$14</f>
        <v>23333.333333333332</v>
      </c>
      <c r="G20" s="51">
        <f>C20-F20</f>
        <v>303333.33333333337</v>
      </c>
    </row>
    <row r="21" spans="2:7" x14ac:dyDescent="0.25">
      <c r="B21" s="48">
        <v>3</v>
      </c>
      <c r="C21" s="44">
        <f t="shared" ref="C21:C33" si="0">G20</f>
        <v>303333.33333333337</v>
      </c>
      <c r="D21" s="44">
        <f t="shared" ref="D21:D33" si="1">F21+E21</f>
        <v>50633.333333333336</v>
      </c>
      <c r="E21" s="44">
        <f t="shared" ref="E21:E33" si="2">C21*$D$10</f>
        <v>27300.000000000004</v>
      </c>
      <c r="F21" s="44">
        <f t="shared" ref="F21:F33" si="3">$D$14</f>
        <v>23333.333333333332</v>
      </c>
      <c r="G21" s="51">
        <f t="shared" ref="G21:G33" si="4">C21-F21</f>
        <v>280000.00000000006</v>
      </c>
    </row>
    <row r="22" spans="2:7" x14ac:dyDescent="0.25">
      <c r="B22" s="48">
        <v>4</v>
      </c>
      <c r="C22" s="44">
        <f t="shared" si="0"/>
        <v>280000.00000000006</v>
      </c>
      <c r="D22" s="44">
        <f t="shared" si="1"/>
        <v>48533.333333333336</v>
      </c>
      <c r="E22" s="44">
        <f t="shared" si="2"/>
        <v>25200.000000000004</v>
      </c>
      <c r="F22" s="44">
        <f t="shared" si="3"/>
        <v>23333.333333333332</v>
      </c>
      <c r="G22" s="51">
        <f t="shared" si="4"/>
        <v>256666.66666666672</v>
      </c>
    </row>
    <row r="23" spans="2:7" x14ac:dyDescent="0.25">
      <c r="B23" s="48">
        <v>5</v>
      </c>
      <c r="C23" s="44">
        <f t="shared" si="0"/>
        <v>256666.66666666672</v>
      </c>
      <c r="D23" s="44">
        <f t="shared" si="1"/>
        <v>46433.333333333336</v>
      </c>
      <c r="E23" s="44">
        <f t="shared" si="2"/>
        <v>23100.000000000004</v>
      </c>
      <c r="F23" s="44">
        <f t="shared" si="3"/>
        <v>23333.333333333332</v>
      </c>
      <c r="G23" s="51">
        <f t="shared" si="4"/>
        <v>233333.33333333337</v>
      </c>
    </row>
    <row r="24" spans="2:7" x14ac:dyDescent="0.25">
      <c r="B24" s="48">
        <v>6</v>
      </c>
      <c r="C24" s="44">
        <f t="shared" si="0"/>
        <v>233333.33333333337</v>
      </c>
      <c r="D24" s="44">
        <f t="shared" si="1"/>
        <v>44333.333333333336</v>
      </c>
      <c r="E24" s="44">
        <f t="shared" si="2"/>
        <v>21000.000000000004</v>
      </c>
      <c r="F24" s="44">
        <f t="shared" si="3"/>
        <v>23333.333333333332</v>
      </c>
      <c r="G24" s="51">
        <f t="shared" si="4"/>
        <v>210000.00000000003</v>
      </c>
    </row>
    <row r="25" spans="2:7" x14ac:dyDescent="0.25">
      <c r="B25" s="48">
        <v>7</v>
      </c>
      <c r="C25" s="44">
        <f t="shared" si="0"/>
        <v>210000.00000000003</v>
      </c>
      <c r="D25" s="44">
        <f t="shared" si="1"/>
        <v>42233.333333333336</v>
      </c>
      <c r="E25" s="44">
        <f t="shared" si="2"/>
        <v>18900.000000000004</v>
      </c>
      <c r="F25" s="44">
        <f t="shared" si="3"/>
        <v>23333.333333333332</v>
      </c>
      <c r="G25" s="51">
        <f t="shared" si="4"/>
        <v>186666.66666666669</v>
      </c>
    </row>
    <row r="26" spans="2:7" x14ac:dyDescent="0.25">
      <c r="B26" s="48">
        <v>8</v>
      </c>
      <c r="C26" s="44">
        <f t="shared" si="0"/>
        <v>186666.66666666669</v>
      </c>
      <c r="D26" s="44">
        <f t="shared" si="1"/>
        <v>40133.333333333328</v>
      </c>
      <c r="E26" s="44">
        <f t="shared" si="2"/>
        <v>16800</v>
      </c>
      <c r="F26" s="44">
        <f t="shared" si="3"/>
        <v>23333.333333333332</v>
      </c>
      <c r="G26" s="51">
        <f t="shared" si="4"/>
        <v>163333.33333333334</v>
      </c>
    </row>
    <row r="27" spans="2:7" x14ac:dyDescent="0.25">
      <c r="B27" s="48">
        <v>9</v>
      </c>
      <c r="C27" s="44">
        <f t="shared" si="0"/>
        <v>163333.33333333334</v>
      </c>
      <c r="D27" s="44">
        <f t="shared" si="1"/>
        <v>38033.333333333328</v>
      </c>
      <c r="E27" s="44">
        <f t="shared" si="2"/>
        <v>14700</v>
      </c>
      <c r="F27" s="44">
        <f t="shared" si="3"/>
        <v>23333.333333333332</v>
      </c>
      <c r="G27" s="51">
        <f t="shared" si="4"/>
        <v>140000</v>
      </c>
    </row>
    <row r="28" spans="2:7" x14ac:dyDescent="0.25">
      <c r="B28" s="48">
        <v>10</v>
      </c>
      <c r="C28" s="44">
        <f t="shared" si="0"/>
        <v>140000</v>
      </c>
      <c r="D28" s="44">
        <f t="shared" si="1"/>
        <v>35933.333333333328</v>
      </c>
      <c r="E28" s="44">
        <f t="shared" si="2"/>
        <v>12600</v>
      </c>
      <c r="F28" s="44">
        <f t="shared" si="3"/>
        <v>23333.333333333332</v>
      </c>
      <c r="G28" s="51">
        <f t="shared" si="4"/>
        <v>116666.66666666667</v>
      </c>
    </row>
    <row r="29" spans="2:7" x14ac:dyDescent="0.25">
      <c r="B29" s="48">
        <v>11</v>
      </c>
      <c r="C29" s="44">
        <f t="shared" si="0"/>
        <v>116666.66666666667</v>
      </c>
      <c r="D29" s="44">
        <f t="shared" si="1"/>
        <v>33833.333333333328</v>
      </c>
      <c r="E29" s="44">
        <f t="shared" si="2"/>
        <v>10500</v>
      </c>
      <c r="F29" s="44">
        <f t="shared" si="3"/>
        <v>23333.333333333332</v>
      </c>
      <c r="G29" s="51">
        <f t="shared" si="4"/>
        <v>93333.333333333343</v>
      </c>
    </row>
    <row r="30" spans="2:7" x14ac:dyDescent="0.25">
      <c r="B30" s="48">
        <v>12</v>
      </c>
      <c r="C30" s="44">
        <f t="shared" si="0"/>
        <v>93333.333333333343</v>
      </c>
      <c r="D30" s="44">
        <f t="shared" si="1"/>
        <v>31733.333333333332</v>
      </c>
      <c r="E30" s="44">
        <f t="shared" si="2"/>
        <v>8400</v>
      </c>
      <c r="F30" s="44">
        <f t="shared" si="3"/>
        <v>23333.333333333332</v>
      </c>
      <c r="G30" s="51">
        <f t="shared" si="4"/>
        <v>70000.000000000015</v>
      </c>
    </row>
    <row r="31" spans="2:7" x14ac:dyDescent="0.25">
      <c r="B31" s="48">
        <v>13</v>
      </c>
      <c r="C31" s="44">
        <f t="shared" si="0"/>
        <v>70000.000000000015</v>
      </c>
      <c r="D31" s="44">
        <f t="shared" si="1"/>
        <v>29633.333333333332</v>
      </c>
      <c r="E31" s="44">
        <f t="shared" si="2"/>
        <v>6300.0000000000009</v>
      </c>
      <c r="F31" s="44">
        <f t="shared" si="3"/>
        <v>23333.333333333332</v>
      </c>
      <c r="G31" s="51">
        <f t="shared" si="4"/>
        <v>46666.666666666686</v>
      </c>
    </row>
    <row r="32" spans="2:7" x14ac:dyDescent="0.25">
      <c r="B32" s="48">
        <v>14</v>
      </c>
      <c r="C32" s="44">
        <f t="shared" si="0"/>
        <v>46666.666666666686</v>
      </c>
      <c r="D32" s="44">
        <f t="shared" si="1"/>
        <v>27533.333333333336</v>
      </c>
      <c r="E32" s="44">
        <f t="shared" si="2"/>
        <v>4200.0000000000018</v>
      </c>
      <c r="F32" s="44">
        <f t="shared" si="3"/>
        <v>23333.333333333332</v>
      </c>
      <c r="G32" s="51">
        <f t="shared" si="4"/>
        <v>23333.333333333354</v>
      </c>
    </row>
    <row r="33" spans="1:14" x14ac:dyDescent="0.25">
      <c r="B33" s="48">
        <v>15</v>
      </c>
      <c r="C33" s="44">
        <f t="shared" si="0"/>
        <v>23333.333333333354</v>
      </c>
      <c r="D33" s="43">
        <f t="shared" si="1"/>
        <v>25433.333333333336</v>
      </c>
      <c r="E33" s="43">
        <f t="shared" si="2"/>
        <v>2100.0000000000018</v>
      </c>
      <c r="F33" s="43">
        <f t="shared" si="3"/>
        <v>23333.333333333332</v>
      </c>
      <c r="G33" s="51">
        <f t="shared" si="4"/>
        <v>0</v>
      </c>
    </row>
    <row r="34" spans="1:14" x14ac:dyDescent="0.25">
      <c r="B34" s="52" t="s">
        <v>196</v>
      </c>
      <c r="C34" s="43"/>
      <c r="D34" s="54">
        <f>SUM(D19:D33)</f>
        <v>602000</v>
      </c>
      <c r="E34" s="54">
        <f t="shared" ref="E34:F34" si="5">SUM(E19:E33)</f>
        <v>252000</v>
      </c>
      <c r="F34" s="54">
        <f t="shared" si="5"/>
        <v>350000</v>
      </c>
      <c r="G34" s="80"/>
    </row>
    <row r="36" spans="1:14" s="14" customFormat="1" x14ac:dyDescent="0.25">
      <c r="A36" s="34" t="s">
        <v>7</v>
      </c>
      <c r="B36" s="12"/>
      <c r="C36" s="12"/>
      <c r="D36" s="12"/>
      <c r="E36" s="13"/>
      <c r="F36" s="12"/>
      <c r="G36" s="12"/>
      <c r="H36" s="12"/>
      <c r="I36" s="12"/>
      <c r="J36" s="12"/>
      <c r="K36" s="12"/>
      <c r="L36" s="12"/>
      <c r="M36" s="12"/>
      <c r="N36" s="12"/>
    </row>
    <row r="37" spans="1:14" s="14" customFormat="1" ht="81" customHeight="1" x14ac:dyDescent="0.25">
      <c r="A37" s="168" t="s">
        <v>197</v>
      </c>
      <c r="B37" s="168"/>
      <c r="C37" s="168"/>
      <c r="D37" s="168"/>
      <c r="E37" s="168"/>
      <c r="F37" s="168"/>
      <c r="G37" s="168"/>
      <c r="H37" s="168"/>
      <c r="I37" s="168"/>
      <c r="J37" s="168"/>
      <c r="K37" s="168"/>
      <c r="L37" s="12"/>
      <c r="M37" s="12"/>
      <c r="N37" s="12"/>
    </row>
    <row r="38" spans="1:14" s="14" customFormat="1" ht="15.75" customHeight="1" x14ac:dyDescent="0.25">
      <c r="A38" s="90"/>
      <c r="B38" s="90"/>
      <c r="C38" s="90"/>
      <c r="D38" s="90"/>
      <c r="E38" s="90"/>
      <c r="F38" s="90"/>
      <c r="G38" s="90"/>
      <c r="H38" s="90"/>
      <c r="I38" s="90"/>
      <c r="J38" s="90"/>
      <c r="K38" s="90"/>
      <c r="L38" s="12"/>
      <c r="M38" s="12"/>
      <c r="N38" s="12"/>
    </row>
    <row r="40" spans="1:14" x14ac:dyDescent="0.25">
      <c r="A40" s="4" t="s">
        <v>198</v>
      </c>
    </row>
    <row r="41" spans="1:14" x14ac:dyDescent="0.25">
      <c r="A41" s="4"/>
    </row>
    <row r="42" spans="1:14" ht="31.5" customHeight="1" x14ac:dyDescent="0.25">
      <c r="A42" s="171" t="s">
        <v>199</v>
      </c>
      <c r="B42" s="171"/>
      <c r="C42" s="171"/>
      <c r="D42" s="171"/>
      <c r="E42" s="171"/>
      <c r="F42" s="171"/>
      <c r="G42" s="171"/>
      <c r="H42" s="171"/>
      <c r="I42" s="171"/>
      <c r="J42" s="171"/>
      <c r="K42" s="171"/>
    </row>
    <row r="44" spans="1:14" x14ac:dyDescent="0.25">
      <c r="B44" s="3" t="s">
        <v>187</v>
      </c>
      <c r="D44" s="7">
        <v>21800</v>
      </c>
    </row>
    <row r="45" spans="1:14" x14ac:dyDescent="0.25">
      <c r="B45" s="3" t="s">
        <v>28</v>
      </c>
      <c r="D45" s="5">
        <f>0.065/12</f>
        <v>5.4166666666666669E-3</v>
      </c>
    </row>
    <row r="47" spans="1:14" x14ac:dyDescent="0.25">
      <c r="A47" s="171" t="s">
        <v>200</v>
      </c>
      <c r="B47" s="171"/>
      <c r="C47" s="171"/>
      <c r="D47" s="171"/>
      <c r="E47" s="171"/>
      <c r="F47" s="171"/>
      <c r="G47" s="171"/>
      <c r="H47" s="171"/>
      <c r="I47" s="171"/>
      <c r="J47" s="171"/>
      <c r="K47" s="171"/>
    </row>
    <row r="49" spans="1:11" x14ac:dyDescent="0.25">
      <c r="B49" s="3" t="s">
        <v>201</v>
      </c>
      <c r="D49" s="8">
        <f>PMT(D45,15,-D44)</f>
        <v>1517.1048450076446</v>
      </c>
    </row>
    <row r="51" spans="1:11" x14ac:dyDescent="0.25">
      <c r="A51" s="171" t="s">
        <v>202</v>
      </c>
      <c r="B51" s="171"/>
      <c r="C51" s="171"/>
      <c r="D51" s="171"/>
      <c r="E51" s="171"/>
      <c r="F51" s="171"/>
      <c r="G51" s="171"/>
      <c r="H51" s="171"/>
      <c r="I51" s="171"/>
      <c r="J51" s="171"/>
      <c r="K51" s="171"/>
    </row>
    <row r="53" spans="1:11" ht="31.5" x14ac:dyDescent="0.25">
      <c r="B53" s="56"/>
      <c r="C53" s="114" t="s">
        <v>191</v>
      </c>
      <c r="D53" s="114" t="s">
        <v>192</v>
      </c>
      <c r="E53" s="114" t="s">
        <v>193</v>
      </c>
      <c r="F53" s="114" t="s">
        <v>194</v>
      </c>
      <c r="G53" s="115" t="s">
        <v>195</v>
      </c>
    </row>
    <row r="54" spans="1:11" x14ac:dyDescent="0.25">
      <c r="B54" s="48">
        <v>1</v>
      </c>
      <c r="C54" s="49">
        <f>D44</f>
        <v>21800</v>
      </c>
      <c r="D54" s="49">
        <f>$D$49</f>
        <v>1517.1048450076446</v>
      </c>
      <c r="E54" s="49">
        <f>C54*$D$45</f>
        <v>118.08333333333334</v>
      </c>
      <c r="F54" s="49">
        <f>D54-E54</f>
        <v>1399.0215116743113</v>
      </c>
      <c r="G54" s="50">
        <f>C54-F54</f>
        <v>20400.978488325687</v>
      </c>
    </row>
    <row r="55" spans="1:11" x14ac:dyDescent="0.25">
      <c r="B55" s="48">
        <v>2</v>
      </c>
      <c r="C55" s="44">
        <f>G54</f>
        <v>20400.978488325687</v>
      </c>
      <c r="D55" s="44">
        <f>$D$49</f>
        <v>1517.1048450076446</v>
      </c>
      <c r="E55" s="44">
        <f t="shared" ref="E55:E68" si="6">C55*$D$45</f>
        <v>110.50530014509748</v>
      </c>
      <c r="F55" s="44">
        <f>D55-E55</f>
        <v>1406.5995448625472</v>
      </c>
      <c r="G55" s="51">
        <f>C55-F55</f>
        <v>18994.37894346314</v>
      </c>
    </row>
    <row r="56" spans="1:11" x14ac:dyDescent="0.25">
      <c r="B56" s="48">
        <v>3</v>
      </c>
      <c r="C56" s="44">
        <f t="shared" ref="C56:C68" si="7">G55</f>
        <v>18994.37894346314</v>
      </c>
      <c r="D56" s="44">
        <f t="shared" ref="D56:D68" si="8">$D$49</f>
        <v>1517.1048450076446</v>
      </c>
      <c r="E56" s="44">
        <f t="shared" si="6"/>
        <v>102.88621927709201</v>
      </c>
      <c r="F56" s="44">
        <f t="shared" ref="F56:F68" si="9">D56-E56</f>
        <v>1414.2186257305525</v>
      </c>
      <c r="G56" s="51">
        <f t="shared" ref="G56:G68" si="10">C56-F56</f>
        <v>17580.160317732589</v>
      </c>
    </row>
    <row r="57" spans="1:11" x14ac:dyDescent="0.25">
      <c r="B57" s="48">
        <v>4</v>
      </c>
      <c r="C57" s="44">
        <f t="shared" si="7"/>
        <v>17580.160317732589</v>
      </c>
      <c r="D57" s="44">
        <f t="shared" si="8"/>
        <v>1517.1048450076446</v>
      </c>
      <c r="E57" s="44">
        <f t="shared" si="6"/>
        <v>95.225868387718194</v>
      </c>
      <c r="F57" s="44">
        <f t="shared" si="9"/>
        <v>1421.8789766199263</v>
      </c>
      <c r="G57" s="51">
        <f t="shared" si="10"/>
        <v>16158.281341112663</v>
      </c>
    </row>
    <row r="58" spans="1:11" x14ac:dyDescent="0.25">
      <c r="B58" s="48">
        <v>5</v>
      </c>
      <c r="C58" s="44">
        <f t="shared" si="7"/>
        <v>16158.281341112663</v>
      </c>
      <c r="D58" s="44">
        <f t="shared" si="8"/>
        <v>1517.1048450076446</v>
      </c>
      <c r="E58" s="44">
        <f t="shared" si="6"/>
        <v>87.524023931026932</v>
      </c>
      <c r="F58" s="44">
        <f t="shared" si="9"/>
        <v>1429.5808210766177</v>
      </c>
      <c r="G58" s="51">
        <f t="shared" si="10"/>
        <v>14728.700520036045</v>
      </c>
    </row>
    <row r="59" spans="1:11" x14ac:dyDescent="0.25">
      <c r="B59" s="48">
        <v>6</v>
      </c>
      <c r="C59" s="44">
        <f t="shared" si="7"/>
        <v>14728.700520036045</v>
      </c>
      <c r="D59" s="44">
        <f t="shared" si="8"/>
        <v>1517.1048450076446</v>
      </c>
      <c r="E59" s="44">
        <f t="shared" si="6"/>
        <v>79.780461150195251</v>
      </c>
      <c r="F59" s="44">
        <f t="shared" si="9"/>
        <v>1437.3243838574494</v>
      </c>
      <c r="G59" s="51">
        <f t="shared" si="10"/>
        <v>13291.376136178596</v>
      </c>
    </row>
    <row r="60" spans="1:11" x14ac:dyDescent="0.25">
      <c r="B60" s="48">
        <v>7</v>
      </c>
      <c r="C60" s="44">
        <f t="shared" si="7"/>
        <v>13291.376136178596</v>
      </c>
      <c r="D60" s="44">
        <f t="shared" si="8"/>
        <v>1517.1048450076446</v>
      </c>
      <c r="E60" s="44">
        <f t="shared" si="6"/>
        <v>71.994954070967395</v>
      </c>
      <c r="F60" s="44">
        <f t="shared" si="9"/>
        <v>1445.1098909366772</v>
      </c>
      <c r="G60" s="51">
        <f t="shared" si="10"/>
        <v>11846.266245241919</v>
      </c>
    </row>
    <row r="61" spans="1:11" x14ac:dyDescent="0.25">
      <c r="B61" s="48">
        <v>8</v>
      </c>
      <c r="C61" s="44">
        <f t="shared" si="7"/>
        <v>11846.266245241919</v>
      </c>
      <c r="D61" s="44">
        <f t="shared" si="8"/>
        <v>1517.1048450076446</v>
      </c>
      <c r="E61" s="44">
        <f t="shared" si="6"/>
        <v>64.167275495060395</v>
      </c>
      <c r="F61" s="44">
        <f t="shared" si="9"/>
        <v>1452.9375695125841</v>
      </c>
      <c r="G61" s="51">
        <f t="shared" si="10"/>
        <v>10393.328675729335</v>
      </c>
    </row>
    <row r="62" spans="1:11" x14ac:dyDescent="0.25">
      <c r="B62" s="48">
        <v>9</v>
      </c>
      <c r="C62" s="44">
        <f t="shared" si="7"/>
        <v>10393.328675729335</v>
      </c>
      <c r="D62" s="44">
        <f t="shared" si="8"/>
        <v>1517.1048450076446</v>
      </c>
      <c r="E62" s="44">
        <f t="shared" si="6"/>
        <v>56.297196993533902</v>
      </c>
      <c r="F62" s="44">
        <f t="shared" si="9"/>
        <v>1460.8076480141108</v>
      </c>
      <c r="G62" s="51">
        <f t="shared" si="10"/>
        <v>8932.5210277152255</v>
      </c>
    </row>
    <row r="63" spans="1:11" x14ac:dyDescent="0.25">
      <c r="B63" s="48">
        <v>10</v>
      </c>
      <c r="C63" s="44">
        <f t="shared" si="7"/>
        <v>8932.5210277152255</v>
      </c>
      <c r="D63" s="44">
        <f t="shared" si="8"/>
        <v>1517.1048450076446</v>
      </c>
      <c r="E63" s="44">
        <f t="shared" si="6"/>
        <v>48.38448890012414</v>
      </c>
      <c r="F63" s="44">
        <f t="shared" si="9"/>
        <v>1468.7203561075205</v>
      </c>
      <c r="G63" s="51">
        <f t="shared" si="10"/>
        <v>7463.8006716077052</v>
      </c>
    </row>
    <row r="64" spans="1:11" x14ac:dyDescent="0.25">
      <c r="B64" s="48">
        <v>11</v>
      </c>
      <c r="C64" s="44">
        <f t="shared" si="7"/>
        <v>7463.8006716077052</v>
      </c>
      <c r="D64" s="44">
        <f t="shared" si="8"/>
        <v>1517.1048450076446</v>
      </c>
      <c r="E64" s="44">
        <f t="shared" si="6"/>
        <v>40.428920304541741</v>
      </c>
      <c r="F64" s="44">
        <f t="shared" si="9"/>
        <v>1476.675924703103</v>
      </c>
      <c r="G64" s="51">
        <f t="shared" si="10"/>
        <v>5987.124746904602</v>
      </c>
    </row>
    <row r="65" spans="1:14" x14ac:dyDescent="0.25">
      <c r="B65" s="48">
        <v>12</v>
      </c>
      <c r="C65" s="44">
        <f t="shared" si="7"/>
        <v>5987.124746904602</v>
      </c>
      <c r="D65" s="44">
        <f t="shared" si="8"/>
        <v>1517.1048450076446</v>
      </c>
      <c r="E65" s="44">
        <f t="shared" si="6"/>
        <v>32.430259045733266</v>
      </c>
      <c r="F65" s="44">
        <f t="shared" si="9"/>
        <v>1484.6745859619114</v>
      </c>
      <c r="G65" s="51">
        <f t="shared" si="10"/>
        <v>4502.4501609426907</v>
      </c>
    </row>
    <row r="66" spans="1:14" x14ac:dyDescent="0.25">
      <c r="B66" s="48">
        <v>13</v>
      </c>
      <c r="C66" s="44">
        <f t="shared" si="7"/>
        <v>4502.4501609426907</v>
      </c>
      <c r="D66" s="44">
        <f t="shared" si="8"/>
        <v>1517.1048450076446</v>
      </c>
      <c r="E66" s="44">
        <f t="shared" si="6"/>
        <v>24.388271705106241</v>
      </c>
      <c r="F66" s="44">
        <f t="shared" si="9"/>
        <v>1492.7165733025383</v>
      </c>
      <c r="G66" s="51">
        <f t="shared" si="10"/>
        <v>3009.7335876401521</v>
      </c>
    </row>
    <row r="67" spans="1:14" x14ac:dyDescent="0.25">
      <c r="B67" s="48">
        <v>14</v>
      </c>
      <c r="C67" s="44">
        <f t="shared" si="7"/>
        <v>3009.7335876401521</v>
      </c>
      <c r="D67" s="44">
        <f t="shared" si="8"/>
        <v>1517.1048450076446</v>
      </c>
      <c r="E67" s="44">
        <f t="shared" si="6"/>
        <v>16.302723599717492</v>
      </c>
      <c r="F67" s="44">
        <f t="shared" si="9"/>
        <v>1500.8021214079272</v>
      </c>
      <c r="G67" s="51">
        <f t="shared" si="10"/>
        <v>1508.9314662322249</v>
      </c>
    </row>
    <row r="68" spans="1:14" x14ac:dyDescent="0.25">
      <c r="B68" s="48">
        <v>15</v>
      </c>
      <c r="C68" s="44">
        <f t="shared" si="7"/>
        <v>1508.9314662322249</v>
      </c>
      <c r="D68" s="43">
        <f t="shared" si="8"/>
        <v>1517.1048450076446</v>
      </c>
      <c r="E68" s="43">
        <f t="shared" si="6"/>
        <v>8.1733787754245526</v>
      </c>
      <c r="F68" s="43">
        <f t="shared" si="9"/>
        <v>1508.9314662322201</v>
      </c>
      <c r="G68" s="51">
        <f t="shared" si="10"/>
        <v>4.7748471843078732E-12</v>
      </c>
    </row>
    <row r="69" spans="1:14" x14ac:dyDescent="0.25">
      <c r="B69" s="52"/>
      <c r="C69" s="43"/>
      <c r="D69" s="54">
        <f>SUM(D54:D68)</f>
        <v>22756.572675114672</v>
      </c>
      <c r="E69" s="54">
        <f t="shared" ref="E69:F69" si="11">SUM(E54:E68)</f>
        <v>956.57267511467239</v>
      </c>
      <c r="F69" s="54">
        <f t="shared" si="11"/>
        <v>21799.999999999996</v>
      </c>
      <c r="G69" s="59"/>
    </row>
    <row r="71" spans="1:14" s="14" customFormat="1" x14ac:dyDescent="0.25">
      <c r="A71" s="34" t="s">
        <v>7</v>
      </c>
      <c r="B71" s="12"/>
      <c r="C71" s="12"/>
      <c r="D71" s="12"/>
      <c r="E71" s="13"/>
      <c r="F71" s="12"/>
      <c r="G71" s="12"/>
      <c r="H71" s="12"/>
      <c r="I71" s="12"/>
      <c r="J71" s="12"/>
      <c r="K71" s="12"/>
      <c r="L71" s="12"/>
      <c r="M71" s="12"/>
      <c r="N71" s="12"/>
    </row>
    <row r="72" spans="1:14" s="14" customFormat="1" ht="94.5" customHeight="1" x14ac:dyDescent="0.25">
      <c r="A72" s="168" t="s">
        <v>203</v>
      </c>
      <c r="B72" s="168"/>
      <c r="C72" s="168"/>
      <c r="D72" s="168"/>
      <c r="E72" s="168"/>
      <c r="F72" s="168"/>
      <c r="G72" s="168"/>
      <c r="H72" s="168"/>
      <c r="I72" s="168"/>
      <c r="J72" s="168"/>
      <c r="K72" s="168"/>
      <c r="L72" s="12"/>
      <c r="M72" s="12"/>
      <c r="N72" s="12"/>
    </row>
    <row r="73" spans="1:14" s="14" customFormat="1" ht="15.75" customHeight="1" x14ac:dyDescent="0.25">
      <c r="A73" s="90"/>
      <c r="B73" s="90"/>
      <c r="C73" s="90"/>
      <c r="D73" s="90"/>
      <c r="E73" s="90"/>
      <c r="F73" s="90"/>
      <c r="G73" s="90"/>
      <c r="H73" s="90"/>
      <c r="I73" s="90"/>
      <c r="J73" s="90"/>
      <c r="K73" s="90"/>
      <c r="L73" s="12"/>
      <c r="M73" s="12"/>
      <c r="N73" s="12"/>
    </row>
    <row r="76" spans="1:14" s="14" customFormat="1" x14ac:dyDescent="0.25">
      <c r="A76" s="34" t="s">
        <v>7</v>
      </c>
      <c r="B76" s="12"/>
      <c r="C76" s="12"/>
      <c r="D76" s="12"/>
      <c r="E76" s="13"/>
      <c r="F76" s="12"/>
      <c r="G76" s="12"/>
      <c r="H76" s="12"/>
      <c r="I76" s="12"/>
      <c r="J76" s="12"/>
      <c r="K76" s="12"/>
      <c r="L76" s="12"/>
      <c r="M76" s="12"/>
      <c r="N76" s="12"/>
    </row>
    <row r="77" spans="1:14" s="14" customFormat="1" ht="63" customHeight="1" x14ac:dyDescent="0.25">
      <c r="A77" s="168" t="s">
        <v>204</v>
      </c>
      <c r="B77" s="168"/>
      <c r="C77" s="168"/>
      <c r="D77" s="168"/>
      <c r="E77" s="168"/>
      <c r="F77" s="168"/>
      <c r="G77" s="168"/>
      <c r="H77" s="168"/>
      <c r="I77" s="168"/>
      <c r="J77" s="168"/>
      <c r="K77" s="168"/>
      <c r="L77" s="12"/>
      <c r="M77" s="12"/>
      <c r="N77" s="12"/>
    </row>
    <row r="78" spans="1:14" s="14" customFormat="1" ht="15.75" customHeight="1" x14ac:dyDescent="0.25">
      <c r="A78" s="90"/>
      <c r="B78" s="90"/>
      <c r="C78" s="90"/>
      <c r="D78" s="90"/>
      <c r="E78" s="90"/>
      <c r="F78" s="90"/>
      <c r="G78" s="90"/>
      <c r="H78" s="90"/>
      <c r="I78" s="90"/>
      <c r="J78" s="90"/>
      <c r="K78" s="90"/>
      <c r="L78" s="12"/>
      <c r="M78" s="12"/>
      <c r="N78" s="12"/>
    </row>
    <row r="79" spans="1:14" s="14" customFormat="1" ht="15.75" customHeight="1" x14ac:dyDescent="0.25">
      <c r="A79" s="90"/>
      <c r="B79" s="90"/>
      <c r="C79" s="90"/>
      <c r="D79" s="90"/>
      <c r="E79" s="90"/>
      <c r="F79" s="90"/>
      <c r="G79" s="90"/>
      <c r="H79" s="90"/>
      <c r="I79" s="90"/>
      <c r="J79" s="90"/>
      <c r="K79" s="90"/>
      <c r="L79" s="12"/>
      <c r="M79" s="12"/>
      <c r="N79" s="12"/>
    </row>
    <row r="80" spans="1:14" s="14" customFormat="1" ht="15.75" customHeight="1" x14ac:dyDescent="0.25">
      <c r="A80" s="90"/>
      <c r="B80" s="90"/>
      <c r="C80" s="90"/>
      <c r="D80" s="90"/>
      <c r="E80" s="90"/>
      <c r="F80" s="90"/>
      <c r="G80" s="90"/>
      <c r="H80" s="90"/>
      <c r="I80" s="90"/>
      <c r="J80" s="90"/>
      <c r="K80" s="90"/>
      <c r="L80" s="12"/>
      <c r="M80" s="12"/>
      <c r="N80" s="12"/>
    </row>
    <row r="81" spans="1:14" s="14" customFormat="1" ht="15.75" customHeight="1" x14ac:dyDescent="0.25">
      <c r="A81" s="90"/>
      <c r="B81" s="90"/>
      <c r="C81" s="90"/>
      <c r="D81" s="90"/>
      <c r="E81" s="90"/>
      <c r="F81" s="90"/>
      <c r="G81" s="90"/>
      <c r="H81" s="90"/>
      <c r="I81" s="90"/>
      <c r="J81" s="90"/>
      <c r="K81" s="90"/>
      <c r="L81" s="12"/>
      <c r="M81" s="12"/>
      <c r="N81" s="12"/>
    </row>
    <row r="82" spans="1:14" s="14" customFormat="1" ht="15.75" customHeight="1" x14ac:dyDescent="0.25">
      <c r="A82" s="90"/>
      <c r="B82" s="90"/>
      <c r="C82" s="90"/>
      <c r="D82" s="90"/>
      <c r="E82" s="90"/>
      <c r="F82" s="90"/>
      <c r="G82" s="90"/>
      <c r="H82" s="90"/>
      <c r="I82" s="90"/>
      <c r="J82" s="90"/>
      <c r="K82" s="90"/>
      <c r="L82" s="12"/>
      <c r="M82" s="12"/>
      <c r="N82" s="12"/>
    </row>
    <row r="83" spans="1:14" s="14" customFormat="1" ht="15.75" customHeight="1" x14ac:dyDescent="0.25">
      <c r="A83" s="90"/>
      <c r="B83" s="90"/>
      <c r="C83" s="90"/>
      <c r="D83" s="90"/>
      <c r="E83" s="90"/>
      <c r="F83" s="90"/>
      <c r="G83" s="90"/>
      <c r="H83" s="90"/>
      <c r="I83" s="90"/>
      <c r="J83" s="90"/>
      <c r="K83" s="90"/>
      <c r="L83" s="12"/>
      <c r="M83" s="12"/>
      <c r="N83" s="12"/>
    </row>
    <row r="84" spans="1:14" s="14" customFormat="1" ht="15.75" customHeight="1" x14ac:dyDescent="0.25">
      <c r="A84" s="90"/>
      <c r="B84" s="90"/>
      <c r="C84" s="90"/>
      <c r="D84" s="90"/>
      <c r="E84" s="90"/>
      <c r="F84" s="90"/>
      <c r="G84" s="90"/>
      <c r="H84" s="90"/>
      <c r="I84" s="90"/>
      <c r="J84" s="90"/>
      <c r="K84" s="90"/>
      <c r="L84" s="12"/>
      <c r="M84" s="12"/>
      <c r="N84" s="12"/>
    </row>
    <row r="85" spans="1:14" s="14" customFormat="1" ht="15.75" customHeight="1" x14ac:dyDescent="0.25">
      <c r="A85" s="90"/>
      <c r="B85" s="90"/>
      <c r="C85" s="90"/>
      <c r="D85" s="90"/>
      <c r="E85" s="90"/>
      <c r="F85" s="90"/>
      <c r="G85" s="90"/>
      <c r="H85" s="90"/>
      <c r="I85" s="90"/>
      <c r="J85" s="90"/>
      <c r="K85" s="90"/>
      <c r="L85" s="12"/>
      <c r="M85" s="12"/>
      <c r="N85" s="12"/>
    </row>
    <row r="86" spans="1:14" s="14" customFormat="1" ht="15.75" customHeight="1" x14ac:dyDescent="0.25">
      <c r="A86" s="90"/>
      <c r="B86" s="90"/>
      <c r="C86" s="90"/>
      <c r="D86" s="90"/>
      <c r="E86" s="90"/>
      <c r="F86" s="90"/>
      <c r="G86" s="90"/>
      <c r="H86" s="90"/>
      <c r="I86" s="90"/>
      <c r="J86" s="90"/>
      <c r="K86" s="90"/>
      <c r="L86" s="12"/>
      <c r="M86" s="12"/>
      <c r="N86" s="12"/>
    </row>
    <row r="87" spans="1:14" s="14" customFormat="1" ht="15.75" customHeight="1" x14ac:dyDescent="0.25">
      <c r="A87" s="90"/>
      <c r="B87" s="90"/>
      <c r="C87" s="90"/>
      <c r="D87" s="90"/>
      <c r="E87" s="90"/>
      <c r="F87" s="90"/>
      <c r="G87" s="90"/>
      <c r="H87" s="90"/>
      <c r="I87" s="90"/>
      <c r="J87" s="90"/>
      <c r="K87" s="90"/>
      <c r="L87" s="12"/>
      <c r="M87" s="12"/>
      <c r="N87" s="12"/>
    </row>
    <row r="88" spans="1:14" s="14" customFormat="1" ht="15.75" customHeight="1" x14ac:dyDescent="0.25">
      <c r="A88" s="90"/>
      <c r="B88" s="90"/>
      <c r="C88" s="90"/>
      <c r="D88" s="90"/>
      <c r="E88" s="90"/>
      <c r="F88" s="90"/>
      <c r="G88" s="90"/>
      <c r="H88" s="90"/>
      <c r="I88" s="90"/>
      <c r="J88" s="90"/>
      <c r="K88" s="90"/>
      <c r="L88" s="12"/>
      <c r="M88" s="12"/>
      <c r="N88" s="12"/>
    </row>
    <row r="89" spans="1:14" s="14" customFormat="1" ht="15.75" customHeight="1" x14ac:dyDescent="0.25">
      <c r="A89" s="90"/>
      <c r="B89" s="90"/>
      <c r="C89" s="90"/>
      <c r="D89" s="90"/>
      <c r="E89" s="90"/>
      <c r="F89" s="90"/>
      <c r="G89" s="90"/>
      <c r="H89" s="90"/>
      <c r="I89" s="90"/>
      <c r="J89" s="90"/>
      <c r="K89" s="90"/>
      <c r="L89" s="12"/>
      <c r="M89" s="12"/>
      <c r="N89" s="12"/>
    </row>
    <row r="90" spans="1:14" s="14" customFormat="1" ht="15.75" customHeight="1" x14ac:dyDescent="0.25">
      <c r="A90" s="90"/>
      <c r="B90" s="90"/>
      <c r="C90" s="90"/>
      <c r="D90" s="90"/>
      <c r="E90" s="90"/>
      <c r="F90" s="90"/>
      <c r="G90" s="90"/>
      <c r="H90" s="90"/>
      <c r="I90" s="90"/>
      <c r="J90" s="90"/>
      <c r="K90" s="90"/>
      <c r="L90" s="12"/>
      <c r="M90" s="12"/>
      <c r="N90" s="12"/>
    </row>
    <row r="91" spans="1:14" s="14" customFormat="1" ht="15.75" customHeight="1" x14ac:dyDescent="0.25">
      <c r="A91" s="90"/>
      <c r="B91" s="90"/>
      <c r="C91" s="90"/>
      <c r="D91" s="90"/>
      <c r="E91" s="90"/>
      <c r="F91" s="90"/>
      <c r="G91" s="90"/>
      <c r="H91" s="90"/>
      <c r="I91" s="90"/>
      <c r="J91" s="90"/>
      <c r="K91" s="90"/>
      <c r="L91" s="12"/>
      <c r="M91" s="12"/>
      <c r="N91" s="12"/>
    </row>
    <row r="92" spans="1:14" s="14" customFormat="1" ht="15.75" customHeight="1" x14ac:dyDescent="0.25">
      <c r="A92" s="90"/>
      <c r="B92" s="90"/>
      <c r="C92" s="90"/>
      <c r="D92" s="90"/>
      <c r="E92" s="90"/>
      <c r="F92" s="90"/>
      <c r="G92" s="90"/>
      <c r="H92" s="90"/>
      <c r="I92" s="90"/>
      <c r="J92" s="90"/>
      <c r="K92" s="90"/>
      <c r="L92" s="12"/>
      <c r="M92" s="12"/>
      <c r="N92" s="12"/>
    </row>
    <row r="93" spans="1:14" s="14" customFormat="1" ht="15.75" customHeight="1" x14ac:dyDescent="0.25">
      <c r="A93" s="90"/>
      <c r="B93" s="90"/>
      <c r="C93" s="90"/>
      <c r="D93" s="90"/>
      <c r="E93" s="90"/>
      <c r="F93" s="90"/>
      <c r="G93" s="90"/>
      <c r="H93" s="90"/>
      <c r="I93" s="90"/>
      <c r="J93" s="90"/>
      <c r="K93" s="90"/>
      <c r="L93" s="12"/>
      <c r="M93" s="12"/>
      <c r="N93" s="12"/>
    </row>
    <row r="94" spans="1:14" s="14" customFormat="1" ht="15.75" customHeight="1" x14ac:dyDescent="0.25">
      <c r="A94" s="90"/>
      <c r="B94" s="90"/>
      <c r="C94" s="90"/>
      <c r="D94" s="90"/>
      <c r="E94" s="90"/>
      <c r="F94" s="90"/>
      <c r="G94" s="90"/>
      <c r="H94" s="90"/>
      <c r="I94" s="90"/>
      <c r="J94" s="90"/>
      <c r="K94" s="90"/>
      <c r="L94" s="12"/>
      <c r="M94" s="12"/>
      <c r="N94" s="12"/>
    </row>
    <row r="95" spans="1:14" s="14" customFormat="1" ht="15.75" customHeight="1" x14ac:dyDescent="0.25">
      <c r="A95" s="90"/>
      <c r="B95" s="90"/>
      <c r="C95" s="90"/>
      <c r="D95" s="90"/>
      <c r="E95" s="90"/>
      <c r="F95" s="90"/>
      <c r="G95" s="90"/>
      <c r="H95" s="90"/>
      <c r="I95" s="90"/>
      <c r="J95" s="90"/>
      <c r="K95" s="90"/>
      <c r="L95" s="12"/>
      <c r="M95" s="12"/>
      <c r="N95" s="12"/>
    </row>
    <row r="96" spans="1:14" s="14" customFormat="1" ht="15.75" customHeight="1" x14ac:dyDescent="0.25">
      <c r="A96" s="90"/>
      <c r="B96" s="90"/>
      <c r="C96" s="90"/>
      <c r="D96" s="90"/>
      <c r="E96" s="90"/>
      <c r="F96" s="90"/>
      <c r="G96" s="90"/>
      <c r="H96" s="90"/>
      <c r="I96" s="90"/>
      <c r="J96" s="90"/>
      <c r="K96" s="90"/>
      <c r="L96" s="12"/>
      <c r="M96" s="12"/>
      <c r="N96" s="12"/>
    </row>
    <row r="97" spans="1:14" s="14" customFormat="1" ht="15.75" customHeight="1" x14ac:dyDescent="0.25">
      <c r="A97" s="90"/>
      <c r="B97" s="90"/>
      <c r="C97" s="90"/>
      <c r="D97" s="90"/>
      <c r="E97" s="90"/>
      <c r="F97" s="90"/>
      <c r="G97" s="90"/>
      <c r="H97" s="90"/>
      <c r="I97" s="90"/>
      <c r="J97" s="90"/>
      <c r="K97" s="90"/>
      <c r="L97" s="12"/>
      <c r="M97" s="12"/>
      <c r="N97" s="12"/>
    </row>
    <row r="99" spans="1:14" x14ac:dyDescent="0.25">
      <c r="A99" s="4" t="s">
        <v>205</v>
      </c>
    </row>
    <row r="100" spans="1:14" ht="47.25" customHeight="1" x14ac:dyDescent="0.25">
      <c r="A100" s="171" t="s">
        <v>206</v>
      </c>
      <c r="B100" s="171"/>
      <c r="C100" s="171"/>
      <c r="D100" s="171"/>
      <c r="E100" s="171"/>
      <c r="F100" s="171"/>
      <c r="G100" s="171"/>
      <c r="H100" s="171"/>
      <c r="I100" s="171"/>
      <c r="J100" s="171"/>
      <c r="K100" s="171"/>
    </row>
    <row r="102" spans="1:14" ht="15.75" customHeight="1" x14ac:dyDescent="0.25">
      <c r="A102" s="178" t="s">
        <v>262</v>
      </c>
      <c r="B102" s="178"/>
      <c r="C102" s="178"/>
      <c r="D102" s="178"/>
      <c r="E102" s="178"/>
    </row>
    <row r="103" spans="1:14" x14ac:dyDescent="0.25">
      <c r="A103" s="3" t="s">
        <v>265</v>
      </c>
    </row>
    <row r="105" spans="1:14" x14ac:dyDescent="0.25">
      <c r="B105" s="3" t="s">
        <v>187</v>
      </c>
      <c r="E105" s="7">
        <v>100000</v>
      </c>
    </row>
    <row r="106" spans="1:14" x14ac:dyDescent="0.25">
      <c r="B106" s="3" t="s">
        <v>207</v>
      </c>
      <c r="E106" s="30">
        <v>20</v>
      </c>
    </row>
    <row r="107" spans="1:14" x14ac:dyDescent="0.25">
      <c r="B107" s="3" t="s">
        <v>208</v>
      </c>
      <c r="E107" s="30">
        <v>5</v>
      </c>
    </row>
    <row r="108" spans="1:14" x14ac:dyDescent="0.25">
      <c r="B108" s="3" t="s">
        <v>209</v>
      </c>
      <c r="E108" s="30">
        <v>12</v>
      </c>
    </row>
    <row r="109" spans="1:14" x14ac:dyDescent="0.25">
      <c r="B109" s="3" t="s">
        <v>210</v>
      </c>
      <c r="E109" s="104">
        <v>0.12</v>
      </c>
    </row>
    <row r="111" spans="1:14" x14ac:dyDescent="0.25">
      <c r="A111" s="171" t="s">
        <v>211</v>
      </c>
      <c r="B111" s="171"/>
      <c r="C111" s="171"/>
      <c r="D111" s="171"/>
      <c r="E111" s="171"/>
      <c r="F111" s="171"/>
      <c r="G111" s="171"/>
      <c r="H111" s="171"/>
      <c r="I111" s="171"/>
      <c r="J111" s="171"/>
      <c r="K111" s="171"/>
    </row>
    <row r="113" spans="1:11" x14ac:dyDescent="0.25">
      <c r="B113" s="3" t="s">
        <v>124</v>
      </c>
      <c r="E113" s="8">
        <f>PMT(E109/E108,E106*E108,-E105)</f>
        <v>1101.08613356961</v>
      </c>
    </row>
    <row r="115" spans="1:11" x14ac:dyDescent="0.25">
      <c r="A115" s="171" t="s">
        <v>212</v>
      </c>
      <c r="B115" s="171"/>
      <c r="C115" s="171"/>
      <c r="D115" s="171"/>
      <c r="E115" s="171"/>
      <c r="F115" s="171"/>
      <c r="G115" s="171"/>
      <c r="H115" s="171"/>
      <c r="I115" s="171"/>
      <c r="J115" s="171"/>
      <c r="K115" s="171"/>
    </row>
    <row r="117" spans="1:11" x14ac:dyDescent="0.25">
      <c r="B117" s="3" t="s">
        <v>165</v>
      </c>
      <c r="E117" s="8">
        <f>PV(E109/E108,(E106-E107)*E108,-E113)</f>
        <v>91744.328844309115</v>
      </c>
    </row>
    <row r="118" spans="1:11" x14ac:dyDescent="0.25">
      <c r="E118" s="8"/>
    </row>
    <row r="119" spans="1:11" x14ac:dyDescent="0.25">
      <c r="A119" s="171" t="s">
        <v>266</v>
      </c>
      <c r="B119" s="171"/>
      <c r="C119" s="171"/>
      <c r="D119" s="171"/>
      <c r="E119" s="171"/>
      <c r="F119" s="171"/>
      <c r="G119" s="171"/>
      <c r="H119" s="171"/>
      <c r="I119" s="171"/>
      <c r="J119" s="171"/>
      <c r="K119" s="171"/>
    </row>
    <row r="121" spans="1:11" x14ac:dyDescent="0.25">
      <c r="B121" s="3" t="s">
        <v>165</v>
      </c>
      <c r="E121" s="8">
        <f>PV(E109/E108,(E106-E107)*E108,PMT(E109/E108,E106*E108,E105))</f>
        <v>91744.328844309115</v>
      </c>
    </row>
  </sheetData>
  <mergeCells count="12">
    <mergeCell ref="A119:K119"/>
    <mergeCell ref="A7:K7"/>
    <mergeCell ref="A37:K37"/>
    <mergeCell ref="A42:K42"/>
    <mergeCell ref="A47:K47"/>
    <mergeCell ref="A51:K51"/>
    <mergeCell ref="A72:K72"/>
    <mergeCell ref="A77:K77"/>
    <mergeCell ref="A100:K100"/>
    <mergeCell ref="A102:E102"/>
    <mergeCell ref="A111:K111"/>
    <mergeCell ref="A115:K115"/>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5"/>
  <sheetViews>
    <sheetView tabSelected="1" workbookViewId="0">
      <selection activeCell="J5" sqref="J5"/>
    </sheetView>
  </sheetViews>
  <sheetFormatPr defaultRowHeight="15" x14ac:dyDescent="0.25"/>
  <cols>
    <col min="1" max="1" width="16.85546875" bestFit="1" customWidth="1"/>
    <col min="3" max="3" width="12.7109375" bestFit="1" customWidth="1"/>
    <col min="4" max="4" width="10.5703125" bestFit="1" customWidth="1"/>
    <col min="5" max="5" width="9.5703125" bestFit="1" customWidth="1"/>
    <col min="6" max="7" width="10.5703125" bestFit="1" customWidth="1"/>
    <col min="8" max="8" width="11.5703125" bestFit="1" customWidth="1"/>
    <col min="9" max="9" width="10.85546875" bestFit="1" customWidth="1"/>
    <col min="10" max="10" width="17.28515625" bestFit="1" customWidth="1"/>
    <col min="11" max="11" width="10.85546875" bestFit="1" customWidth="1"/>
  </cols>
  <sheetData>
    <row r="1" spans="1:11" x14ac:dyDescent="0.25">
      <c r="C1" s="158" t="s">
        <v>296</v>
      </c>
      <c r="D1" s="158">
        <v>28000</v>
      </c>
      <c r="E1" s="158" t="s">
        <v>297</v>
      </c>
      <c r="F1" s="158">
        <v>1000</v>
      </c>
      <c r="H1" s="158" t="s">
        <v>301</v>
      </c>
      <c r="I1" s="156">
        <f>COUNT(G31:G65)</f>
        <v>34</v>
      </c>
      <c r="J1" s="158" t="s">
        <v>302</v>
      </c>
      <c r="K1" s="162">
        <f>SUM(D30:D64)</f>
        <v>18712.132620630309</v>
      </c>
    </row>
    <row r="2" spans="1:11" x14ac:dyDescent="0.25">
      <c r="A2" s="158" t="s">
        <v>24</v>
      </c>
      <c r="B2" s="158">
        <v>12</v>
      </c>
      <c r="C2" s="158" t="s">
        <v>285</v>
      </c>
      <c r="D2" s="161">
        <f>D1-F1</f>
        <v>27000</v>
      </c>
      <c r="F2" s="158" t="s">
        <v>284</v>
      </c>
      <c r="G2" s="162">
        <f>PMT(D3,60,-D2)</f>
        <v>534.63236058943744</v>
      </c>
      <c r="I2" s="162">
        <f>PV((D3),I1,-G2)</f>
        <v>16445.064322885097</v>
      </c>
    </row>
    <row r="3" spans="1:11" x14ac:dyDescent="0.25">
      <c r="A3" s="158" t="s">
        <v>288</v>
      </c>
      <c r="B3" s="158">
        <v>7.0000000000000007E-2</v>
      </c>
      <c r="C3" s="158" t="s">
        <v>283</v>
      </c>
      <c r="D3" s="160">
        <f>$B$3/$B$2</f>
        <v>5.8333333333333336E-3</v>
      </c>
      <c r="F3" s="158" t="s">
        <v>300</v>
      </c>
      <c r="G3" s="158">
        <v>0.01</v>
      </c>
      <c r="H3" s="188" t="s">
        <v>303</v>
      </c>
      <c r="I3" s="162">
        <f>I2*(1*(1+G3))+G2</f>
        <v>17144.147326703383</v>
      </c>
    </row>
    <row r="4" spans="1:11" x14ac:dyDescent="0.25">
      <c r="A4" s="157">
        <v>41518</v>
      </c>
      <c r="C4" t="s">
        <v>282</v>
      </c>
      <c r="D4" t="s">
        <v>196</v>
      </c>
      <c r="E4" t="s">
        <v>235</v>
      </c>
      <c r="F4" t="s">
        <v>281</v>
      </c>
      <c r="G4" t="s">
        <v>280</v>
      </c>
    </row>
    <row r="5" spans="1:11" x14ac:dyDescent="0.25">
      <c r="A5" s="157">
        <v>41548</v>
      </c>
      <c r="B5">
        <v>1</v>
      </c>
      <c r="C5" s="156">
        <f>D2</f>
        <v>27000</v>
      </c>
      <c r="D5" s="162">
        <f>$G$2</f>
        <v>534.63236058943744</v>
      </c>
      <c r="E5" s="156">
        <f t="shared" ref="E5:E64" si="0">C5*$D$3</f>
        <v>157.5</v>
      </c>
      <c r="F5" s="162">
        <f>D5-E5</f>
        <v>377.13236058943744</v>
      </c>
      <c r="G5" s="156">
        <f t="shared" ref="G5:G64" si="1">C5-F5</f>
        <v>26622.867639410564</v>
      </c>
    </row>
    <row r="6" spans="1:11" x14ac:dyDescent="0.25">
      <c r="A6" s="157">
        <v>41579</v>
      </c>
      <c r="B6">
        <v>2</v>
      </c>
      <c r="C6" s="156">
        <f>G5</f>
        <v>26622.867639410564</v>
      </c>
      <c r="D6" s="162">
        <f t="shared" ref="D6:D64" si="2">$G$2</f>
        <v>534.63236058943744</v>
      </c>
      <c r="E6" s="156">
        <f t="shared" si="0"/>
        <v>155.30006122989496</v>
      </c>
      <c r="F6" s="162">
        <f t="shared" ref="F6:F64" si="3">D6-E6</f>
        <v>379.3322993595425</v>
      </c>
      <c r="G6" s="156">
        <f t="shared" si="1"/>
        <v>26243.535340051021</v>
      </c>
    </row>
    <row r="7" spans="1:11" x14ac:dyDescent="0.25">
      <c r="A7" s="157">
        <v>41609</v>
      </c>
      <c r="B7">
        <v>3</v>
      </c>
      <c r="C7" s="156">
        <f t="shared" ref="C7:C64" si="4">G6</f>
        <v>26243.535340051021</v>
      </c>
      <c r="D7" s="162">
        <f t="shared" si="2"/>
        <v>534.63236058943744</v>
      </c>
      <c r="E7" s="156">
        <f t="shared" si="0"/>
        <v>153.08728948363097</v>
      </c>
      <c r="F7" s="162">
        <f t="shared" si="3"/>
        <v>381.54507110580647</v>
      </c>
      <c r="G7" s="156">
        <f t="shared" si="1"/>
        <v>25861.990268945214</v>
      </c>
    </row>
    <row r="8" spans="1:11" x14ac:dyDescent="0.25">
      <c r="A8" s="157">
        <v>41640</v>
      </c>
      <c r="B8">
        <v>4</v>
      </c>
      <c r="C8" s="156">
        <f t="shared" si="4"/>
        <v>25861.990268945214</v>
      </c>
      <c r="D8" s="162">
        <f t="shared" si="2"/>
        <v>534.63236058943744</v>
      </c>
      <c r="E8" s="156">
        <f t="shared" si="0"/>
        <v>150.86160990218042</v>
      </c>
      <c r="F8" s="162">
        <f t="shared" si="3"/>
        <v>383.77075068725702</v>
      </c>
      <c r="G8" s="156">
        <f t="shared" si="1"/>
        <v>25478.219518257956</v>
      </c>
    </row>
    <row r="9" spans="1:11" x14ac:dyDescent="0.25">
      <c r="A9" s="157">
        <v>41671</v>
      </c>
      <c r="B9">
        <v>5</v>
      </c>
      <c r="C9" s="156">
        <f t="shared" si="4"/>
        <v>25478.219518257956</v>
      </c>
      <c r="D9" s="162">
        <f t="shared" si="2"/>
        <v>534.63236058943744</v>
      </c>
      <c r="E9" s="156">
        <f t="shared" si="0"/>
        <v>148.62294718983807</v>
      </c>
      <c r="F9" s="162">
        <f t="shared" si="3"/>
        <v>386.00941339959934</v>
      </c>
      <c r="G9" s="156">
        <f t="shared" si="1"/>
        <v>25092.210104858357</v>
      </c>
    </row>
    <row r="10" spans="1:11" x14ac:dyDescent="0.25">
      <c r="A10" s="157">
        <v>41699</v>
      </c>
      <c r="B10">
        <v>6</v>
      </c>
      <c r="C10" s="156">
        <f t="shared" si="4"/>
        <v>25092.210104858357</v>
      </c>
      <c r="D10" s="162">
        <f t="shared" si="2"/>
        <v>534.63236058943744</v>
      </c>
      <c r="E10" s="156">
        <f t="shared" si="0"/>
        <v>146.37122561167376</v>
      </c>
      <c r="F10" s="162">
        <f t="shared" si="3"/>
        <v>388.26113497776367</v>
      </c>
      <c r="G10" s="156">
        <f t="shared" si="1"/>
        <v>24703.948969880592</v>
      </c>
    </row>
    <row r="11" spans="1:11" x14ac:dyDescent="0.25">
      <c r="A11" s="157">
        <v>41730</v>
      </c>
      <c r="B11">
        <v>7</v>
      </c>
      <c r="C11" s="156">
        <f t="shared" si="4"/>
        <v>24703.948969880592</v>
      </c>
      <c r="D11" s="162">
        <f t="shared" si="2"/>
        <v>534.63236058943744</v>
      </c>
      <c r="E11" s="156">
        <f t="shared" si="0"/>
        <v>144.10636899097014</v>
      </c>
      <c r="F11" s="162">
        <f t="shared" si="3"/>
        <v>390.52599159846727</v>
      </c>
      <c r="G11" s="156">
        <f t="shared" si="1"/>
        <v>24313.422978282124</v>
      </c>
    </row>
    <row r="12" spans="1:11" x14ac:dyDescent="0.25">
      <c r="A12" s="157">
        <v>41760</v>
      </c>
      <c r="B12">
        <v>8</v>
      </c>
      <c r="C12" s="156">
        <f t="shared" si="4"/>
        <v>24313.422978282124</v>
      </c>
      <c r="D12" s="162">
        <f t="shared" si="2"/>
        <v>534.63236058943744</v>
      </c>
      <c r="E12" s="156">
        <f t="shared" si="0"/>
        <v>141.82830070664573</v>
      </c>
      <c r="F12" s="162">
        <f t="shared" si="3"/>
        <v>392.80405988279171</v>
      </c>
      <c r="G12" s="156">
        <f t="shared" si="1"/>
        <v>23920.618918399334</v>
      </c>
    </row>
    <row r="13" spans="1:11" x14ac:dyDescent="0.25">
      <c r="A13" s="157">
        <v>41791</v>
      </c>
      <c r="B13">
        <v>9</v>
      </c>
      <c r="C13" s="156">
        <f t="shared" si="4"/>
        <v>23920.618918399334</v>
      </c>
      <c r="D13" s="162">
        <f t="shared" si="2"/>
        <v>534.63236058943744</v>
      </c>
      <c r="E13" s="156">
        <f t="shared" si="0"/>
        <v>139.53694369066278</v>
      </c>
      <c r="F13" s="162">
        <f t="shared" si="3"/>
        <v>395.09541689877466</v>
      </c>
      <c r="G13" s="156">
        <f t="shared" si="1"/>
        <v>23525.52350150056</v>
      </c>
    </row>
    <row r="14" spans="1:11" x14ac:dyDescent="0.25">
      <c r="A14" s="157">
        <v>41821</v>
      </c>
      <c r="B14">
        <v>10</v>
      </c>
      <c r="C14" s="156">
        <f t="shared" si="4"/>
        <v>23525.52350150056</v>
      </c>
      <c r="D14" s="162">
        <f t="shared" si="2"/>
        <v>534.63236058943744</v>
      </c>
      <c r="E14" s="156">
        <f t="shared" si="0"/>
        <v>137.23222042541994</v>
      </c>
      <c r="F14" s="162">
        <f t="shared" si="3"/>
        <v>397.4001401640175</v>
      </c>
      <c r="G14" s="156">
        <f t="shared" si="1"/>
        <v>23128.123361336544</v>
      </c>
    </row>
    <row r="15" spans="1:11" x14ac:dyDescent="0.25">
      <c r="A15" s="157">
        <v>41852</v>
      </c>
      <c r="B15">
        <v>11</v>
      </c>
      <c r="C15" s="156">
        <f t="shared" si="4"/>
        <v>23128.123361336544</v>
      </c>
      <c r="D15" s="162">
        <f t="shared" si="2"/>
        <v>534.63236058943744</v>
      </c>
      <c r="E15" s="156">
        <f t="shared" si="0"/>
        <v>134.91405294112985</v>
      </c>
      <c r="F15" s="162">
        <f t="shared" si="3"/>
        <v>399.71830764830759</v>
      </c>
      <c r="G15" s="156">
        <f t="shared" si="1"/>
        <v>22728.405053688235</v>
      </c>
    </row>
    <row r="16" spans="1:11" x14ac:dyDescent="0.25">
      <c r="A16" s="157">
        <v>41883</v>
      </c>
      <c r="B16">
        <v>12</v>
      </c>
      <c r="C16" s="156">
        <f t="shared" si="4"/>
        <v>22728.405053688235</v>
      </c>
      <c r="D16" s="162">
        <f t="shared" si="2"/>
        <v>534.63236058943744</v>
      </c>
      <c r="E16" s="156">
        <f t="shared" si="0"/>
        <v>132.58236281318139</v>
      </c>
      <c r="F16" s="162">
        <f t="shared" si="3"/>
        <v>402.04999777625608</v>
      </c>
      <c r="G16" s="156">
        <f t="shared" si="1"/>
        <v>22326.355055911979</v>
      </c>
    </row>
    <row r="17" spans="1:7" x14ac:dyDescent="0.25">
      <c r="A17" s="157">
        <v>41913</v>
      </c>
      <c r="B17">
        <v>13</v>
      </c>
      <c r="C17" s="156">
        <f t="shared" si="4"/>
        <v>22326.355055911979</v>
      </c>
      <c r="D17" s="162">
        <f t="shared" si="2"/>
        <v>534.63236058943744</v>
      </c>
      <c r="E17" s="156">
        <f t="shared" si="0"/>
        <v>130.23707115948656</v>
      </c>
      <c r="F17" s="162">
        <f t="shared" si="3"/>
        <v>404.39528942995088</v>
      </c>
      <c r="G17" s="156">
        <f t="shared" si="1"/>
        <v>21921.959766482028</v>
      </c>
    </row>
    <row r="18" spans="1:7" x14ac:dyDescent="0.25">
      <c r="A18" s="157">
        <v>41944</v>
      </c>
      <c r="B18">
        <v>14</v>
      </c>
      <c r="C18" s="156">
        <f t="shared" si="4"/>
        <v>21921.959766482028</v>
      </c>
      <c r="D18" s="162">
        <f t="shared" si="2"/>
        <v>534.63236058943744</v>
      </c>
      <c r="E18" s="156">
        <f t="shared" si="0"/>
        <v>127.87809863781185</v>
      </c>
      <c r="F18" s="162">
        <f t="shared" si="3"/>
        <v>406.75426195162561</v>
      </c>
      <c r="G18" s="156">
        <f t="shared" si="1"/>
        <v>21515.205504530404</v>
      </c>
    </row>
    <row r="19" spans="1:7" x14ac:dyDescent="0.25">
      <c r="A19" s="157">
        <v>41974</v>
      </c>
      <c r="B19">
        <v>15</v>
      </c>
      <c r="C19" s="156">
        <f t="shared" si="4"/>
        <v>21515.205504530404</v>
      </c>
      <c r="D19" s="162">
        <f t="shared" si="2"/>
        <v>534.63236058943744</v>
      </c>
      <c r="E19" s="156">
        <f t="shared" si="0"/>
        <v>125.50536544309404</v>
      </c>
      <c r="F19" s="162">
        <f t="shared" si="3"/>
        <v>409.1269951463434</v>
      </c>
      <c r="G19" s="156">
        <f t="shared" si="1"/>
        <v>21106.07850938406</v>
      </c>
    </row>
    <row r="20" spans="1:7" x14ac:dyDescent="0.25">
      <c r="A20" s="157">
        <v>42005</v>
      </c>
      <c r="B20">
        <v>16</v>
      </c>
      <c r="C20" s="156">
        <f t="shared" si="4"/>
        <v>21106.07850938406</v>
      </c>
      <c r="D20" s="162">
        <f t="shared" si="2"/>
        <v>534.63236058943744</v>
      </c>
      <c r="E20" s="156">
        <f t="shared" si="0"/>
        <v>123.11879130474036</v>
      </c>
      <c r="F20" s="162">
        <f t="shared" si="3"/>
        <v>411.5135692846971</v>
      </c>
      <c r="G20" s="156">
        <f t="shared" si="1"/>
        <v>20694.564940099364</v>
      </c>
    </row>
    <row r="21" spans="1:7" x14ac:dyDescent="0.25">
      <c r="A21" s="157">
        <v>42036</v>
      </c>
      <c r="B21">
        <v>17</v>
      </c>
      <c r="C21" s="156">
        <f t="shared" si="4"/>
        <v>20694.564940099364</v>
      </c>
      <c r="D21" s="162">
        <f t="shared" si="2"/>
        <v>534.63236058943744</v>
      </c>
      <c r="E21" s="156">
        <f t="shared" si="0"/>
        <v>120.71829548391297</v>
      </c>
      <c r="F21" s="162">
        <f t="shared" si="3"/>
        <v>413.91406510552446</v>
      </c>
      <c r="G21" s="156">
        <f t="shared" si="1"/>
        <v>20280.65087499384</v>
      </c>
    </row>
    <row r="22" spans="1:7" x14ac:dyDescent="0.25">
      <c r="A22" s="157">
        <v>42064</v>
      </c>
      <c r="B22">
        <v>18</v>
      </c>
      <c r="C22" s="156">
        <f t="shared" si="4"/>
        <v>20280.65087499384</v>
      </c>
      <c r="D22" s="162">
        <f t="shared" si="2"/>
        <v>534.63236058943744</v>
      </c>
      <c r="E22" s="156">
        <f t="shared" si="0"/>
        <v>118.3037967707974</v>
      </c>
      <c r="F22" s="162">
        <f t="shared" si="3"/>
        <v>416.32856381864002</v>
      </c>
      <c r="G22" s="156">
        <f t="shared" si="1"/>
        <v>19864.322311175201</v>
      </c>
    </row>
    <row r="23" spans="1:7" x14ac:dyDescent="0.25">
      <c r="A23" s="157">
        <v>42095</v>
      </c>
      <c r="B23">
        <v>19</v>
      </c>
      <c r="C23" s="156">
        <f t="shared" si="4"/>
        <v>19864.322311175201</v>
      </c>
      <c r="D23" s="162">
        <f t="shared" si="2"/>
        <v>534.63236058943744</v>
      </c>
      <c r="E23" s="156">
        <f t="shared" si="0"/>
        <v>115.87521348185534</v>
      </c>
      <c r="F23" s="162">
        <f t="shared" si="3"/>
        <v>418.75714710758211</v>
      </c>
      <c r="G23" s="156">
        <f t="shared" si="1"/>
        <v>19445.565164067619</v>
      </c>
    </row>
    <row r="24" spans="1:7" x14ac:dyDescent="0.25">
      <c r="A24" s="157">
        <v>42125</v>
      </c>
      <c r="B24">
        <v>20</v>
      </c>
      <c r="C24" s="156">
        <f t="shared" si="4"/>
        <v>19445.565164067619</v>
      </c>
      <c r="D24" s="162">
        <f t="shared" si="2"/>
        <v>534.63236058943744</v>
      </c>
      <c r="E24" s="156">
        <f t="shared" si="0"/>
        <v>113.43246345706112</v>
      </c>
      <c r="F24" s="162">
        <f t="shared" si="3"/>
        <v>421.19989713237635</v>
      </c>
      <c r="G24" s="156">
        <f t="shared" si="1"/>
        <v>19024.365266935241</v>
      </c>
    </row>
    <row r="25" spans="1:7" x14ac:dyDescent="0.25">
      <c r="A25" s="157">
        <v>42156</v>
      </c>
      <c r="B25">
        <v>21</v>
      </c>
      <c r="C25" s="156">
        <f t="shared" si="4"/>
        <v>19024.365266935241</v>
      </c>
      <c r="D25" s="162">
        <f t="shared" si="2"/>
        <v>534.63236058943744</v>
      </c>
      <c r="E25" s="156">
        <f t="shared" si="0"/>
        <v>110.97546405712225</v>
      </c>
      <c r="F25" s="162">
        <f t="shared" si="3"/>
        <v>423.65689653231516</v>
      </c>
      <c r="G25" s="156">
        <f t="shared" si="1"/>
        <v>18600.708370402925</v>
      </c>
    </row>
    <row r="26" spans="1:7" x14ac:dyDescent="0.25">
      <c r="A26" s="157">
        <v>42186</v>
      </c>
      <c r="B26">
        <v>22</v>
      </c>
      <c r="C26" s="156">
        <f t="shared" si="4"/>
        <v>18600.708370402925</v>
      </c>
      <c r="D26" s="162">
        <f t="shared" si="2"/>
        <v>534.63236058943744</v>
      </c>
      <c r="E26" s="156">
        <f t="shared" si="0"/>
        <v>108.50413216068374</v>
      </c>
      <c r="F26" s="162">
        <f t="shared" si="3"/>
        <v>426.12822842875369</v>
      </c>
      <c r="G26" s="156">
        <f t="shared" si="1"/>
        <v>18174.580141974169</v>
      </c>
    </row>
    <row r="27" spans="1:7" x14ac:dyDescent="0.25">
      <c r="A27" s="157">
        <v>42217</v>
      </c>
      <c r="B27">
        <v>23</v>
      </c>
      <c r="C27" s="156">
        <f t="shared" si="4"/>
        <v>18174.580141974169</v>
      </c>
      <c r="D27" s="162">
        <f t="shared" si="2"/>
        <v>534.63236058943744</v>
      </c>
      <c r="E27" s="156">
        <f t="shared" si="0"/>
        <v>106.018384161516</v>
      </c>
      <c r="F27" s="162">
        <f t="shared" si="3"/>
        <v>428.61397642792144</v>
      </c>
      <c r="G27" s="156">
        <f t="shared" si="1"/>
        <v>17745.966165546248</v>
      </c>
    </row>
    <row r="28" spans="1:7" x14ac:dyDescent="0.25">
      <c r="A28" s="157">
        <v>42248</v>
      </c>
      <c r="B28">
        <v>24</v>
      </c>
      <c r="C28" s="156">
        <f t="shared" si="4"/>
        <v>17745.966165546248</v>
      </c>
      <c r="D28" s="162">
        <f t="shared" si="2"/>
        <v>534.63236058943744</v>
      </c>
      <c r="E28" s="156">
        <f t="shared" si="0"/>
        <v>103.51813596568645</v>
      </c>
      <c r="F28" s="162">
        <f t="shared" si="3"/>
        <v>431.114224623751</v>
      </c>
      <c r="G28" s="156">
        <f t="shared" si="1"/>
        <v>17314.851940922497</v>
      </c>
    </row>
    <row r="29" spans="1:7" s="158" customFormat="1" x14ac:dyDescent="0.25">
      <c r="A29" s="159">
        <v>42278</v>
      </c>
      <c r="B29" s="158">
        <v>25</v>
      </c>
      <c r="C29" s="156">
        <f t="shared" si="4"/>
        <v>17314.851940922497</v>
      </c>
      <c r="D29" s="162">
        <f t="shared" si="2"/>
        <v>534.63236058943744</v>
      </c>
      <c r="E29" s="156">
        <f t="shared" si="0"/>
        <v>101.00330298871457</v>
      </c>
      <c r="F29" s="162">
        <f t="shared" si="3"/>
        <v>433.62905760072289</v>
      </c>
      <c r="G29" s="156">
        <f t="shared" si="1"/>
        <v>16881.222883321774</v>
      </c>
    </row>
    <row r="30" spans="1:7" x14ac:dyDescent="0.25">
      <c r="A30" s="157">
        <v>42309</v>
      </c>
      <c r="B30">
        <v>26</v>
      </c>
      <c r="C30" s="156">
        <f t="shared" si="4"/>
        <v>16881.222883321774</v>
      </c>
      <c r="D30" s="162">
        <f t="shared" si="2"/>
        <v>534.63236058943744</v>
      </c>
      <c r="E30" s="156">
        <f t="shared" si="0"/>
        <v>98.473800152710353</v>
      </c>
      <c r="F30" s="162">
        <f t="shared" si="3"/>
        <v>436.1585604367271</v>
      </c>
      <c r="G30" s="156">
        <f t="shared" si="1"/>
        <v>16445.064322885046</v>
      </c>
    </row>
    <row r="31" spans="1:7" x14ac:dyDescent="0.25">
      <c r="A31" s="157">
        <v>42339</v>
      </c>
      <c r="B31">
        <v>27</v>
      </c>
      <c r="C31" s="156">
        <f t="shared" si="4"/>
        <v>16445.064322885046</v>
      </c>
      <c r="D31" s="162">
        <f t="shared" si="2"/>
        <v>534.63236058943744</v>
      </c>
      <c r="E31" s="156">
        <f t="shared" si="0"/>
        <v>95.9295418834961</v>
      </c>
      <c r="F31" s="162">
        <f t="shared" si="3"/>
        <v>438.70281870594135</v>
      </c>
      <c r="G31" s="156">
        <f t="shared" si="1"/>
        <v>16006.361504179105</v>
      </c>
    </row>
    <row r="32" spans="1:7" x14ac:dyDescent="0.25">
      <c r="A32" s="157">
        <v>42370</v>
      </c>
      <c r="B32">
        <v>28</v>
      </c>
      <c r="C32" s="156">
        <f t="shared" si="4"/>
        <v>16006.361504179105</v>
      </c>
      <c r="D32" s="162">
        <f t="shared" si="2"/>
        <v>534.63236058943744</v>
      </c>
      <c r="E32" s="156">
        <f t="shared" si="0"/>
        <v>93.370442107711455</v>
      </c>
      <c r="F32" s="162">
        <f t="shared" si="3"/>
        <v>441.26191848172596</v>
      </c>
      <c r="G32" s="156">
        <f t="shared" si="1"/>
        <v>15565.099585697379</v>
      </c>
    </row>
    <row r="33" spans="1:7" x14ac:dyDescent="0.25">
      <c r="A33" s="157">
        <v>42401</v>
      </c>
      <c r="B33">
        <v>29</v>
      </c>
      <c r="C33" s="156">
        <f t="shared" si="4"/>
        <v>15565.099585697379</v>
      </c>
      <c r="D33" s="162">
        <f t="shared" si="2"/>
        <v>534.63236058943744</v>
      </c>
      <c r="E33" s="156">
        <f t="shared" si="0"/>
        <v>90.796414249901375</v>
      </c>
      <c r="F33" s="162">
        <f t="shared" si="3"/>
        <v>443.83594633953606</v>
      </c>
      <c r="G33" s="156">
        <f t="shared" si="1"/>
        <v>15121.263639357843</v>
      </c>
    </row>
    <row r="34" spans="1:7" x14ac:dyDescent="0.25">
      <c r="A34" s="157">
        <v>42430</v>
      </c>
      <c r="B34">
        <v>30</v>
      </c>
      <c r="C34" s="156">
        <f t="shared" si="4"/>
        <v>15121.263639357843</v>
      </c>
      <c r="D34" s="162">
        <f t="shared" si="2"/>
        <v>534.63236058943744</v>
      </c>
      <c r="E34" s="156">
        <f t="shared" si="0"/>
        <v>88.207371229587423</v>
      </c>
      <c r="F34" s="162">
        <f t="shared" si="3"/>
        <v>446.42498935985003</v>
      </c>
      <c r="G34" s="156">
        <f t="shared" si="1"/>
        <v>14674.838649997993</v>
      </c>
    </row>
    <row r="35" spans="1:7" x14ac:dyDescent="0.25">
      <c r="A35" s="157">
        <v>42461</v>
      </c>
      <c r="B35">
        <v>31</v>
      </c>
      <c r="C35" s="156">
        <f t="shared" si="4"/>
        <v>14674.838649997993</v>
      </c>
      <c r="D35" s="162">
        <f t="shared" si="2"/>
        <v>534.63236058943744</v>
      </c>
      <c r="E35" s="156">
        <f t="shared" si="0"/>
        <v>85.603225458321631</v>
      </c>
      <c r="F35" s="162">
        <f t="shared" si="3"/>
        <v>449.02913513111582</v>
      </c>
      <c r="G35" s="156">
        <f t="shared" si="1"/>
        <v>14225.809514866878</v>
      </c>
    </row>
    <row r="36" spans="1:7" x14ac:dyDescent="0.25">
      <c r="A36" s="157">
        <v>42491</v>
      </c>
      <c r="B36">
        <v>32</v>
      </c>
      <c r="C36" s="156">
        <f t="shared" si="4"/>
        <v>14225.809514866878</v>
      </c>
      <c r="D36" s="162">
        <f t="shared" si="2"/>
        <v>534.63236058943744</v>
      </c>
      <c r="E36" s="156">
        <f t="shared" si="0"/>
        <v>82.983888836723466</v>
      </c>
      <c r="F36" s="162">
        <f t="shared" si="3"/>
        <v>451.64847175271399</v>
      </c>
      <c r="G36" s="156">
        <f t="shared" si="1"/>
        <v>13774.161043114163</v>
      </c>
    </row>
    <row r="37" spans="1:7" x14ac:dyDescent="0.25">
      <c r="A37" s="157">
        <v>42522</v>
      </c>
      <c r="B37">
        <v>33</v>
      </c>
      <c r="C37" s="156">
        <f t="shared" si="4"/>
        <v>13774.161043114163</v>
      </c>
      <c r="D37" s="162">
        <f t="shared" si="2"/>
        <v>534.63236058943744</v>
      </c>
      <c r="E37" s="156">
        <f t="shared" si="0"/>
        <v>80.349272751499285</v>
      </c>
      <c r="F37" s="162">
        <f t="shared" si="3"/>
        <v>454.28308783793818</v>
      </c>
      <c r="G37" s="156">
        <f t="shared" si="1"/>
        <v>13319.877955276224</v>
      </c>
    </row>
    <row r="38" spans="1:7" x14ac:dyDescent="0.25">
      <c r="A38" s="157">
        <v>42552</v>
      </c>
      <c r="B38">
        <v>34</v>
      </c>
      <c r="C38" s="156">
        <f t="shared" si="4"/>
        <v>13319.877955276224</v>
      </c>
      <c r="D38" s="162">
        <f t="shared" si="2"/>
        <v>534.63236058943744</v>
      </c>
      <c r="E38" s="156">
        <f t="shared" si="0"/>
        <v>77.699288072444645</v>
      </c>
      <c r="F38" s="162">
        <f t="shared" si="3"/>
        <v>456.93307251699281</v>
      </c>
      <c r="G38" s="156">
        <f t="shared" si="1"/>
        <v>12862.944882759231</v>
      </c>
    </row>
    <row r="39" spans="1:7" x14ac:dyDescent="0.25">
      <c r="A39" s="157">
        <v>42583</v>
      </c>
      <c r="B39">
        <v>35</v>
      </c>
      <c r="C39" s="156">
        <f t="shared" si="4"/>
        <v>12862.944882759231</v>
      </c>
      <c r="D39" s="162">
        <f t="shared" si="2"/>
        <v>534.63236058943744</v>
      </c>
      <c r="E39" s="156">
        <f t="shared" si="0"/>
        <v>75.033845149428856</v>
      </c>
      <c r="F39" s="162">
        <f t="shared" si="3"/>
        <v>459.59851544000855</v>
      </c>
      <c r="G39" s="156">
        <f t="shared" si="1"/>
        <v>12403.346367319224</v>
      </c>
    </row>
    <row r="40" spans="1:7" x14ac:dyDescent="0.25">
      <c r="A40" s="157">
        <v>42614</v>
      </c>
      <c r="B40">
        <v>36</v>
      </c>
      <c r="C40" s="156">
        <f t="shared" si="4"/>
        <v>12403.346367319224</v>
      </c>
      <c r="D40" s="162">
        <f t="shared" si="2"/>
        <v>534.63236058943744</v>
      </c>
      <c r="E40" s="156">
        <f t="shared" si="0"/>
        <v>72.352853809362145</v>
      </c>
      <c r="F40" s="162">
        <f t="shared" si="3"/>
        <v>462.27950678007528</v>
      </c>
      <c r="G40" s="156">
        <f t="shared" si="1"/>
        <v>11941.066860539147</v>
      </c>
    </row>
    <row r="41" spans="1:7" x14ac:dyDescent="0.25">
      <c r="A41" s="157">
        <v>42644</v>
      </c>
      <c r="B41">
        <v>37</v>
      </c>
      <c r="C41" s="156">
        <f t="shared" si="4"/>
        <v>11941.066860539147</v>
      </c>
      <c r="D41" s="162">
        <f t="shared" si="2"/>
        <v>534.63236058943744</v>
      </c>
      <c r="E41" s="156">
        <f t="shared" si="0"/>
        <v>69.656223353145023</v>
      </c>
      <c r="F41" s="162">
        <f t="shared" si="3"/>
        <v>464.9761372362924</v>
      </c>
      <c r="G41" s="156">
        <f t="shared" si="1"/>
        <v>11476.090723302856</v>
      </c>
    </row>
    <row r="42" spans="1:7" x14ac:dyDescent="0.25">
      <c r="A42" s="157">
        <v>42675</v>
      </c>
      <c r="B42">
        <v>38</v>
      </c>
      <c r="C42" s="156">
        <f t="shared" si="4"/>
        <v>11476.090723302856</v>
      </c>
      <c r="D42" s="162">
        <f t="shared" si="2"/>
        <v>534.63236058943744</v>
      </c>
      <c r="E42" s="156">
        <f t="shared" si="0"/>
        <v>66.943862552599995</v>
      </c>
      <c r="F42" s="162">
        <f t="shared" si="3"/>
        <v>467.68849803683747</v>
      </c>
      <c r="G42" s="156">
        <f t="shared" si="1"/>
        <v>11008.402225266018</v>
      </c>
    </row>
    <row r="43" spans="1:7" x14ac:dyDescent="0.25">
      <c r="A43" s="157">
        <v>42705</v>
      </c>
      <c r="B43">
        <v>39</v>
      </c>
      <c r="C43" s="156">
        <f t="shared" si="4"/>
        <v>11008.402225266018</v>
      </c>
      <c r="D43" s="162">
        <f t="shared" si="2"/>
        <v>534.63236058943744</v>
      </c>
      <c r="E43" s="156">
        <f t="shared" si="0"/>
        <v>64.215679647385102</v>
      </c>
      <c r="F43" s="162">
        <f t="shared" si="3"/>
        <v>470.41668094205232</v>
      </c>
      <c r="G43" s="156">
        <f t="shared" si="1"/>
        <v>10537.985544323965</v>
      </c>
    </row>
    <row r="44" spans="1:7" x14ac:dyDescent="0.25">
      <c r="A44" s="157">
        <v>42736</v>
      </c>
      <c r="B44">
        <v>40</v>
      </c>
      <c r="C44" s="156">
        <f t="shared" si="4"/>
        <v>10537.985544323965</v>
      </c>
      <c r="D44" s="162">
        <f t="shared" si="2"/>
        <v>534.63236058943744</v>
      </c>
      <c r="E44" s="156">
        <f t="shared" si="0"/>
        <v>61.4715823418898</v>
      </c>
      <c r="F44" s="162">
        <f t="shared" si="3"/>
        <v>473.16077824754763</v>
      </c>
      <c r="G44" s="156">
        <f t="shared" si="1"/>
        <v>10064.824766076417</v>
      </c>
    </row>
    <row r="45" spans="1:7" x14ac:dyDescent="0.25">
      <c r="A45" s="157">
        <v>42767</v>
      </c>
      <c r="B45">
        <v>41</v>
      </c>
      <c r="C45" s="156">
        <f t="shared" si="4"/>
        <v>10064.824766076417</v>
      </c>
      <c r="D45" s="162">
        <f t="shared" si="2"/>
        <v>534.63236058943744</v>
      </c>
      <c r="E45" s="156">
        <f t="shared" si="0"/>
        <v>58.711477802112434</v>
      </c>
      <c r="F45" s="162">
        <f t="shared" si="3"/>
        <v>475.92088278732501</v>
      </c>
      <c r="G45" s="156">
        <f t="shared" si="1"/>
        <v>9588.9038832890928</v>
      </c>
    </row>
    <row r="46" spans="1:7" x14ac:dyDescent="0.25">
      <c r="A46" s="157">
        <v>42795</v>
      </c>
      <c r="B46">
        <v>42</v>
      </c>
      <c r="C46" s="156">
        <f t="shared" si="4"/>
        <v>9588.9038832890928</v>
      </c>
      <c r="D46" s="162">
        <f t="shared" si="2"/>
        <v>534.63236058943744</v>
      </c>
      <c r="E46" s="156">
        <f t="shared" si="0"/>
        <v>55.935272652519714</v>
      </c>
      <c r="F46" s="162">
        <f t="shared" si="3"/>
        <v>478.69708793691774</v>
      </c>
      <c r="G46" s="156">
        <f t="shared" si="1"/>
        <v>9110.2067953521746</v>
      </c>
    </row>
    <row r="47" spans="1:7" x14ac:dyDescent="0.25">
      <c r="A47" s="157">
        <v>42826</v>
      </c>
      <c r="B47">
        <v>43</v>
      </c>
      <c r="C47" s="156">
        <f t="shared" si="4"/>
        <v>9110.2067953521746</v>
      </c>
      <c r="D47" s="162">
        <f t="shared" si="2"/>
        <v>534.63236058943744</v>
      </c>
      <c r="E47" s="156">
        <f t="shared" si="0"/>
        <v>53.142872972887687</v>
      </c>
      <c r="F47" s="162">
        <f t="shared" si="3"/>
        <v>481.48948761654975</v>
      </c>
      <c r="G47" s="156">
        <f t="shared" si="1"/>
        <v>8628.7173077356256</v>
      </c>
    </row>
    <row r="48" spans="1:7" x14ac:dyDescent="0.25">
      <c r="A48" s="157">
        <v>42856</v>
      </c>
      <c r="B48">
        <v>44</v>
      </c>
      <c r="C48" s="156">
        <f t="shared" si="4"/>
        <v>8628.7173077356256</v>
      </c>
      <c r="D48" s="162">
        <f t="shared" si="2"/>
        <v>534.63236058943744</v>
      </c>
      <c r="E48" s="156">
        <f t="shared" si="0"/>
        <v>50.334184295124487</v>
      </c>
      <c r="F48" s="162">
        <f t="shared" si="3"/>
        <v>484.29817629431295</v>
      </c>
      <c r="G48" s="156">
        <f t="shared" si="1"/>
        <v>8144.4191314413129</v>
      </c>
    </row>
    <row r="49" spans="1:7" x14ac:dyDescent="0.25">
      <c r="A49" s="157">
        <v>42887</v>
      </c>
      <c r="B49">
        <v>45</v>
      </c>
      <c r="C49" s="156">
        <f t="shared" si="4"/>
        <v>8144.4191314413129</v>
      </c>
      <c r="D49" s="162">
        <f t="shared" si="2"/>
        <v>534.63236058943744</v>
      </c>
      <c r="E49" s="156">
        <f t="shared" si="0"/>
        <v>47.509111600074327</v>
      </c>
      <c r="F49" s="162">
        <f t="shared" si="3"/>
        <v>487.12324898936311</v>
      </c>
      <c r="G49" s="156">
        <f t="shared" si="1"/>
        <v>7657.2958824519501</v>
      </c>
    </row>
    <row r="50" spans="1:7" x14ac:dyDescent="0.25">
      <c r="A50" s="157">
        <v>42917</v>
      </c>
      <c r="B50">
        <v>46</v>
      </c>
      <c r="C50" s="156">
        <f t="shared" si="4"/>
        <v>7657.2958824519501</v>
      </c>
      <c r="D50" s="162">
        <f t="shared" si="2"/>
        <v>534.63236058943744</v>
      </c>
      <c r="E50" s="156">
        <f t="shared" si="0"/>
        <v>44.667559314303041</v>
      </c>
      <c r="F50" s="162">
        <f t="shared" si="3"/>
        <v>489.96480127513439</v>
      </c>
      <c r="G50" s="156">
        <f t="shared" si="1"/>
        <v>7167.331081176816</v>
      </c>
    </row>
    <row r="51" spans="1:7" x14ac:dyDescent="0.25">
      <c r="A51" s="157">
        <v>42948</v>
      </c>
      <c r="B51">
        <v>47</v>
      </c>
      <c r="C51" s="156">
        <f t="shared" si="4"/>
        <v>7167.331081176816</v>
      </c>
      <c r="D51" s="162">
        <f t="shared" si="2"/>
        <v>534.63236058943744</v>
      </c>
      <c r="E51" s="156">
        <f t="shared" si="0"/>
        <v>41.809431306864759</v>
      </c>
      <c r="F51" s="162">
        <f t="shared" si="3"/>
        <v>492.82292928257266</v>
      </c>
      <c r="G51" s="156">
        <f t="shared" si="1"/>
        <v>6674.5081518942434</v>
      </c>
    </row>
    <row r="52" spans="1:7" x14ac:dyDescent="0.25">
      <c r="A52" s="157">
        <v>42979</v>
      </c>
      <c r="B52">
        <v>48</v>
      </c>
      <c r="C52" s="156">
        <f t="shared" si="4"/>
        <v>6674.5081518942434</v>
      </c>
      <c r="D52" s="162">
        <f t="shared" si="2"/>
        <v>534.63236058943744</v>
      </c>
      <c r="E52" s="156">
        <f t="shared" si="0"/>
        <v>38.934630886049753</v>
      </c>
      <c r="F52" s="162">
        <f t="shared" si="3"/>
        <v>495.69772970338767</v>
      </c>
      <c r="G52" s="156">
        <f t="shared" si="1"/>
        <v>6178.8104221908561</v>
      </c>
    </row>
    <row r="53" spans="1:7" x14ac:dyDescent="0.25">
      <c r="A53" s="157">
        <v>43009</v>
      </c>
      <c r="B53">
        <v>49</v>
      </c>
      <c r="C53" s="156">
        <f t="shared" si="4"/>
        <v>6178.8104221908561</v>
      </c>
      <c r="D53" s="162">
        <f t="shared" si="2"/>
        <v>534.63236058943744</v>
      </c>
      <c r="E53" s="156">
        <f t="shared" si="0"/>
        <v>36.04306079611333</v>
      </c>
      <c r="F53" s="162">
        <f t="shared" si="3"/>
        <v>498.58929979332413</v>
      </c>
      <c r="G53" s="156">
        <f t="shared" si="1"/>
        <v>5680.2211223975319</v>
      </c>
    </row>
    <row r="54" spans="1:7" x14ac:dyDescent="0.25">
      <c r="A54" s="157">
        <v>43040</v>
      </c>
      <c r="B54">
        <v>50</v>
      </c>
      <c r="C54" s="156">
        <f t="shared" si="4"/>
        <v>5680.2211223975319</v>
      </c>
      <c r="D54" s="162">
        <f t="shared" si="2"/>
        <v>534.63236058943744</v>
      </c>
      <c r="E54" s="156">
        <f t="shared" si="0"/>
        <v>33.134623213985606</v>
      </c>
      <c r="F54" s="162">
        <f t="shared" si="3"/>
        <v>501.49773737545183</v>
      </c>
      <c r="G54" s="156">
        <f t="shared" si="1"/>
        <v>5178.72338502208</v>
      </c>
    </row>
    <row r="55" spans="1:7" x14ac:dyDescent="0.25">
      <c r="A55" s="157">
        <v>43070</v>
      </c>
      <c r="B55">
        <v>51</v>
      </c>
      <c r="C55" s="156">
        <f t="shared" si="4"/>
        <v>5178.72338502208</v>
      </c>
      <c r="D55" s="162">
        <f t="shared" si="2"/>
        <v>534.63236058943744</v>
      </c>
      <c r="E55" s="156">
        <f t="shared" si="0"/>
        <v>30.209219745962134</v>
      </c>
      <c r="F55" s="162">
        <f t="shared" si="3"/>
        <v>504.42314084347532</v>
      </c>
      <c r="G55" s="156">
        <f t="shared" si="1"/>
        <v>4674.3002441786048</v>
      </c>
    </row>
    <row r="56" spans="1:7" x14ac:dyDescent="0.25">
      <c r="A56" s="157">
        <v>43101</v>
      </c>
      <c r="B56">
        <v>52</v>
      </c>
      <c r="C56" s="156">
        <f t="shared" si="4"/>
        <v>4674.3002441786048</v>
      </c>
      <c r="D56" s="162">
        <f t="shared" si="2"/>
        <v>534.63236058943744</v>
      </c>
      <c r="E56" s="156">
        <f t="shared" si="0"/>
        <v>27.266751424375197</v>
      </c>
      <c r="F56" s="162">
        <f t="shared" si="3"/>
        <v>507.36560916506227</v>
      </c>
      <c r="G56" s="156">
        <f t="shared" si="1"/>
        <v>4166.9346350135429</v>
      </c>
    </row>
    <row r="57" spans="1:7" x14ac:dyDescent="0.25">
      <c r="A57" s="157">
        <v>43132</v>
      </c>
      <c r="B57">
        <v>53</v>
      </c>
      <c r="C57" s="156">
        <f t="shared" si="4"/>
        <v>4166.9346350135429</v>
      </c>
      <c r="D57" s="162">
        <f t="shared" si="2"/>
        <v>534.63236058943744</v>
      </c>
      <c r="E57" s="156">
        <f t="shared" si="0"/>
        <v>24.307118704245667</v>
      </c>
      <c r="F57" s="162">
        <f t="shared" si="3"/>
        <v>510.32524188519176</v>
      </c>
      <c r="G57" s="156">
        <f t="shared" si="1"/>
        <v>3656.6093931283513</v>
      </c>
    </row>
    <row r="58" spans="1:7" x14ac:dyDescent="0.25">
      <c r="A58" s="157">
        <v>43160</v>
      </c>
      <c r="B58">
        <v>54</v>
      </c>
      <c r="C58" s="156">
        <f t="shared" si="4"/>
        <v>3656.6093931283513</v>
      </c>
      <c r="D58" s="162">
        <f t="shared" si="2"/>
        <v>534.63236058943744</v>
      </c>
      <c r="E58" s="156">
        <f t="shared" si="0"/>
        <v>21.330221459915382</v>
      </c>
      <c r="F58" s="162">
        <f t="shared" si="3"/>
        <v>513.30213912952206</v>
      </c>
      <c r="G58" s="156">
        <f t="shared" si="1"/>
        <v>3143.3072539988293</v>
      </c>
    </row>
    <row r="59" spans="1:7" x14ac:dyDescent="0.25">
      <c r="A59" s="157">
        <v>43191</v>
      </c>
      <c r="B59">
        <v>55</v>
      </c>
      <c r="C59" s="156">
        <f t="shared" si="4"/>
        <v>3143.3072539988293</v>
      </c>
      <c r="D59" s="162">
        <f t="shared" si="2"/>
        <v>534.63236058943744</v>
      </c>
      <c r="E59" s="156">
        <f t="shared" si="0"/>
        <v>18.335958981659839</v>
      </c>
      <c r="F59" s="162">
        <f t="shared" si="3"/>
        <v>516.29640160777763</v>
      </c>
      <c r="G59" s="156">
        <f t="shared" si="1"/>
        <v>2627.0108523910517</v>
      </c>
    </row>
    <row r="60" spans="1:7" x14ac:dyDescent="0.25">
      <c r="A60" s="157">
        <v>43221</v>
      </c>
      <c r="B60">
        <v>56</v>
      </c>
      <c r="C60" s="156">
        <f t="shared" si="4"/>
        <v>2627.0108523910517</v>
      </c>
      <c r="D60" s="162">
        <f t="shared" si="2"/>
        <v>534.63236058943744</v>
      </c>
      <c r="E60" s="156">
        <f t="shared" si="0"/>
        <v>15.324229972281136</v>
      </c>
      <c r="F60" s="162">
        <f t="shared" si="3"/>
        <v>519.30813061715628</v>
      </c>
      <c r="G60" s="156">
        <f t="shared" si="1"/>
        <v>2107.7027217738955</v>
      </c>
    </row>
    <row r="61" spans="1:7" x14ac:dyDescent="0.25">
      <c r="A61" s="157">
        <v>43252</v>
      </c>
      <c r="B61">
        <v>57</v>
      </c>
      <c r="C61" s="156">
        <f t="shared" si="4"/>
        <v>2107.7027217738955</v>
      </c>
      <c r="D61" s="162">
        <f t="shared" si="2"/>
        <v>534.63236058943744</v>
      </c>
      <c r="E61" s="156">
        <f t="shared" si="0"/>
        <v>12.294932543681059</v>
      </c>
      <c r="F61" s="162">
        <f t="shared" si="3"/>
        <v>522.33742804575638</v>
      </c>
      <c r="G61" s="156">
        <f t="shared" si="1"/>
        <v>1585.365293728139</v>
      </c>
    </row>
    <row r="62" spans="1:7" x14ac:dyDescent="0.25">
      <c r="A62" s="157">
        <v>43282</v>
      </c>
      <c r="B62">
        <v>58</v>
      </c>
      <c r="C62" s="156">
        <f t="shared" si="4"/>
        <v>1585.365293728139</v>
      </c>
      <c r="D62" s="162">
        <f t="shared" si="2"/>
        <v>534.63236058943744</v>
      </c>
      <c r="E62" s="156">
        <f t="shared" si="0"/>
        <v>9.2479642134141447</v>
      </c>
      <c r="F62" s="162">
        <f t="shared" si="3"/>
        <v>525.38439637602335</v>
      </c>
      <c r="G62" s="156">
        <f t="shared" si="1"/>
        <v>1059.9808973521158</v>
      </c>
    </row>
    <row r="63" spans="1:7" x14ac:dyDescent="0.25">
      <c r="A63" s="157">
        <v>43313</v>
      </c>
      <c r="B63">
        <v>59</v>
      </c>
      <c r="C63" s="156">
        <f t="shared" si="4"/>
        <v>1059.9808973521158</v>
      </c>
      <c r="D63" s="162">
        <f t="shared" si="2"/>
        <v>534.63236058943744</v>
      </c>
      <c r="E63" s="156">
        <f t="shared" si="0"/>
        <v>6.1832219012206755</v>
      </c>
      <c r="F63" s="162">
        <f t="shared" si="3"/>
        <v>528.44913868821675</v>
      </c>
      <c r="G63" s="156">
        <f t="shared" si="1"/>
        <v>531.53175866389904</v>
      </c>
    </row>
    <row r="64" spans="1:7" x14ac:dyDescent="0.25">
      <c r="A64" s="157">
        <v>43344</v>
      </c>
      <c r="B64">
        <v>60</v>
      </c>
      <c r="C64" s="156">
        <f t="shared" si="4"/>
        <v>531.53175866389904</v>
      </c>
      <c r="D64" s="162">
        <f t="shared" si="2"/>
        <v>534.63236058943744</v>
      </c>
      <c r="E64" s="156">
        <f t="shared" si="0"/>
        <v>3.1006019255394111</v>
      </c>
      <c r="F64" s="162">
        <f t="shared" si="3"/>
        <v>531.53175866389802</v>
      </c>
      <c r="G64" s="156">
        <f t="shared" si="1"/>
        <v>1.0231815394945443E-12</v>
      </c>
    </row>
    <row r="65" spans="1:7" x14ac:dyDescent="0.25">
      <c r="A65" s="157"/>
      <c r="C65" s="156"/>
      <c r="D65" s="162"/>
      <c r="E65" s="156"/>
      <c r="F65" s="162"/>
      <c r="G65" s="15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16"/>
  <sheetViews>
    <sheetView workbookViewId="0">
      <selection activeCell="F14" sqref="F14"/>
    </sheetView>
  </sheetViews>
  <sheetFormatPr defaultRowHeight="15" x14ac:dyDescent="0.25"/>
  <cols>
    <col min="2" max="2" width="12.5703125" bestFit="1" customWidth="1"/>
    <col min="3" max="4" width="13.5703125" bestFit="1" customWidth="1"/>
    <col min="5" max="5" width="14.28515625" bestFit="1" customWidth="1"/>
  </cols>
  <sheetData>
    <row r="1" spans="1:8" x14ac:dyDescent="0.25">
      <c r="A1" s="164"/>
      <c r="B1" s="164"/>
      <c r="C1" s="164"/>
      <c r="D1" s="164"/>
      <c r="E1" s="164"/>
      <c r="F1" s="164"/>
      <c r="G1" s="164"/>
    </row>
    <row r="2" spans="1:8" x14ac:dyDescent="0.25">
      <c r="A2" s="164"/>
      <c r="B2" s="164" t="s">
        <v>288</v>
      </c>
      <c r="C2" s="164"/>
      <c r="D2" s="164"/>
      <c r="E2" s="164"/>
      <c r="F2" s="164"/>
      <c r="G2" s="164"/>
    </row>
    <row r="3" spans="1:8" x14ac:dyDescent="0.25">
      <c r="A3" s="164"/>
      <c r="B3" s="165">
        <v>9.1999999999999998E-2</v>
      </c>
      <c r="C3" s="164">
        <v>4</v>
      </c>
      <c r="D3" s="164">
        <f>(1+(B3/C3))^(C3)-1</f>
        <v>9.5222947840999606E-2</v>
      </c>
      <c r="E3" s="166"/>
      <c r="F3" s="164"/>
      <c r="G3" s="164"/>
    </row>
    <row r="4" spans="1:8" x14ac:dyDescent="0.25">
      <c r="A4" s="164"/>
      <c r="B4" s="164">
        <v>0.182</v>
      </c>
      <c r="C4" s="164">
        <v>12</v>
      </c>
      <c r="D4" s="164">
        <f>(1+(B4/C4))^(C4)-1</f>
        <v>0.1979761981595114</v>
      </c>
      <c r="E4" s="166"/>
      <c r="F4" s="164"/>
      <c r="G4" s="164"/>
      <c r="H4" t="s">
        <v>287</v>
      </c>
    </row>
    <row r="5" spans="1:8" x14ac:dyDescent="0.25">
      <c r="A5" s="164"/>
      <c r="B5" s="164">
        <v>0.14199999999999999</v>
      </c>
      <c r="C5" s="164">
        <v>365</v>
      </c>
      <c r="D5" s="164">
        <f>(1+(B5/C5))^(C5)-1</f>
        <v>0.15254482085373655</v>
      </c>
      <c r="E5" s="166"/>
      <c r="F5" s="164"/>
      <c r="G5" s="164"/>
      <c r="H5" t="s">
        <v>287</v>
      </c>
    </row>
    <row r="6" spans="1:8" x14ac:dyDescent="0.25">
      <c r="A6" s="164"/>
      <c r="B6" s="164">
        <v>0.112</v>
      </c>
      <c r="C6" s="164" t="s">
        <v>286</v>
      </c>
      <c r="D6" s="164">
        <f>EXP(B6)-1</f>
        <v>0.11851286064504518</v>
      </c>
      <c r="E6" s="166"/>
      <c r="F6" s="164"/>
      <c r="G6" s="164"/>
    </row>
    <row r="7" spans="1:8" x14ac:dyDescent="0.25">
      <c r="A7" s="164"/>
      <c r="B7" s="164"/>
      <c r="C7" s="164"/>
      <c r="D7" s="164"/>
      <c r="E7" s="164"/>
      <c r="F7" s="164"/>
      <c r="G7" s="164"/>
    </row>
    <row r="8" spans="1:8" x14ac:dyDescent="0.25">
      <c r="A8" s="164"/>
      <c r="B8" s="164"/>
      <c r="C8" s="164"/>
      <c r="D8" s="164"/>
      <c r="E8" s="164"/>
      <c r="F8" s="164"/>
      <c r="G8" s="164"/>
    </row>
    <row r="9" spans="1:8" x14ac:dyDescent="0.25">
      <c r="A9" s="158"/>
      <c r="B9" s="158" t="s">
        <v>289</v>
      </c>
      <c r="C9" s="158" t="s">
        <v>290</v>
      </c>
      <c r="D9" s="158" t="s">
        <v>294</v>
      </c>
      <c r="E9" s="158"/>
      <c r="F9" s="158"/>
      <c r="G9" s="158"/>
    </row>
    <row r="10" spans="1:8" x14ac:dyDescent="0.25">
      <c r="A10" s="158" t="s">
        <v>292</v>
      </c>
      <c r="B10" s="158">
        <v>430</v>
      </c>
      <c r="C10" s="158">
        <v>830</v>
      </c>
      <c r="D10" s="158"/>
      <c r="E10" s="158"/>
      <c r="F10" s="158"/>
      <c r="G10" s="158"/>
    </row>
    <row r="11" spans="1:8" x14ac:dyDescent="0.25">
      <c r="A11" s="158" t="s">
        <v>291</v>
      </c>
      <c r="B11" s="158">
        <v>6.3E-2</v>
      </c>
      <c r="C11" s="158">
        <v>0.10299999999999999</v>
      </c>
      <c r="D11" s="158">
        <v>7.2999999999999995E-2</v>
      </c>
      <c r="E11" s="158"/>
      <c r="F11" s="158"/>
      <c r="G11" s="158"/>
    </row>
    <row r="12" spans="1:8" x14ac:dyDescent="0.25">
      <c r="A12" s="158"/>
      <c r="B12" s="158">
        <f>B11/12</f>
        <v>5.2500000000000003E-3</v>
      </c>
      <c r="C12" s="158">
        <f>C11/12</f>
        <v>8.5833333333333334E-3</v>
      </c>
      <c r="D12" s="158">
        <f>D11/12</f>
        <v>6.083333333333333E-3</v>
      </c>
      <c r="E12" s="158"/>
      <c r="F12" s="158"/>
      <c r="G12" s="158"/>
    </row>
    <row r="13" spans="1:8" x14ac:dyDescent="0.25">
      <c r="A13" s="158" t="s">
        <v>293</v>
      </c>
      <c r="B13" s="158">
        <v>30</v>
      </c>
      <c r="C13" s="158">
        <v>30</v>
      </c>
      <c r="D13" s="158">
        <v>25</v>
      </c>
      <c r="E13" s="158"/>
      <c r="F13" s="158"/>
      <c r="G13" s="158"/>
    </row>
    <row r="14" spans="1:8" x14ac:dyDescent="0.25">
      <c r="A14" s="158" t="s">
        <v>298</v>
      </c>
      <c r="B14" s="158">
        <f>B13*$F$14</f>
        <v>360</v>
      </c>
      <c r="C14" s="158">
        <f t="shared" ref="C14:D14" si="0">C13*$F$14</f>
        <v>360</v>
      </c>
      <c r="D14" s="158">
        <f t="shared" si="0"/>
        <v>300</v>
      </c>
      <c r="E14" s="158" t="s">
        <v>299</v>
      </c>
      <c r="F14" s="158">
        <v>12</v>
      </c>
      <c r="G14" s="158"/>
    </row>
    <row r="15" spans="1:8" x14ac:dyDescent="0.25">
      <c r="A15" s="158"/>
      <c r="B15" s="163">
        <f>B10*(((1+B12)^B14-1)/B12)</f>
        <v>457579.2657191038</v>
      </c>
      <c r="C15" s="163">
        <f>C10*(((1+C12)^C14-1)/C12)</f>
        <v>2000624.9406558543</v>
      </c>
      <c r="D15" s="163">
        <f>SUM(B15:C15)</f>
        <v>2458204.2063749582</v>
      </c>
      <c r="E15" s="163">
        <f>PMT(D12,D14,-D15)</f>
        <v>17847.332023914249</v>
      </c>
      <c r="F15" s="158"/>
      <c r="G15" s="158"/>
    </row>
    <row r="16" spans="1:8" x14ac:dyDescent="0.25">
      <c r="A16" s="158" t="s">
        <v>295</v>
      </c>
      <c r="B16" s="158"/>
      <c r="C16" s="158"/>
      <c r="D16" s="158"/>
      <c r="E16" s="158"/>
      <c r="F16" s="158"/>
      <c r="G16" s="15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7"/>
  <sheetViews>
    <sheetView showGridLines="0" workbookViewId="0">
      <pane ySplit="17" topLeftCell="A18" activePane="bottomLeft" state="frozenSplit"/>
      <selection pane="bottomLeft" activeCell="D5" sqref="D5"/>
    </sheetView>
  </sheetViews>
  <sheetFormatPr defaultRowHeight="12.75" x14ac:dyDescent="0.2"/>
  <cols>
    <col min="1" max="1" width="6.28515625" style="150" customWidth="1"/>
    <col min="2" max="2" width="15.7109375" style="151" customWidth="1"/>
    <col min="3" max="3" width="21.7109375" style="151" customWidth="1"/>
    <col min="4" max="8" width="14.7109375" style="151" customWidth="1"/>
    <col min="9" max="10" width="21.7109375" style="151" customWidth="1"/>
    <col min="11" max="16384" width="9.140625" style="119"/>
  </cols>
  <sheetData>
    <row r="1" spans="1:10" ht="24" customHeight="1" x14ac:dyDescent="0.3">
      <c r="A1" s="116" t="s">
        <v>213</v>
      </c>
      <c r="B1" s="117"/>
      <c r="C1" s="117"/>
      <c r="D1" s="117"/>
      <c r="E1" s="118"/>
      <c r="F1" s="118"/>
      <c r="G1" s="118"/>
      <c r="H1" s="118"/>
      <c r="I1" s="118"/>
      <c r="J1" s="118"/>
    </row>
    <row r="2" spans="1:10" ht="3" customHeight="1" x14ac:dyDescent="0.2">
      <c r="A2" s="120"/>
      <c r="B2" s="121"/>
      <c r="C2" s="121"/>
      <c r="D2" s="121"/>
      <c r="E2" s="121"/>
      <c r="F2" s="121"/>
      <c r="G2" s="121"/>
      <c r="H2" s="121"/>
      <c r="I2" s="121"/>
      <c r="J2" s="121"/>
    </row>
    <row r="3" spans="1:10" ht="20.25" customHeight="1" x14ac:dyDescent="0.2">
      <c r="A3" s="118"/>
      <c r="B3" s="122"/>
      <c r="C3" s="122"/>
      <c r="D3" s="122"/>
      <c r="E3" s="122"/>
      <c r="F3" s="122"/>
      <c r="G3" s="122"/>
      <c r="H3" s="122"/>
      <c r="I3" s="122"/>
      <c r="J3" s="122"/>
    </row>
    <row r="4" spans="1:10" ht="14.25" customHeight="1" x14ac:dyDescent="0.2">
      <c r="A4" s="118"/>
      <c r="B4" s="181" t="s">
        <v>214</v>
      </c>
      <c r="C4" s="182"/>
      <c r="D4" s="183"/>
      <c r="E4" s="118"/>
      <c r="F4" s="119"/>
      <c r="G4" s="119"/>
      <c r="H4" s="181" t="s">
        <v>215</v>
      </c>
      <c r="I4" s="182"/>
      <c r="J4" s="183"/>
    </row>
    <row r="5" spans="1:10" x14ac:dyDescent="0.2">
      <c r="A5" s="118"/>
      <c r="B5" s="123"/>
      <c r="C5" s="124" t="s">
        <v>216</v>
      </c>
      <c r="D5" s="125">
        <v>250000</v>
      </c>
      <c r="E5" s="118"/>
      <c r="F5" s="119"/>
      <c r="G5" s="119"/>
      <c r="H5" s="123"/>
      <c r="I5" s="124" t="s">
        <v>217</v>
      </c>
      <c r="J5" s="126">
        <f>IF(Values_Entered,-PMT(Interest_Rate/Num_Pmt_Per_Year,Loan_Years*Num_Pmt_Per_Year,Loan_Amount),"")</f>
        <v>1200.75587806059</v>
      </c>
    </row>
    <row r="6" spans="1:10" x14ac:dyDescent="0.2">
      <c r="A6" s="118"/>
      <c r="B6" s="123"/>
      <c r="C6" s="124" t="s">
        <v>218</v>
      </c>
      <c r="D6" s="127">
        <v>4.0500000000000001E-2</v>
      </c>
      <c r="E6" s="118"/>
      <c r="F6" s="119"/>
      <c r="G6" s="119"/>
      <c r="H6" s="123"/>
      <c r="I6" s="124" t="s">
        <v>219</v>
      </c>
      <c r="J6" s="128">
        <f>IF(Values_Entered,Loan_Years*Num_Pmt_Per_Year,"")</f>
        <v>360</v>
      </c>
    </row>
    <row r="7" spans="1:10" x14ac:dyDescent="0.2">
      <c r="A7" s="118"/>
      <c r="B7" s="123"/>
      <c r="C7" s="124" t="s">
        <v>220</v>
      </c>
      <c r="D7" s="129">
        <v>30</v>
      </c>
      <c r="E7" s="118"/>
      <c r="F7" s="119"/>
      <c r="G7" s="119"/>
      <c r="H7" s="123"/>
      <c r="I7" s="124" t="s">
        <v>221</v>
      </c>
      <c r="J7" s="128">
        <f>IF(Values_Entered,Number_of_Payments,"")</f>
        <v>360</v>
      </c>
    </row>
    <row r="8" spans="1:10" x14ac:dyDescent="0.2">
      <c r="A8" s="118"/>
      <c r="B8" s="123"/>
      <c r="C8" s="124" t="s">
        <v>222</v>
      </c>
      <c r="D8" s="129">
        <v>12</v>
      </c>
      <c r="E8" s="118"/>
      <c r="F8" s="119"/>
      <c r="G8" s="119"/>
      <c r="H8" s="123"/>
      <c r="I8" s="124" t="s">
        <v>223</v>
      </c>
      <c r="J8" s="126">
        <f>IF(Values_Entered,SUMIF(Beg_Bal,"&gt;0",Extra_Pay),"")</f>
        <v>0</v>
      </c>
    </row>
    <row r="9" spans="1:10" x14ac:dyDescent="0.2">
      <c r="A9" s="118"/>
      <c r="B9" s="123"/>
      <c r="C9" s="124" t="s">
        <v>224</v>
      </c>
      <c r="D9" s="130">
        <v>42309</v>
      </c>
      <c r="E9" s="118"/>
      <c r="F9" s="119"/>
      <c r="G9" s="119"/>
      <c r="H9" s="131"/>
      <c r="I9" s="132" t="s">
        <v>225</v>
      </c>
      <c r="J9" s="126">
        <f>IF(Values_Entered,SUMIF(Beg_Bal,"&gt;0",Int),"")</f>
        <v>182272.11610181231</v>
      </c>
    </row>
    <row r="10" spans="1:10" x14ac:dyDescent="0.2">
      <c r="A10" s="118"/>
      <c r="B10" s="131"/>
      <c r="C10" s="132" t="s">
        <v>226</v>
      </c>
      <c r="D10" s="125"/>
      <c r="E10" s="118"/>
      <c r="F10" s="122"/>
      <c r="G10" s="122"/>
      <c r="H10" s="122"/>
      <c r="I10" s="122"/>
      <c r="J10" s="133"/>
    </row>
    <row r="11" spans="1:10" x14ac:dyDescent="0.2">
      <c r="A11" s="118"/>
      <c r="B11" s="122"/>
      <c r="C11" s="122"/>
      <c r="D11" s="122"/>
      <c r="E11" s="122"/>
      <c r="F11" s="122"/>
      <c r="G11" s="122"/>
      <c r="H11" s="122"/>
      <c r="I11" s="122"/>
      <c r="J11" s="122"/>
    </row>
    <row r="12" spans="1:10" x14ac:dyDescent="0.2">
      <c r="A12" s="118"/>
      <c r="B12" s="134" t="s">
        <v>227</v>
      </c>
      <c r="C12" s="179"/>
      <c r="D12" s="180"/>
      <c r="E12" s="135"/>
      <c r="F12" s="122"/>
      <c r="G12" s="122"/>
      <c r="H12" s="122"/>
      <c r="I12" s="122"/>
      <c r="J12" s="122"/>
    </row>
    <row r="13" spans="1:10" x14ac:dyDescent="0.2">
      <c r="A13" s="118"/>
      <c r="B13" s="134"/>
      <c r="C13" s="136"/>
      <c r="D13" s="136"/>
      <c r="E13" s="122"/>
      <c r="F13" s="122"/>
      <c r="G13" s="122"/>
      <c r="H13" s="122"/>
      <c r="I13" s="122"/>
      <c r="J13" s="122"/>
    </row>
    <row r="14" spans="1:10" ht="6" customHeight="1" x14ac:dyDescent="0.2">
      <c r="A14" s="120"/>
      <c r="B14" s="121"/>
      <c r="C14" s="121"/>
      <c r="D14" s="121"/>
      <c r="E14" s="121"/>
      <c r="F14" s="121"/>
      <c r="G14" s="121"/>
      <c r="H14" s="121"/>
      <c r="I14" s="121"/>
      <c r="J14" s="121"/>
    </row>
    <row r="15" spans="1:10" ht="3.75" customHeight="1" x14ac:dyDescent="0.25">
      <c r="A15" s="137"/>
      <c r="B15" s="138"/>
      <c r="C15" s="138"/>
      <c r="D15" s="138"/>
      <c r="E15" s="138"/>
      <c r="F15" s="138"/>
      <c r="G15" s="138"/>
      <c r="H15" s="138"/>
      <c r="I15" s="138"/>
      <c r="J15" s="138"/>
    </row>
    <row r="16" spans="1:10" s="142" customFormat="1" ht="25.5" x14ac:dyDescent="0.2">
      <c r="A16" s="139" t="s">
        <v>228</v>
      </c>
      <c r="B16" s="140" t="s">
        <v>229</v>
      </c>
      <c r="C16" s="140" t="s">
        <v>230</v>
      </c>
      <c r="D16" s="140" t="s">
        <v>231</v>
      </c>
      <c r="E16" s="140" t="s">
        <v>232</v>
      </c>
      <c r="F16" s="140" t="s">
        <v>233</v>
      </c>
      <c r="G16" s="140" t="s">
        <v>234</v>
      </c>
      <c r="H16" s="140" t="s">
        <v>235</v>
      </c>
      <c r="I16" s="140" t="s">
        <v>236</v>
      </c>
      <c r="J16" s="141" t="s">
        <v>237</v>
      </c>
    </row>
    <row r="17" spans="1:10" s="142" customFormat="1" ht="6" customHeight="1" x14ac:dyDescent="0.25">
      <c r="A17" s="143"/>
      <c r="B17" s="144"/>
      <c r="C17" s="144"/>
      <c r="D17" s="144"/>
      <c r="E17" s="144"/>
      <c r="F17" s="144"/>
      <c r="G17" s="144"/>
      <c r="H17" s="144"/>
      <c r="I17" s="144"/>
      <c r="J17" s="145"/>
    </row>
    <row r="18" spans="1:10" s="142" customFormat="1" x14ac:dyDescent="0.2">
      <c r="A18" s="146">
        <f>IF(Values_Entered,1,"")</f>
        <v>1</v>
      </c>
      <c r="B18" s="147">
        <f t="shared" ref="B18:B81" si="0">IF(Pay_Num&lt;&gt;"",DATE(YEAR(Loan_Start),MONTH(Loan_Start)+(Pay_Num)*12/Num_Pmt_Per_Year,DAY(Loan_Start)),"")</f>
        <v>42339</v>
      </c>
      <c r="C18" s="148">
        <f>IF(Values_Entered,Loan_Amount,"")</f>
        <v>250000</v>
      </c>
      <c r="D18" s="148">
        <f t="shared" ref="D18:D81" si="1">IF(Pay_Num&lt;&gt;"",Scheduled_Monthly_Payment,"")</f>
        <v>1200.75587806059</v>
      </c>
      <c r="E18" s="149">
        <f t="shared" ref="E18:E81" si="2">IF(AND(Pay_Num&lt;&gt;"",Sched_Pay+Scheduled_Extra_Payments&lt;Beg_Bal),Scheduled_Extra_Payments,IF(AND(Pay_Num&lt;&gt;"",Beg_Bal-Sched_Pay&gt;0),Beg_Bal-Sched_Pay,IF(Pay_Num&lt;&gt;"",0,"")))</f>
        <v>0</v>
      </c>
      <c r="F18" s="148">
        <f t="shared" ref="F18:F81" si="3">IF(AND(Pay_Num&lt;&gt;"",Sched_Pay+Extra_Pay&lt;Beg_Bal),Sched_Pay+Extra_Pay,IF(Pay_Num&lt;&gt;"",Beg_Bal,""))</f>
        <v>1200.75587806059</v>
      </c>
      <c r="G18" s="148">
        <f t="shared" ref="G18:G81" si="4">IF(Pay_Num&lt;&gt;"",Total_Pay-Int,"")</f>
        <v>357.00587806059002</v>
      </c>
      <c r="H18" s="148">
        <f>IF(Pay_Num&lt;&gt;"",Beg_Bal*(Interest_Rate/Num_Pmt_Per_Year),"")</f>
        <v>843.75</v>
      </c>
      <c r="I18" s="148">
        <f t="shared" ref="I18:I81" si="5">IF(AND(Pay_Num&lt;&gt;"",Sched_Pay+Extra_Pay&lt;Beg_Bal),Beg_Bal-Princ,IF(Pay_Num&lt;&gt;"",0,""))</f>
        <v>249642.99412193941</v>
      </c>
      <c r="J18" s="148">
        <f>SUM($H$18:$H18)</f>
        <v>843.75</v>
      </c>
    </row>
    <row r="19" spans="1:10" s="142" customFormat="1" ht="12.75" customHeight="1" x14ac:dyDescent="0.2">
      <c r="A19" s="146">
        <f>IF(Values_Entered,A18+1,"")</f>
        <v>2</v>
      </c>
      <c r="B19" s="147">
        <f t="shared" si="0"/>
        <v>42370</v>
      </c>
      <c r="C19" s="148">
        <f t="shared" ref="C19:C82" si="6">IF(Pay_Num&lt;&gt;"",I18,"")</f>
        <v>249642.99412193941</v>
      </c>
      <c r="D19" s="148">
        <f t="shared" si="1"/>
        <v>1200.75587806059</v>
      </c>
      <c r="E19" s="149">
        <f t="shared" si="2"/>
        <v>0</v>
      </c>
      <c r="F19" s="148">
        <f t="shared" si="3"/>
        <v>1200.75587806059</v>
      </c>
      <c r="G19" s="148">
        <f t="shared" si="4"/>
        <v>358.21077289904451</v>
      </c>
      <c r="H19" s="148">
        <f t="shared" ref="H19:H82" si="7">IF(Pay_Num&lt;&gt;"",Beg_Bal*Interest_Rate/Num_Pmt_Per_Year,"")</f>
        <v>842.54510516154551</v>
      </c>
      <c r="I19" s="148">
        <f t="shared" si="5"/>
        <v>249284.78334904037</v>
      </c>
      <c r="J19" s="148">
        <f>SUM($H$18:$H19)</f>
        <v>1686.2951051615455</v>
      </c>
    </row>
    <row r="20" spans="1:10" s="142" customFormat="1" ht="12.75" customHeight="1" x14ac:dyDescent="0.2">
      <c r="A20" s="146">
        <f>IF(Values_Entered,A19+1,"")</f>
        <v>3</v>
      </c>
      <c r="B20" s="147">
        <f t="shared" si="0"/>
        <v>42401</v>
      </c>
      <c r="C20" s="148">
        <f t="shared" si="6"/>
        <v>249284.78334904037</v>
      </c>
      <c r="D20" s="148">
        <f t="shared" si="1"/>
        <v>1200.75587806059</v>
      </c>
      <c r="E20" s="149">
        <f t="shared" si="2"/>
        <v>0</v>
      </c>
      <c r="F20" s="148">
        <f t="shared" si="3"/>
        <v>1200.75587806059</v>
      </c>
      <c r="G20" s="148">
        <f t="shared" si="4"/>
        <v>359.41973425757885</v>
      </c>
      <c r="H20" s="148">
        <f t="shared" si="7"/>
        <v>841.33614380301117</v>
      </c>
      <c r="I20" s="148">
        <f t="shared" si="5"/>
        <v>248925.36361478281</v>
      </c>
      <c r="J20" s="148">
        <f>SUM($H$18:$H20)</f>
        <v>2527.6312489645566</v>
      </c>
    </row>
    <row r="21" spans="1:10" s="142" customFormat="1" x14ac:dyDescent="0.2">
      <c r="A21" s="146">
        <f>IF(Values_Entered,A20+1,"")</f>
        <v>4</v>
      </c>
      <c r="B21" s="147">
        <f t="shared" si="0"/>
        <v>42430</v>
      </c>
      <c r="C21" s="148">
        <f t="shared" si="6"/>
        <v>248925.36361478281</v>
      </c>
      <c r="D21" s="148">
        <f t="shared" si="1"/>
        <v>1200.75587806059</v>
      </c>
      <c r="E21" s="149">
        <f t="shared" si="2"/>
        <v>0</v>
      </c>
      <c r="F21" s="148">
        <f t="shared" si="3"/>
        <v>1200.75587806059</v>
      </c>
      <c r="G21" s="148">
        <f t="shared" si="4"/>
        <v>360.63277586069808</v>
      </c>
      <c r="H21" s="148">
        <f t="shared" si="7"/>
        <v>840.12310219989195</v>
      </c>
      <c r="I21" s="148">
        <f t="shared" si="5"/>
        <v>248564.73083892211</v>
      </c>
      <c r="J21" s="148">
        <f>SUM($H$18:$H21)</f>
        <v>3367.7543511644485</v>
      </c>
    </row>
    <row r="22" spans="1:10" s="142" customFormat="1" x14ac:dyDescent="0.2">
      <c r="A22" s="146">
        <f>IF(Values_Entered,A21+1,"")</f>
        <v>5</v>
      </c>
      <c r="B22" s="147">
        <f t="shared" si="0"/>
        <v>42461</v>
      </c>
      <c r="C22" s="148">
        <f t="shared" si="6"/>
        <v>248564.73083892211</v>
      </c>
      <c r="D22" s="148">
        <f t="shared" si="1"/>
        <v>1200.75587806059</v>
      </c>
      <c r="E22" s="149">
        <f t="shared" si="2"/>
        <v>0</v>
      </c>
      <c r="F22" s="148">
        <f t="shared" si="3"/>
        <v>1200.75587806059</v>
      </c>
      <c r="G22" s="148">
        <f t="shared" si="4"/>
        <v>361.8499114792279</v>
      </c>
      <c r="H22" s="148">
        <f t="shared" si="7"/>
        <v>838.90596658136212</v>
      </c>
      <c r="I22" s="148">
        <f t="shared" si="5"/>
        <v>248202.88092744289</v>
      </c>
      <c r="J22" s="148">
        <f>SUM($H$18:$H22)</f>
        <v>4206.660317745811</v>
      </c>
    </row>
    <row r="23" spans="1:10" x14ac:dyDescent="0.2">
      <c r="A23" s="146">
        <f>IF(Values_Entered,A22+1,"")</f>
        <v>6</v>
      </c>
      <c r="B23" s="147">
        <f t="shared" si="0"/>
        <v>42491</v>
      </c>
      <c r="C23" s="148">
        <f t="shared" si="6"/>
        <v>248202.88092744289</v>
      </c>
      <c r="D23" s="148">
        <f t="shared" si="1"/>
        <v>1200.75587806059</v>
      </c>
      <c r="E23" s="149">
        <f t="shared" si="2"/>
        <v>0</v>
      </c>
      <c r="F23" s="148">
        <f t="shared" si="3"/>
        <v>1200.75587806059</v>
      </c>
      <c r="G23" s="148">
        <f t="shared" si="4"/>
        <v>363.07115493047024</v>
      </c>
      <c r="H23" s="148">
        <f t="shared" si="7"/>
        <v>837.68472313011978</v>
      </c>
      <c r="I23" s="148">
        <f t="shared" si="5"/>
        <v>247839.80977251241</v>
      </c>
      <c r="J23" s="148">
        <f>SUM($H$18:$H23)</f>
        <v>5044.3450408759309</v>
      </c>
    </row>
    <row r="24" spans="1:10" x14ac:dyDescent="0.2">
      <c r="A24" s="146">
        <f>IF(Values_Entered,A23+1,"")</f>
        <v>7</v>
      </c>
      <c r="B24" s="147">
        <f t="shared" si="0"/>
        <v>42522</v>
      </c>
      <c r="C24" s="148">
        <f t="shared" si="6"/>
        <v>247839.80977251241</v>
      </c>
      <c r="D24" s="148">
        <f t="shared" si="1"/>
        <v>1200.75587806059</v>
      </c>
      <c r="E24" s="149">
        <f t="shared" si="2"/>
        <v>0</v>
      </c>
      <c r="F24" s="148">
        <f t="shared" si="3"/>
        <v>1200.75587806059</v>
      </c>
      <c r="G24" s="148">
        <f t="shared" si="4"/>
        <v>364.29652007836057</v>
      </c>
      <c r="H24" s="148">
        <f t="shared" si="7"/>
        <v>836.45935798222945</v>
      </c>
      <c r="I24" s="148">
        <f t="shared" si="5"/>
        <v>247475.51325243406</v>
      </c>
      <c r="J24" s="148">
        <f>SUM($H$18:$H24)</f>
        <v>5880.8043988581603</v>
      </c>
    </row>
    <row r="25" spans="1:10" x14ac:dyDescent="0.2">
      <c r="A25" s="146">
        <f>IF(Values_Entered,A24+1,"")</f>
        <v>8</v>
      </c>
      <c r="B25" s="147">
        <f t="shared" si="0"/>
        <v>42552</v>
      </c>
      <c r="C25" s="148">
        <f t="shared" si="6"/>
        <v>247475.51325243406</v>
      </c>
      <c r="D25" s="148">
        <f t="shared" si="1"/>
        <v>1200.75587806059</v>
      </c>
      <c r="E25" s="149">
        <f t="shared" si="2"/>
        <v>0</v>
      </c>
      <c r="F25" s="148">
        <f t="shared" si="3"/>
        <v>1200.75587806059</v>
      </c>
      <c r="G25" s="148">
        <f t="shared" si="4"/>
        <v>365.52602083362501</v>
      </c>
      <c r="H25" s="148">
        <f t="shared" si="7"/>
        <v>835.22985722696501</v>
      </c>
      <c r="I25" s="148">
        <f t="shared" si="5"/>
        <v>247109.98723160045</v>
      </c>
      <c r="J25" s="148">
        <f>SUM($H$18:$H25)</f>
        <v>6716.034256085125</v>
      </c>
    </row>
    <row r="26" spans="1:10" x14ac:dyDescent="0.2">
      <c r="A26" s="146">
        <f>IF(Values_Entered,A25+1,"")</f>
        <v>9</v>
      </c>
      <c r="B26" s="147">
        <f t="shared" si="0"/>
        <v>42583</v>
      </c>
      <c r="C26" s="148">
        <f t="shared" si="6"/>
        <v>247109.98723160045</v>
      </c>
      <c r="D26" s="148">
        <f t="shared" si="1"/>
        <v>1200.75587806059</v>
      </c>
      <c r="E26" s="149">
        <f t="shared" si="2"/>
        <v>0</v>
      </c>
      <c r="F26" s="148">
        <f t="shared" si="3"/>
        <v>1200.75587806059</v>
      </c>
      <c r="G26" s="148">
        <f t="shared" si="4"/>
        <v>366.75967115393848</v>
      </c>
      <c r="H26" s="148">
        <f t="shared" si="7"/>
        <v>833.99620690665154</v>
      </c>
      <c r="I26" s="148">
        <f t="shared" si="5"/>
        <v>246743.22756044651</v>
      </c>
      <c r="J26" s="148">
        <f>SUM($H$18:$H26)</f>
        <v>7550.0304629917764</v>
      </c>
    </row>
    <row r="27" spans="1:10" x14ac:dyDescent="0.2">
      <c r="A27" s="146">
        <f>IF(Values_Entered,A26+1,"")</f>
        <v>10</v>
      </c>
      <c r="B27" s="147">
        <f t="shared" si="0"/>
        <v>42614</v>
      </c>
      <c r="C27" s="148">
        <f t="shared" si="6"/>
        <v>246743.22756044651</v>
      </c>
      <c r="D27" s="148">
        <f t="shared" si="1"/>
        <v>1200.75587806059</v>
      </c>
      <c r="E27" s="149">
        <f t="shared" si="2"/>
        <v>0</v>
      </c>
      <c r="F27" s="148">
        <f t="shared" si="3"/>
        <v>1200.75587806059</v>
      </c>
      <c r="G27" s="148">
        <f t="shared" si="4"/>
        <v>367.99748504408308</v>
      </c>
      <c r="H27" s="148">
        <f t="shared" si="7"/>
        <v>832.75839301650694</v>
      </c>
      <c r="I27" s="148">
        <f t="shared" si="5"/>
        <v>246375.23007540242</v>
      </c>
      <c r="J27" s="148">
        <f>SUM($H$18:$H27)</f>
        <v>8382.7888560082829</v>
      </c>
    </row>
    <row r="28" spans="1:10" x14ac:dyDescent="0.2">
      <c r="A28" s="146">
        <f>IF(Values_Entered,A27+1,"")</f>
        <v>11</v>
      </c>
      <c r="B28" s="147">
        <f t="shared" si="0"/>
        <v>42644</v>
      </c>
      <c r="C28" s="148">
        <f t="shared" si="6"/>
        <v>246375.23007540242</v>
      </c>
      <c r="D28" s="148">
        <f t="shared" si="1"/>
        <v>1200.75587806059</v>
      </c>
      <c r="E28" s="149">
        <f t="shared" si="2"/>
        <v>0</v>
      </c>
      <c r="F28" s="148">
        <f t="shared" si="3"/>
        <v>1200.75587806059</v>
      </c>
      <c r="G28" s="148">
        <f t="shared" si="4"/>
        <v>369.23947655610675</v>
      </c>
      <c r="H28" s="148">
        <f t="shared" si="7"/>
        <v>831.51640150448327</v>
      </c>
      <c r="I28" s="148">
        <f t="shared" si="5"/>
        <v>246005.99059884631</v>
      </c>
      <c r="J28" s="148">
        <f>SUM($H$18:$H28)</f>
        <v>9214.3052575127658</v>
      </c>
    </row>
    <row r="29" spans="1:10" x14ac:dyDescent="0.2">
      <c r="A29" s="146">
        <f>IF(Values_Entered,A28+1,"")</f>
        <v>12</v>
      </c>
      <c r="B29" s="147">
        <f t="shared" si="0"/>
        <v>42675</v>
      </c>
      <c r="C29" s="148">
        <f t="shared" si="6"/>
        <v>246005.99059884631</v>
      </c>
      <c r="D29" s="148">
        <f t="shared" si="1"/>
        <v>1200.75587806059</v>
      </c>
      <c r="E29" s="149">
        <f t="shared" si="2"/>
        <v>0</v>
      </c>
      <c r="F29" s="148">
        <f t="shared" si="3"/>
        <v>1200.75587806059</v>
      </c>
      <c r="G29" s="148">
        <f t="shared" si="4"/>
        <v>370.48565978948363</v>
      </c>
      <c r="H29" s="148">
        <f t="shared" si="7"/>
        <v>830.27021827110639</v>
      </c>
      <c r="I29" s="148">
        <f t="shared" si="5"/>
        <v>245635.50493905682</v>
      </c>
      <c r="J29" s="148">
        <f>SUM($H$18:$H29)</f>
        <v>10044.575475783873</v>
      </c>
    </row>
    <row r="30" spans="1:10" x14ac:dyDescent="0.2">
      <c r="A30" s="146">
        <f>IF(Values_Entered,A29+1,"")</f>
        <v>13</v>
      </c>
      <c r="B30" s="147">
        <f t="shared" si="0"/>
        <v>42705</v>
      </c>
      <c r="C30" s="148">
        <f t="shared" si="6"/>
        <v>245635.50493905682</v>
      </c>
      <c r="D30" s="148">
        <f t="shared" si="1"/>
        <v>1200.75587806059</v>
      </c>
      <c r="E30" s="149">
        <f t="shared" si="2"/>
        <v>0</v>
      </c>
      <c r="F30" s="148">
        <f t="shared" si="3"/>
        <v>1200.75587806059</v>
      </c>
      <c r="G30" s="148">
        <f t="shared" si="4"/>
        <v>371.73604889127319</v>
      </c>
      <c r="H30" s="148">
        <f t="shared" si="7"/>
        <v>829.01982916931684</v>
      </c>
      <c r="I30" s="148">
        <f t="shared" si="5"/>
        <v>245263.76889016555</v>
      </c>
      <c r="J30" s="148">
        <f>SUM($H$18:$H30)</f>
        <v>10873.595304953189</v>
      </c>
    </row>
    <row r="31" spans="1:10" x14ac:dyDescent="0.2">
      <c r="A31" s="146">
        <f>IF(Values_Entered,A30+1,"")</f>
        <v>14</v>
      </c>
      <c r="B31" s="147">
        <f t="shared" si="0"/>
        <v>42736</v>
      </c>
      <c r="C31" s="148">
        <f t="shared" si="6"/>
        <v>245263.76889016555</v>
      </c>
      <c r="D31" s="148">
        <f t="shared" si="1"/>
        <v>1200.75587806059</v>
      </c>
      <c r="E31" s="149">
        <f t="shared" si="2"/>
        <v>0</v>
      </c>
      <c r="F31" s="148">
        <f t="shared" si="3"/>
        <v>1200.75587806059</v>
      </c>
      <c r="G31" s="148">
        <f t="shared" si="4"/>
        <v>372.99065805628118</v>
      </c>
      <c r="H31" s="148">
        <f t="shared" si="7"/>
        <v>827.76522000430884</v>
      </c>
      <c r="I31" s="148">
        <f t="shared" si="5"/>
        <v>244890.77823210927</v>
      </c>
      <c r="J31" s="148">
        <f>SUM($H$18:$H31)</f>
        <v>11701.360524957498</v>
      </c>
    </row>
    <row r="32" spans="1:10" x14ac:dyDescent="0.2">
      <c r="A32" s="146">
        <f>IF(Values_Entered,A31+1,"")</f>
        <v>15</v>
      </c>
      <c r="B32" s="147">
        <f t="shared" si="0"/>
        <v>42767</v>
      </c>
      <c r="C32" s="148">
        <f t="shared" si="6"/>
        <v>244890.77823210927</v>
      </c>
      <c r="D32" s="148">
        <f t="shared" si="1"/>
        <v>1200.75587806059</v>
      </c>
      <c r="E32" s="149">
        <f t="shared" si="2"/>
        <v>0</v>
      </c>
      <c r="F32" s="148">
        <f t="shared" si="3"/>
        <v>1200.75587806059</v>
      </c>
      <c r="G32" s="148">
        <f t="shared" si="4"/>
        <v>374.24950152722124</v>
      </c>
      <c r="H32" s="148">
        <f t="shared" si="7"/>
        <v>826.50637653336878</v>
      </c>
      <c r="I32" s="148">
        <f t="shared" si="5"/>
        <v>244516.52873058204</v>
      </c>
      <c r="J32" s="148">
        <f>SUM($H$18:$H32)</f>
        <v>12527.866901490866</v>
      </c>
    </row>
    <row r="33" spans="1:10" x14ac:dyDescent="0.2">
      <c r="A33" s="146">
        <f>IF(Values_Entered,A32+1,"")</f>
        <v>16</v>
      </c>
      <c r="B33" s="147">
        <f t="shared" si="0"/>
        <v>42795</v>
      </c>
      <c r="C33" s="148">
        <f t="shared" si="6"/>
        <v>244516.52873058204</v>
      </c>
      <c r="D33" s="148">
        <f t="shared" si="1"/>
        <v>1200.75587806059</v>
      </c>
      <c r="E33" s="149">
        <f t="shared" si="2"/>
        <v>0</v>
      </c>
      <c r="F33" s="148">
        <f t="shared" si="3"/>
        <v>1200.75587806059</v>
      </c>
      <c r="G33" s="148">
        <f t="shared" si="4"/>
        <v>375.51259359487551</v>
      </c>
      <c r="H33" s="148">
        <f t="shared" si="7"/>
        <v>825.24328446571451</v>
      </c>
      <c r="I33" s="148">
        <f t="shared" si="5"/>
        <v>244141.01613698716</v>
      </c>
      <c r="J33" s="148">
        <f>SUM($H$18:$H33)</f>
        <v>13353.110185956581</v>
      </c>
    </row>
    <row r="34" spans="1:10" x14ac:dyDescent="0.2">
      <c r="A34" s="146">
        <f>IF(Values_Entered,A33+1,"")</f>
        <v>17</v>
      </c>
      <c r="B34" s="147">
        <f t="shared" si="0"/>
        <v>42826</v>
      </c>
      <c r="C34" s="148">
        <f t="shared" si="6"/>
        <v>244141.01613698716</v>
      </c>
      <c r="D34" s="148">
        <f t="shared" si="1"/>
        <v>1200.75587806059</v>
      </c>
      <c r="E34" s="149">
        <f t="shared" si="2"/>
        <v>0</v>
      </c>
      <c r="F34" s="148">
        <f t="shared" si="3"/>
        <v>1200.75587806059</v>
      </c>
      <c r="G34" s="148">
        <f t="shared" si="4"/>
        <v>376.77994859825833</v>
      </c>
      <c r="H34" s="148">
        <f t="shared" si="7"/>
        <v>823.97592946233169</v>
      </c>
      <c r="I34" s="148">
        <f t="shared" si="5"/>
        <v>243764.2361883889</v>
      </c>
      <c r="J34" s="148">
        <f>SUM($H$18:$H34)</f>
        <v>14177.086115418912</v>
      </c>
    </row>
    <row r="35" spans="1:10" x14ac:dyDescent="0.2">
      <c r="A35" s="146">
        <f>IF(Values_Entered,A34+1,"")</f>
        <v>18</v>
      </c>
      <c r="B35" s="147">
        <f t="shared" si="0"/>
        <v>42856</v>
      </c>
      <c r="C35" s="148">
        <f t="shared" si="6"/>
        <v>243764.2361883889</v>
      </c>
      <c r="D35" s="148">
        <f t="shared" si="1"/>
        <v>1200.75587806059</v>
      </c>
      <c r="E35" s="149">
        <f t="shared" si="2"/>
        <v>0</v>
      </c>
      <c r="F35" s="148">
        <f t="shared" si="3"/>
        <v>1200.75587806059</v>
      </c>
      <c r="G35" s="148">
        <f t="shared" si="4"/>
        <v>378.05158092477757</v>
      </c>
      <c r="H35" s="148">
        <f t="shared" si="7"/>
        <v>822.70429713581245</v>
      </c>
      <c r="I35" s="148">
        <f t="shared" si="5"/>
        <v>243386.18460746412</v>
      </c>
      <c r="J35" s="148">
        <f>SUM($H$18:$H35)</f>
        <v>14999.790412554725</v>
      </c>
    </row>
    <row r="36" spans="1:10" x14ac:dyDescent="0.2">
      <c r="A36" s="146">
        <f>IF(Values_Entered,A35+1,"")</f>
        <v>19</v>
      </c>
      <c r="B36" s="147">
        <f t="shared" si="0"/>
        <v>42887</v>
      </c>
      <c r="C36" s="148">
        <f t="shared" si="6"/>
        <v>243386.18460746412</v>
      </c>
      <c r="D36" s="148">
        <f t="shared" si="1"/>
        <v>1200.75587806059</v>
      </c>
      <c r="E36" s="149">
        <f t="shared" si="2"/>
        <v>0</v>
      </c>
      <c r="F36" s="148">
        <f t="shared" si="3"/>
        <v>1200.75587806059</v>
      </c>
      <c r="G36" s="148">
        <f t="shared" si="4"/>
        <v>379.32750501039857</v>
      </c>
      <c r="H36" s="148">
        <f t="shared" si="7"/>
        <v>821.42837305019145</v>
      </c>
      <c r="I36" s="148">
        <f t="shared" si="5"/>
        <v>243006.85710245371</v>
      </c>
      <c r="J36" s="148">
        <f>SUM($H$18:$H36)</f>
        <v>15821.218785604917</v>
      </c>
    </row>
    <row r="37" spans="1:10" x14ac:dyDescent="0.2">
      <c r="A37" s="146">
        <f>IF(Values_Entered,A36+1,"")</f>
        <v>20</v>
      </c>
      <c r="B37" s="147">
        <f t="shared" si="0"/>
        <v>42917</v>
      </c>
      <c r="C37" s="148">
        <f t="shared" si="6"/>
        <v>243006.85710245371</v>
      </c>
      <c r="D37" s="148">
        <f t="shared" si="1"/>
        <v>1200.75587806059</v>
      </c>
      <c r="E37" s="149">
        <f t="shared" si="2"/>
        <v>0</v>
      </c>
      <c r="F37" s="148">
        <f t="shared" si="3"/>
        <v>1200.75587806059</v>
      </c>
      <c r="G37" s="148">
        <f t="shared" si="4"/>
        <v>380.60773533980876</v>
      </c>
      <c r="H37" s="148">
        <f t="shared" si="7"/>
        <v>820.14814272078127</v>
      </c>
      <c r="I37" s="148">
        <f t="shared" si="5"/>
        <v>242626.24936711389</v>
      </c>
      <c r="J37" s="148">
        <f>SUM($H$18:$H37)</f>
        <v>16641.366928325697</v>
      </c>
    </row>
    <row r="38" spans="1:10" x14ac:dyDescent="0.2">
      <c r="A38" s="146">
        <f>IF(Values_Entered,A37+1,"")</f>
        <v>21</v>
      </c>
      <c r="B38" s="147">
        <f t="shared" si="0"/>
        <v>42948</v>
      </c>
      <c r="C38" s="148">
        <f t="shared" si="6"/>
        <v>242626.24936711389</v>
      </c>
      <c r="D38" s="148">
        <f t="shared" si="1"/>
        <v>1200.75587806059</v>
      </c>
      <c r="E38" s="149">
        <f t="shared" si="2"/>
        <v>0</v>
      </c>
      <c r="F38" s="148">
        <f t="shared" si="3"/>
        <v>1200.75587806059</v>
      </c>
      <c r="G38" s="148">
        <f t="shared" si="4"/>
        <v>381.89228644658067</v>
      </c>
      <c r="H38" s="148">
        <f t="shared" si="7"/>
        <v>818.86359161400935</v>
      </c>
      <c r="I38" s="148">
        <f t="shared" si="5"/>
        <v>242244.35708066731</v>
      </c>
      <c r="J38" s="148">
        <f>SUM($H$18:$H38)</f>
        <v>17460.230519939705</v>
      </c>
    </row>
    <row r="39" spans="1:10" x14ac:dyDescent="0.2">
      <c r="A39" s="146">
        <f>IF(Values_Entered,A38+1,"")</f>
        <v>22</v>
      </c>
      <c r="B39" s="147">
        <f t="shared" si="0"/>
        <v>42979</v>
      </c>
      <c r="C39" s="148">
        <f t="shared" si="6"/>
        <v>242244.35708066731</v>
      </c>
      <c r="D39" s="148">
        <f t="shared" si="1"/>
        <v>1200.75587806059</v>
      </c>
      <c r="E39" s="149">
        <f t="shared" si="2"/>
        <v>0</v>
      </c>
      <c r="F39" s="148">
        <f t="shared" si="3"/>
        <v>1200.75587806059</v>
      </c>
      <c r="G39" s="148">
        <f t="shared" si="4"/>
        <v>383.18117291333783</v>
      </c>
      <c r="H39" s="148">
        <f t="shared" si="7"/>
        <v>817.57470514725219</v>
      </c>
      <c r="I39" s="148">
        <f t="shared" si="5"/>
        <v>241861.17590775396</v>
      </c>
      <c r="J39" s="148">
        <f>SUM($H$18:$H39)</f>
        <v>18277.805225086959</v>
      </c>
    </row>
    <row r="40" spans="1:10" x14ac:dyDescent="0.2">
      <c r="A40" s="146">
        <f>IF(Values_Entered,A39+1,"")</f>
        <v>23</v>
      </c>
      <c r="B40" s="147">
        <f t="shared" si="0"/>
        <v>43009</v>
      </c>
      <c r="C40" s="148">
        <f t="shared" si="6"/>
        <v>241861.17590775396</v>
      </c>
      <c r="D40" s="148">
        <f t="shared" si="1"/>
        <v>1200.75587806059</v>
      </c>
      <c r="E40" s="149">
        <f t="shared" si="2"/>
        <v>0</v>
      </c>
      <c r="F40" s="148">
        <f t="shared" si="3"/>
        <v>1200.75587806059</v>
      </c>
      <c r="G40" s="148">
        <f t="shared" si="4"/>
        <v>384.47440937192039</v>
      </c>
      <c r="H40" s="148">
        <f t="shared" si="7"/>
        <v>816.28146868866963</v>
      </c>
      <c r="I40" s="148">
        <f t="shared" si="5"/>
        <v>241476.70149838203</v>
      </c>
      <c r="J40" s="148">
        <f>SUM($H$18:$H40)</f>
        <v>19094.086693775629</v>
      </c>
    </row>
    <row r="41" spans="1:10" x14ac:dyDescent="0.2">
      <c r="A41" s="146">
        <f>IF(Values_Entered,A40+1,"")</f>
        <v>24</v>
      </c>
      <c r="B41" s="147">
        <f t="shared" si="0"/>
        <v>43040</v>
      </c>
      <c r="C41" s="148">
        <f t="shared" si="6"/>
        <v>241476.70149838203</v>
      </c>
      <c r="D41" s="148">
        <f t="shared" si="1"/>
        <v>1200.75587806059</v>
      </c>
      <c r="E41" s="149">
        <f t="shared" si="2"/>
        <v>0</v>
      </c>
      <c r="F41" s="148">
        <f t="shared" si="3"/>
        <v>1200.75587806059</v>
      </c>
      <c r="G41" s="148">
        <f t="shared" si="4"/>
        <v>385.77201050355063</v>
      </c>
      <c r="H41" s="148">
        <f t="shared" si="7"/>
        <v>814.98386755703939</v>
      </c>
      <c r="I41" s="148">
        <f t="shared" si="5"/>
        <v>241090.92948787849</v>
      </c>
      <c r="J41" s="148">
        <f>SUM($H$18:$H41)</f>
        <v>19909.070561332668</v>
      </c>
    </row>
    <row r="42" spans="1:10" x14ac:dyDescent="0.2">
      <c r="A42" s="146">
        <f>IF(Values_Entered,A41+1,"")</f>
        <v>25</v>
      </c>
      <c r="B42" s="147">
        <f t="shared" si="0"/>
        <v>43070</v>
      </c>
      <c r="C42" s="148">
        <f t="shared" si="6"/>
        <v>241090.92948787849</v>
      </c>
      <c r="D42" s="148">
        <f t="shared" si="1"/>
        <v>1200.75587806059</v>
      </c>
      <c r="E42" s="149">
        <f t="shared" si="2"/>
        <v>0</v>
      </c>
      <c r="F42" s="148">
        <f t="shared" si="3"/>
        <v>1200.75587806059</v>
      </c>
      <c r="G42" s="148">
        <f t="shared" si="4"/>
        <v>387.07399103900013</v>
      </c>
      <c r="H42" s="148">
        <f t="shared" si="7"/>
        <v>813.68188702158989</v>
      </c>
      <c r="I42" s="148">
        <f t="shared" si="5"/>
        <v>240703.85549683947</v>
      </c>
      <c r="J42" s="148">
        <f>SUM($H$18:$H42)</f>
        <v>20722.752448354258</v>
      </c>
    </row>
    <row r="43" spans="1:10" x14ac:dyDescent="0.2">
      <c r="A43" s="146">
        <f>IF(Values_Entered,A42+1,"")</f>
        <v>26</v>
      </c>
      <c r="B43" s="147">
        <f t="shared" si="0"/>
        <v>43101</v>
      </c>
      <c r="C43" s="148">
        <f t="shared" si="6"/>
        <v>240703.85549683947</v>
      </c>
      <c r="D43" s="148">
        <f t="shared" si="1"/>
        <v>1200.75587806059</v>
      </c>
      <c r="E43" s="149">
        <f t="shared" si="2"/>
        <v>0</v>
      </c>
      <c r="F43" s="148">
        <f t="shared" si="3"/>
        <v>1200.75587806059</v>
      </c>
      <c r="G43" s="148">
        <f t="shared" si="4"/>
        <v>388.38036575875674</v>
      </c>
      <c r="H43" s="148">
        <f t="shared" si="7"/>
        <v>812.37551230183328</v>
      </c>
      <c r="I43" s="148">
        <f t="shared" si="5"/>
        <v>240315.47513108072</v>
      </c>
      <c r="J43" s="148">
        <f>SUM($H$18:$H43)</f>
        <v>21535.127960656093</v>
      </c>
    </row>
    <row r="44" spans="1:10" x14ac:dyDescent="0.2">
      <c r="A44" s="146">
        <f>IF(Values_Entered,A43+1,"")</f>
        <v>27</v>
      </c>
      <c r="B44" s="147">
        <f t="shared" si="0"/>
        <v>43132</v>
      </c>
      <c r="C44" s="148">
        <f t="shared" si="6"/>
        <v>240315.47513108072</v>
      </c>
      <c r="D44" s="148">
        <f t="shared" si="1"/>
        <v>1200.75587806059</v>
      </c>
      <c r="E44" s="149">
        <f t="shared" si="2"/>
        <v>0</v>
      </c>
      <c r="F44" s="148">
        <f t="shared" si="3"/>
        <v>1200.75587806059</v>
      </c>
      <c r="G44" s="148">
        <f t="shared" si="4"/>
        <v>389.69114949319248</v>
      </c>
      <c r="H44" s="148">
        <f t="shared" si="7"/>
        <v>811.06472856739754</v>
      </c>
      <c r="I44" s="148">
        <f t="shared" si="5"/>
        <v>239925.78398158753</v>
      </c>
      <c r="J44" s="148">
        <f>SUM($H$18:$H44)</f>
        <v>22346.192689223491</v>
      </c>
    </row>
    <row r="45" spans="1:10" x14ac:dyDescent="0.2">
      <c r="A45" s="146">
        <f>IF(Values_Entered,A44+1,"")</f>
        <v>28</v>
      </c>
      <c r="B45" s="147">
        <f t="shared" si="0"/>
        <v>43160</v>
      </c>
      <c r="C45" s="148">
        <f t="shared" si="6"/>
        <v>239925.78398158753</v>
      </c>
      <c r="D45" s="148">
        <f t="shared" si="1"/>
        <v>1200.75587806059</v>
      </c>
      <c r="E45" s="149">
        <f t="shared" si="2"/>
        <v>0</v>
      </c>
      <c r="F45" s="148">
        <f t="shared" si="3"/>
        <v>1200.75587806059</v>
      </c>
      <c r="G45" s="148">
        <f t="shared" si="4"/>
        <v>391.00635712273208</v>
      </c>
      <c r="H45" s="148">
        <f t="shared" si="7"/>
        <v>809.74952093785794</v>
      </c>
      <c r="I45" s="148">
        <f t="shared" si="5"/>
        <v>239534.7776244648</v>
      </c>
      <c r="J45" s="148">
        <f>SUM($H$18:$H45)</f>
        <v>23155.942210161349</v>
      </c>
    </row>
    <row r="46" spans="1:10" x14ac:dyDescent="0.2">
      <c r="A46" s="146">
        <f>IF(Values_Entered,A45+1,"")</f>
        <v>29</v>
      </c>
      <c r="B46" s="147">
        <f t="shared" si="0"/>
        <v>43191</v>
      </c>
      <c r="C46" s="148">
        <f t="shared" si="6"/>
        <v>239534.7776244648</v>
      </c>
      <c r="D46" s="148">
        <f t="shared" si="1"/>
        <v>1200.75587806059</v>
      </c>
      <c r="E46" s="149">
        <f t="shared" si="2"/>
        <v>0</v>
      </c>
      <c r="F46" s="148">
        <f t="shared" si="3"/>
        <v>1200.75587806059</v>
      </c>
      <c r="G46" s="148">
        <f t="shared" si="4"/>
        <v>392.3260035780213</v>
      </c>
      <c r="H46" s="148">
        <f t="shared" si="7"/>
        <v>808.42987448256872</v>
      </c>
      <c r="I46" s="148">
        <f t="shared" si="5"/>
        <v>239142.45162088677</v>
      </c>
      <c r="J46" s="148">
        <f>SUM($H$18:$H46)</f>
        <v>23964.372084643917</v>
      </c>
    </row>
    <row r="47" spans="1:10" x14ac:dyDescent="0.2">
      <c r="A47" s="146">
        <f>IF(Values_Entered,A46+1,"")</f>
        <v>30</v>
      </c>
      <c r="B47" s="147">
        <f t="shared" si="0"/>
        <v>43221</v>
      </c>
      <c r="C47" s="148">
        <f t="shared" si="6"/>
        <v>239142.45162088677</v>
      </c>
      <c r="D47" s="148">
        <f t="shared" si="1"/>
        <v>1200.75587806059</v>
      </c>
      <c r="E47" s="149">
        <f t="shared" si="2"/>
        <v>0</v>
      </c>
      <c r="F47" s="148">
        <f t="shared" si="3"/>
        <v>1200.75587806059</v>
      </c>
      <c r="G47" s="148">
        <f t="shared" si="4"/>
        <v>393.65010384009713</v>
      </c>
      <c r="H47" s="148">
        <f t="shared" si="7"/>
        <v>807.10577422049289</v>
      </c>
      <c r="I47" s="148">
        <f t="shared" si="5"/>
        <v>238748.80151704667</v>
      </c>
      <c r="J47" s="148">
        <f>SUM($H$18:$H47)</f>
        <v>24771.477858864411</v>
      </c>
    </row>
    <row r="48" spans="1:10" x14ac:dyDescent="0.2">
      <c r="A48" s="146">
        <f>IF(Values_Entered,A47+1,"")</f>
        <v>31</v>
      </c>
      <c r="B48" s="147">
        <f t="shared" si="0"/>
        <v>43252</v>
      </c>
      <c r="C48" s="148">
        <f t="shared" si="6"/>
        <v>238748.80151704667</v>
      </c>
      <c r="D48" s="148">
        <f t="shared" si="1"/>
        <v>1200.75587806059</v>
      </c>
      <c r="E48" s="149">
        <f t="shared" si="2"/>
        <v>0</v>
      </c>
      <c r="F48" s="148">
        <f t="shared" si="3"/>
        <v>1200.75587806059</v>
      </c>
      <c r="G48" s="148">
        <f t="shared" si="4"/>
        <v>394.97867294055743</v>
      </c>
      <c r="H48" s="148">
        <f t="shared" si="7"/>
        <v>805.77720512003259</v>
      </c>
      <c r="I48" s="148">
        <f t="shared" si="5"/>
        <v>238353.82284410612</v>
      </c>
      <c r="J48" s="148">
        <f>SUM($H$18:$H48)</f>
        <v>25577.255063984445</v>
      </c>
    </row>
    <row r="49" spans="1:10" x14ac:dyDescent="0.2">
      <c r="A49" s="146">
        <f>IF(Values_Entered,A48+1,"")</f>
        <v>32</v>
      </c>
      <c r="B49" s="147">
        <f t="shared" si="0"/>
        <v>43282</v>
      </c>
      <c r="C49" s="148">
        <f t="shared" si="6"/>
        <v>238353.82284410612</v>
      </c>
      <c r="D49" s="148">
        <f t="shared" si="1"/>
        <v>1200.75587806059</v>
      </c>
      <c r="E49" s="149">
        <f t="shared" si="2"/>
        <v>0</v>
      </c>
      <c r="F49" s="148">
        <f t="shared" si="3"/>
        <v>1200.75587806059</v>
      </c>
      <c r="G49" s="148">
        <f t="shared" si="4"/>
        <v>396.3117259617319</v>
      </c>
      <c r="H49" s="148">
        <f t="shared" si="7"/>
        <v>804.44415209885813</v>
      </c>
      <c r="I49" s="148">
        <f t="shared" si="5"/>
        <v>237957.51111814438</v>
      </c>
      <c r="J49" s="148">
        <f>SUM($H$18:$H49)</f>
        <v>26381.699216083303</v>
      </c>
    </row>
    <row r="50" spans="1:10" x14ac:dyDescent="0.2">
      <c r="A50" s="146">
        <f>IF(Values_Entered,A49+1,"")</f>
        <v>33</v>
      </c>
      <c r="B50" s="147">
        <f t="shared" si="0"/>
        <v>43313</v>
      </c>
      <c r="C50" s="148">
        <f t="shared" si="6"/>
        <v>237957.51111814438</v>
      </c>
      <c r="D50" s="148">
        <f t="shared" si="1"/>
        <v>1200.75587806059</v>
      </c>
      <c r="E50" s="149">
        <f t="shared" si="2"/>
        <v>0</v>
      </c>
      <c r="F50" s="148">
        <f t="shared" si="3"/>
        <v>1200.75587806059</v>
      </c>
      <c r="G50" s="148">
        <f t="shared" si="4"/>
        <v>397.64927803685271</v>
      </c>
      <c r="H50" s="148">
        <f t="shared" si="7"/>
        <v>803.10660002373731</v>
      </c>
      <c r="I50" s="148">
        <f t="shared" si="5"/>
        <v>237559.86184010754</v>
      </c>
      <c r="J50" s="148">
        <f>SUM($H$18:$H50)</f>
        <v>27184.80581610704</v>
      </c>
    </row>
    <row r="51" spans="1:10" x14ac:dyDescent="0.2">
      <c r="A51" s="146">
        <f>IF(Values_Entered,A50+1,"")</f>
        <v>34</v>
      </c>
      <c r="B51" s="147">
        <f t="shared" si="0"/>
        <v>43344</v>
      </c>
      <c r="C51" s="148">
        <f t="shared" si="6"/>
        <v>237559.86184010754</v>
      </c>
      <c r="D51" s="148">
        <f t="shared" si="1"/>
        <v>1200.75587806059</v>
      </c>
      <c r="E51" s="149">
        <f t="shared" si="2"/>
        <v>0</v>
      </c>
      <c r="F51" s="148">
        <f t="shared" si="3"/>
        <v>1200.75587806059</v>
      </c>
      <c r="G51" s="148">
        <f t="shared" si="4"/>
        <v>398.991344350227</v>
      </c>
      <c r="H51" s="148">
        <f t="shared" si="7"/>
        <v>801.76453371036303</v>
      </c>
      <c r="I51" s="148">
        <f t="shared" si="5"/>
        <v>237160.87049575732</v>
      </c>
      <c r="J51" s="148">
        <f>SUM($H$18:$H51)</f>
        <v>27986.570349817404</v>
      </c>
    </row>
    <row r="52" spans="1:10" x14ac:dyDescent="0.2">
      <c r="A52" s="146">
        <f>IF(Values_Entered,A51+1,"")</f>
        <v>35</v>
      </c>
      <c r="B52" s="147">
        <f t="shared" si="0"/>
        <v>43374</v>
      </c>
      <c r="C52" s="148">
        <f t="shared" si="6"/>
        <v>237160.87049575732</v>
      </c>
      <c r="D52" s="148">
        <f t="shared" si="1"/>
        <v>1200.75587806059</v>
      </c>
      <c r="E52" s="149">
        <f t="shared" si="2"/>
        <v>0</v>
      </c>
      <c r="F52" s="148">
        <f t="shared" si="3"/>
        <v>1200.75587806059</v>
      </c>
      <c r="G52" s="148">
        <f t="shared" si="4"/>
        <v>400.33794013740908</v>
      </c>
      <c r="H52" s="148">
        <f t="shared" si="7"/>
        <v>800.41793792318094</v>
      </c>
      <c r="I52" s="148">
        <f t="shared" si="5"/>
        <v>236760.53255561992</v>
      </c>
      <c r="J52" s="148">
        <f>SUM($H$18:$H52)</f>
        <v>28786.988287740583</v>
      </c>
    </row>
    <row r="53" spans="1:10" x14ac:dyDescent="0.2">
      <c r="A53" s="146">
        <f>IF(Values_Entered,A52+1,"")</f>
        <v>36</v>
      </c>
      <c r="B53" s="147">
        <f t="shared" si="0"/>
        <v>43405</v>
      </c>
      <c r="C53" s="148">
        <f t="shared" si="6"/>
        <v>236760.53255561992</v>
      </c>
      <c r="D53" s="148">
        <f t="shared" si="1"/>
        <v>1200.75587806059</v>
      </c>
      <c r="E53" s="149">
        <f t="shared" si="2"/>
        <v>0</v>
      </c>
      <c r="F53" s="148">
        <f t="shared" si="3"/>
        <v>1200.75587806059</v>
      </c>
      <c r="G53" s="148">
        <f t="shared" si="4"/>
        <v>401.68908068537269</v>
      </c>
      <c r="H53" s="148">
        <f t="shared" si="7"/>
        <v>799.06679737521733</v>
      </c>
      <c r="I53" s="148">
        <f t="shared" si="5"/>
        <v>236358.84347493455</v>
      </c>
      <c r="J53" s="148">
        <f>SUM($H$18:$H53)</f>
        <v>29586.0550851158</v>
      </c>
    </row>
    <row r="54" spans="1:10" x14ac:dyDescent="0.2">
      <c r="A54" s="146">
        <f>IF(Values_Entered,A53+1,"")</f>
        <v>37</v>
      </c>
      <c r="B54" s="147">
        <f t="shared" si="0"/>
        <v>43435</v>
      </c>
      <c r="C54" s="148">
        <f t="shared" si="6"/>
        <v>236358.84347493455</v>
      </c>
      <c r="D54" s="148">
        <f t="shared" si="1"/>
        <v>1200.75587806059</v>
      </c>
      <c r="E54" s="149">
        <f t="shared" si="2"/>
        <v>0</v>
      </c>
      <c r="F54" s="148">
        <f t="shared" si="3"/>
        <v>1200.75587806059</v>
      </c>
      <c r="G54" s="148">
        <f t="shared" si="4"/>
        <v>403.04478133268594</v>
      </c>
      <c r="H54" s="148">
        <f t="shared" si="7"/>
        <v>797.71109672790408</v>
      </c>
      <c r="I54" s="148">
        <f t="shared" si="5"/>
        <v>235955.79869360186</v>
      </c>
      <c r="J54" s="148">
        <f>SUM($H$18:$H54)</f>
        <v>30383.766181843705</v>
      </c>
    </row>
    <row r="55" spans="1:10" x14ac:dyDescent="0.2">
      <c r="A55" s="146">
        <f>IF(Values_Entered,A54+1,"")</f>
        <v>38</v>
      </c>
      <c r="B55" s="147">
        <f t="shared" si="0"/>
        <v>43466</v>
      </c>
      <c r="C55" s="148">
        <f t="shared" si="6"/>
        <v>235955.79869360186</v>
      </c>
      <c r="D55" s="148">
        <f t="shared" si="1"/>
        <v>1200.75587806059</v>
      </c>
      <c r="E55" s="149">
        <f t="shared" si="2"/>
        <v>0</v>
      </c>
      <c r="F55" s="148">
        <f t="shared" si="3"/>
        <v>1200.75587806059</v>
      </c>
      <c r="G55" s="148">
        <f t="shared" si="4"/>
        <v>404.40505746968381</v>
      </c>
      <c r="H55" s="148">
        <f t="shared" si="7"/>
        <v>796.35082059090621</v>
      </c>
      <c r="I55" s="148">
        <f t="shared" si="5"/>
        <v>235551.39363613218</v>
      </c>
      <c r="J55" s="148">
        <f>SUM($H$18:$H55)</f>
        <v>31180.11700243461</v>
      </c>
    </row>
    <row r="56" spans="1:10" x14ac:dyDescent="0.2">
      <c r="A56" s="146">
        <f>IF(Values_Entered,A55+1,"")</f>
        <v>39</v>
      </c>
      <c r="B56" s="147">
        <f t="shared" si="0"/>
        <v>43497</v>
      </c>
      <c r="C56" s="148">
        <f t="shared" si="6"/>
        <v>235551.39363613218</v>
      </c>
      <c r="D56" s="148">
        <f t="shared" si="1"/>
        <v>1200.75587806059</v>
      </c>
      <c r="E56" s="149">
        <f t="shared" si="2"/>
        <v>0</v>
      </c>
      <c r="F56" s="148">
        <f t="shared" si="3"/>
        <v>1200.75587806059</v>
      </c>
      <c r="G56" s="148">
        <f t="shared" si="4"/>
        <v>405.76992453864386</v>
      </c>
      <c r="H56" s="148">
        <f t="shared" si="7"/>
        <v>794.98595352194616</v>
      </c>
      <c r="I56" s="148">
        <f t="shared" si="5"/>
        <v>235145.62371159354</v>
      </c>
      <c r="J56" s="148">
        <f>SUM($H$18:$H56)</f>
        <v>31975.102955956558</v>
      </c>
    </row>
    <row r="57" spans="1:10" x14ac:dyDescent="0.2">
      <c r="A57" s="146">
        <f>IF(Values_Entered,A56+1,"")</f>
        <v>40</v>
      </c>
      <c r="B57" s="147">
        <f t="shared" si="0"/>
        <v>43525</v>
      </c>
      <c r="C57" s="148">
        <f t="shared" si="6"/>
        <v>235145.62371159354</v>
      </c>
      <c r="D57" s="148">
        <f t="shared" si="1"/>
        <v>1200.75587806059</v>
      </c>
      <c r="E57" s="149">
        <f t="shared" si="2"/>
        <v>0</v>
      </c>
      <c r="F57" s="148">
        <f t="shared" si="3"/>
        <v>1200.75587806059</v>
      </c>
      <c r="G57" s="148">
        <f t="shared" si="4"/>
        <v>407.13939803396181</v>
      </c>
      <c r="H57" s="148">
        <f t="shared" si="7"/>
        <v>793.61648002662821</v>
      </c>
      <c r="I57" s="148">
        <f t="shared" si="5"/>
        <v>234738.48431355957</v>
      </c>
      <c r="J57" s="148">
        <f>SUM($H$18:$H57)</f>
        <v>32768.719435983185</v>
      </c>
    </row>
    <row r="58" spans="1:10" x14ac:dyDescent="0.2">
      <c r="A58" s="146">
        <f>IF(Values_Entered,A57+1,"")</f>
        <v>41</v>
      </c>
      <c r="B58" s="147">
        <f t="shared" si="0"/>
        <v>43556</v>
      </c>
      <c r="C58" s="148">
        <f t="shared" si="6"/>
        <v>234738.48431355957</v>
      </c>
      <c r="D58" s="148">
        <f t="shared" si="1"/>
        <v>1200.75587806059</v>
      </c>
      <c r="E58" s="149">
        <f t="shared" si="2"/>
        <v>0</v>
      </c>
      <c r="F58" s="148">
        <f t="shared" si="3"/>
        <v>1200.75587806059</v>
      </c>
      <c r="G58" s="148">
        <f t="shared" si="4"/>
        <v>408.51349350232647</v>
      </c>
      <c r="H58" s="148">
        <f t="shared" si="7"/>
        <v>792.24238455826355</v>
      </c>
      <c r="I58" s="148">
        <f t="shared" si="5"/>
        <v>234329.97082005723</v>
      </c>
      <c r="J58" s="148">
        <f>SUM($H$18:$H58)</f>
        <v>33560.961820541452</v>
      </c>
    </row>
    <row r="59" spans="1:10" x14ac:dyDescent="0.2">
      <c r="A59" s="146">
        <f>IF(Values_Entered,A58+1,"")</f>
        <v>42</v>
      </c>
      <c r="B59" s="147">
        <f t="shared" si="0"/>
        <v>43586</v>
      </c>
      <c r="C59" s="148">
        <f t="shared" si="6"/>
        <v>234329.97082005723</v>
      </c>
      <c r="D59" s="148">
        <f t="shared" si="1"/>
        <v>1200.75587806059</v>
      </c>
      <c r="E59" s="149">
        <f t="shared" si="2"/>
        <v>0</v>
      </c>
      <c r="F59" s="148">
        <f t="shared" si="3"/>
        <v>1200.75587806059</v>
      </c>
      <c r="G59" s="148">
        <f t="shared" si="4"/>
        <v>409.89222654289688</v>
      </c>
      <c r="H59" s="148">
        <f t="shared" si="7"/>
        <v>790.86365151769314</v>
      </c>
      <c r="I59" s="148">
        <f t="shared" si="5"/>
        <v>233920.07859351434</v>
      </c>
      <c r="J59" s="148">
        <f>SUM($H$18:$H59)</f>
        <v>34351.825472059143</v>
      </c>
    </row>
    <row r="60" spans="1:10" x14ac:dyDescent="0.2">
      <c r="A60" s="146">
        <f>IF(Values_Entered,A59+1,"")</f>
        <v>43</v>
      </c>
      <c r="B60" s="147">
        <f t="shared" si="0"/>
        <v>43617</v>
      </c>
      <c r="C60" s="148">
        <f t="shared" si="6"/>
        <v>233920.07859351434</v>
      </c>
      <c r="D60" s="148">
        <f t="shared" si="1"/>
        <v>1200.75587806059</v>
      </c>
      <c r="E60" s="149">
        <f t="shared" si="2"/>
        <v>0</v>
      </c>
      <c r="F60" s="148">
        <f t="shared" si="3"/>
        <v>1200.75587806059</v>
      </c>
      <c r="G60" s="148">
        <f t="shared" si="4"/>
        <v>411.27561280747921</v>
      </c>
      <c r="H60" s="148">
        <f t="shared" si="7"/>
        <v>789.48026525311082</v>
      </c>
      <c r="I60" s="148">
        <f t="shared" si="5"/>
        <v>233508.80298070685</v>
      </c>
      <c r="J60" s="148">
        <f>SUM($H$18:$H60)</f>
        <v>35141.305737312257</v>
      </c>
    </row>
    <row r="61" spans="1:10" x14ac:dyDescent="0.2">
      <c r="A61" s="146">
        <f>IF(Values_Entered,A60+1,"")</f>
        <v>44</v>
      </c>
      <c r="B61" s="147">
        <f t="shared" si="0"/>
        <v>43647</v>
      </c>
      <c r="C61" s="148">
        <f t="shared" si="6"/>
        <v>233508.80298070685</v>
      </c>
      <c r="D61" s="148">
        <f t="shared" si="1"/>
        <v>1200.75587806059</v>
      </c>
      <c r="E61" s="149">
        <f t="shared" si="2"/>
        <v>0</v>
      </c>
      <c r="F61" s="148">
        <f t="shared" si="3"/>
        <v>1200.75587806059</v>
      </c>
      <c r="G61" s="148">
        <f t="shared" si="4"/>
        <v>412.66366800070443</v>
      </c>
      <c r="H61" s="148">
        <f t="shared" si="7"/>
        <v>788.09221005988559</v>
      </c>
      <c r="I61" s="148">
        <f t="shared" si="5"/>
        <v>233096.13931270616</v>
      </c>
      <c r="J61" s="148">
        <f>SUM($H$18:$H61)</f>
        <v>35929.397947372141</v>
      </c>
    </row>
    <row r="62" spans="1:10" x14ac:dyDescent="0.2">
      <c r="A62" s="146">
        <f>IF(Values_Entered,A61+1,"")</f>
        <v>45</v>
      </c>
      <c r="B62" s="147">
        <f t="shared" si="0"/>
        <v>43678</v>
      </c>
      <c r="C62" s="148">
        <f t="shared" si="6"/>
        <v>233096.13931270616</v>
      </c>
      <c r="D62" s="148">
        <f t="shared" si="1"/>
        <v>1200.75587806059</v>
      </c>
      <c r="E62" s="149">
        <f t="shared" si="2"/>
        <v>0</v>
      </c>
      <c r="F62" s="148">
        <f t="shared" si="3"/>
        <v>1200.75587806059</v>
      </c>
      <c r="G62" s="148">
        <f t="shared" si="4"/>
        <v>414.05640788020673</v>
      </c>
      <c r="H62" s="148">
        <f t="shared" si="7"/>
        <v>786.69947018038329</v>
      </c>
      <c r="I62" s="148">
        <f t="shared" si="5"/>
        <v>232682.08290482595</v>
      </c>
      <c r="J62" s="148">
        <f>SUM($H$18:$H62)</f>
        <v>36716.097417552526</v>
      </c>
    </row>
    <row r="63" spans="1:10" x14ac:dyDescent="0.2">
      <c r="A63" s="146">
        <f>IF(Values_Entered,A62+1,"")</f>
        <v>46</v>
      </c>
      <c r="B63" s="147">
        <f t="shared" si="0"/>
        <v>43709</v>
      </c>
      <c r="C63" s="148">
        <f t="shared" si="6"/>
        <v>232682.08290482595</v>
      </c>
      <c r="D63" s="148">
        <f t="shared" si="1"/>
        <v>1200.75587806059</v>
      </c>
      <c r="E63" s="149">
        <f t="shared" si="2"/>
        <v>0</v>
      </c>
      <c r="F63" s="148">
        <f t="shared" si="3"/>
        <v>1200.75587806059</v>
      </c>
      <c r="G63" s="148">
        <f t="shared" si="4"/>
        <v>415.45384825680242</v>
      </c>
      <c r="H63" s="148">
        <f t="shared" si="7"/>
        <v>785.3020298037876</v>
      </c>
      <c r="I63" s="148">
        <f t="shared" si="5"/>
        <v>232266.62905656913</v>
      </c>
      <c r="J63" s="148">
        <f>SUM($H$18:$H63)</f>
        <v>37501.399447356314</v>
      </c>
    </row>
    <row r="64" spans="1:10" x14ac:dyDescent="0.2">
      <c r="A64" s="146">
        <f>IF(Values_Entered,A63+1,"")</f>
        <v>47</v>
      </c>
      <c r="B64" s="147">
        <f t="shared" si="0"/>
        <v>43739</v>
      </c>
      <c r="C64" s="148">
        <f t="shared" si="6"/>
        <v>232266.62905656913</v>
      </c>
      <c r="D64" s="148">
        <f t="shared" si="1"/>
        <v>1200.75587806059</v>
      </c>
      <c r="E64" s="149">
        <f t="shared" si="2"/>
        <v>0</v>
      </c>
      <c r="F64" s="148">
        <f t="shared" si="3"/>
        <v>1200.75587806059</v>
      </c>
      <c r="G64" s="148">
        <f t="shared" si="4"/>
        <v>416.85600499466921</v>
      </c>
      <c r="H64" s="148">
        <f t="shared" si="7"/>
        <v>783.89987306592081</v>
      </c>
      <c r="I64" s="148">
        <f t="shared" si="5"/>
        <v>231849.77305157445</v>
      </c>
      <c r="J64" s="148">
        <f>SUM($H$18:$H64)</f>
        <v>38285.299320422237</v>
      </c>
    </row>
    <row r="65" spans="1:10" x14ac:dyDescent="0.2">
      <c r="A65" s="146">
        <f>IF(Values_Entered,A64+1,"")</f>
        <v>48</v>
      </c>
      <c r="B65" s="147">
        <f t="shared" si="0"/>
        <v>43770</v>
      </c>
      <c r="C65" s="148">
        <f t="shared" si="6"/>
        <v>231849.77305157445</v>
      </c>
      <c r="D65" s="148">
        <f t="shared" si="1"/>
        <v>1200.75587806059</v>
      </c>
      <c r="E65" s="149">
        <f t="shared" si="2"/>
        <v>0</v>
      </c>
      <c r="F65" s="148">
        <f t="shared" si="3"/>
        <v>1200.75587806059</v>
      </c>
      <c r="G65" s="148">
        <f t="shared" si="4"/>
        <v>418.26289401152633</v>
      </c>
      <c r="H65" s="148">
        <f t="shared" si="7"/>
        <v>782.49298404906369</v>
      </c>
      <c r="I65" s="148">
        <f t="shared" si="5"/>
        <v>231431.51015756291</v>
      </c>
      <c r="J65" s="148">
        <f>SUM($H$18:$H65)</f>
        <v>39067.792304471302</v>
      </c>
    </row>
    <row r="66" spans="1:10" x14ac:dyDescent="0.2">
      <c r="A66" s="146">
        <f>IF(Values_Entered,A65+1,"")</f>
        <v>49</v>
      </c>
      <c r="B66" s="147">
        <f t="shared" si="0"/>
        <v>43800</v>
      </c>
      <c r="C66" s="148">
        <f t="shared" si="6"/>
        <v>231431.51015756291</v>
      </c>
      <c r="D66" s="148">
        <f t="shared" si="1"/>
        <v>1200.75587806059</v>
      </c>
      <c r="E66" s="149">
        <f t="shared" si="2"/>
        <v>0</v>
      </c>
      <c r="F66" s="148">
        <f t="shared" si="3"/>
        <v>1200.75587806059</v>
      </c>
      <c r="G66" s="148">
        <f t="shared" si="4"/>
        <v>419.67453127881515</v>
      </c>
      <c r="H66" s="148">
        <f t="shared" si="7"/>
        <v>781.08134678177487</v>
      </c>
      <c r="I66" s="148">
        <f t="shared" si="5"/>
        <v>231011.8356262841</v>
      </c>
      <c r="J66" s="148">
        <f>SUM($H$18:$H66)</f>
        <v>39848.873651253074</v>
      </c>
    </row>
    <row r="67" spans="1:10" x14ac:dyDescent="0.2">
      <c r="A67" s="146">
        <f>IF(Values_Entered,A66+1,"")</f>
        <v>50</v>
      </c>
      <c r="B67" s="147">
        <f t="shared" si="0"/>
        <v>43831</v>
      </c>
      <c r="C67" s="148">
        <f t="shared" si="6"/>
        <v>231011.8356262841</v>
      </c>
      <c r="D67" s="148">
        <f t="shared" si="1"/>
        <v>1200.75587806059</v>
      </c>
      <c r="E67" s="149">
        <f t="shared" si="2"/>
        <v>0</v>
      </c>
      <c r="F67" s="148">
        <f t="shared" si="3"/>
        <v>1200.75587806059</v>
      </c>
      <c r="G67" s="148">
        <f t="shared" si="4"/>
        <v>421.09093282188121</v>
      </c>
      <c r="H67" s="148">
        <f t="shared" si="7"/>
        <v>779.66494523870881</v>
      </c>
      <c r="I67" s="148">
        <f t="shared" si="5"/>
        <v>230590.74469346221</v>
      </c>
      <c r="J67" s="148">
        <f>SUM($H$18:$H67)</f>
        <v>40628.53859649178</v>
      </c>
    </row>
    <row r="68" spans="1:10" x14ac:dyDescent="0.2">
      <c r="A68" s="146">
        <f>IF(Values_Entered,A67+1,"")</f>
        <v>51</v>
      </c>
      <c r="B68" s="147">
        <f t="shared" si="0"/>
        <v>43862</v>
      </c>
      <c r="C68" s="148">
        <f t="shared" si="6"/>
        <v>230590.74469346221</v>
      </c>
      <c r="D68" s="148">
        <f t="shared" si="1"/>
        <v>1200.75587806059</v>
      </c>
      <c r="E68" s="149">
        <f t="shared" si="2"/>
        <v>0</v>
      </c>
      <c r="F68" s="148">
        <f t="shared" si="3"/>
        <v>1200.75587806059</v>
      </c>
      <c r="G68" s="148">
        <f t="shared" si="4"/>
        <v>422.51211472015495</v>
      </c>
      <c r="H68" s="148">
        <f t="shared" si="7"/>
        <v>778.24376334043507</v>
      </c>
      <c r="I68" s="148">
        <f t="shared" si="5"/>
        <v>230168.23257874206</v>
      </c>
      <c r="J68" s="148">
        <f>SUM($H$18:$H68)</f>
        <v>41406.782359832214</v>
      </c>
    </row>
    <row r="69" spans="1:10" x14ac:dyDescent="0.2">
      <c r="A69" s="146">
        <f>IF(Values_Entered,A68+1,"")</f>
        <v>52</v>
      </c>
      <c r="B69" s="147">
        <f t="shared" si="0"/>
        <v>43891</v>
      </c>
      <c r="C69" s="148">
        <f t="shared" si="6"/>
        <v>230168.23257874206</v>
      </c>
      <c r="D69" s="148">
        <f t="shared" si="1"/>
        <v>1200.75587806059</v>
      </c>
      <c r="E69" s="149">
        <f t="shared" si="2"/>
        <v>0</v>
      </c>
      <c r="F69" s="148">
        <f t="shared" si="3"/>
        <v>1200.75587806059</v>
      </c>
      <c r="G69" s="148">
        <f t="shared" si="4"/>
        <v>423.93809310733559</v>
      </c>
      <c r="H69" s="148">
        <f t="shared" si="7"/>
        <v>776.81778495325443</v>
      </c>
      <c r="I69" s="148">
        <f t="shared" si="5"/>
        <v>229744.29448563472</v>
      </c>
      <c r="J69" s="148">
        <f>SUM($H$18:$H69)</f>
        <v>42183.600144785465</v>
      </c>
    </row>
    <row r="70" spans="1:10" x14ac:dyDescent="0.2">
      <c r="A70" s="146">
        <f>IF(Values_Entered,A69+1,"")</f>
        <v>53</v>
      </c>
      <c r="B70" s="147">
        <f t="shared" si="0"/>
        <v>43922</v>
      </c>
      <c r="C70" s="148">
        <f t="shared" si="6"/>
        <v>229744.29448563472</v>
      </c>
      <c r="D70" s="148">
        <f t="shared" si="1"/>
        <v>1200.75587806059</v>
      </c>
      <c r="E70" s="149">
        <f t="shared" si="2"/>
        <v>0</v>
      </c>
      <c r="F70" s="148">
        <f t="shared" si="3"/>
        <v>1200.75587806059</v>
      </c>
      <c r="G70" s="148">
        <f t="shared" si="4"/>
        <v>425.36888417157286</v>
      </c>
      <c r="H70" s="148">
        <f t="shared" si="7"/>
        <v>775.38699388901716</v>
      </c>
      <c r="I70" s="148">
        <f t="shared" si="5"/>
        <v>229318.92560146315</v>
      </c>
      <c r="J70" s="148">
        <f>SUM($H$18:$H70)</f>
        <v>42958.987138674485</v>
      </c>
    </row>
    <row r="71" spans="1:10" x14ac:dyDescent="0.2">
      <c r="A71" s="146">
        <f>IF(Values_Entered,A70+1,"")</f>
        <v>54</v>
      </c>
      <c r="B71" s="147">
        <f t="shared" si="0"/>
        <v>43952</v>
      </c>
      <c r="C71" s="148">
        <f t="shared" si="6"/>
        <v>229318.92560146315</v>
      </c>
      <c r="D71" s="148">
        <f t="shared" si="1"/>
        <v>1200.75587806059</v>
      </c>
      <c r="E71" s="149">
        <f t="shared" si="2"/>
        <v>0</v>
      </c>
      <c r="F71" s="148">
        <f t="shared" si="3"/>
        <v>1200.75587806059</v>
      </c>
      <c r="G71" s="148">
        <f t="shared" si="4"/>
        <v>426.8045041556519</v>
      </c>
      <c r="H71" s="148">
        <f t="shared" si="7"/>
        <v>773.95137390493812</v>
      </c>
      <c r="I71" s="148">
        <f t="shared" si="5"/>
        <v>228892.12109730751</v>
      </c>
      <c r="J71" s="148">
        <f>SUM($H$18:$H71)</f>
        <v>43732.938512579422</v>
      </c>
    </row>
    <row r="72" spans="1:10" x14ac:dyDescent="0.2">
      <c r="A72" s="146">
        <f>IF(Values_Entered,A71+1,"")</f>
        <v>55</v>
      </c>
      <c r="B72" s="147">
        <f t="shared" si="0"/>
        <v>43983</v>
      </c>
      <c r="C72" s="148">
        <f t="shared" si="6"/>
        <v>228892.12109730751</v>
      </c>
      <c r="D72" s="148">
        <f t="shared" si="1"/>
        <v>1200.75587806059</v>
      </c>
      <c r="E72" s="149">
        <f t="shared" si="2"/>
        <v>0</v>
      </c>
      <c r="F72" s="148">
        <f t="shared" si="3"/>
        <v>1200.75587806059</v>
      </c>
      <c r="G72" s="148">
        <f t="shared" si="4"/>
        <v>428.24496935717718</v>
      </c>
      <c r="H72" s="148">
        <f t="shared" si="7"/>
        <v>772.51090870341284</v>
      </c>
      <c r="I72" s="148">
        <f t="shared" si="5"/>
        <v>228463.87612795032</v>
      </c>
      <c r="J72" s="148">
        <f>SUM($H$18:$H72)</f>
        <v>44505.449421282836</v>
      </c>
    </row>
    <row r="73" spans="1:10" x14ac:dyDescent="0.2">
      <c r="A73" s="146">
        <f>IF(Values_Entered,A72+1,"")</f>
        <v>56</v>
      </c>
      <c r="B73" s="147">
        <f t="shared" si="0"/>
        <v>44013</v>
      </c>
      <c r="C73" s="148">
        <f t="shared" si="6"/>
        <v>228463.87612795032</v>
      </c>
      <c r="D73" s="148">
        <f t="shared" si="1"/>
        <v>1200.75587806059</v>
      </c>
      <c r="E73" s="149">
        <f t="shared" si="2"/>
        <v>0</v>
      </c>
      <c r="F73" s="148">
        <f t="shared" si="3"/>
        <v>1200.75587806059</v>
      </c>
      <c r="G73" s="148">
        <f t="shared" si="4"/>
        <v>429.69029612875772</v>
      </c>
      <c r="H73" s="148">
        <f t="shared" si="7"/>
        <v>771.0655819318323</v>
      </c>
      <c r="I73" s="148">
        <f t="shared" si="5"/>
        <v>228034.18583182155</v>
      </c>
      <c r="J73" s="148">
        <f>SUM($H$18:$H73)</f>
        <v>45276.51500321467</v>
      </c>
    </row>
    <row r="74" spans="1:10" x14ac:dyDescent="0.2">
      <c r="A74" s="146">
        <f>IF(Values_Entered,A73+1,"")</f>
        <v>57</v>
      </c>
      <c r="B74" s="147">
        <f t="shared" si="0"/>
        <v>44044</v>
      </c>
      <c r="C74" s="148">
        <f t="shared" si="6"/>
        <v>228034.18583182155</v>
      </c>
      <c r="D74" s="148">
        <f t="shared" si="1"/>
        <v>1200.75587806059</v>
      </c>
      <c r="E74" s="149">
        <f t="shared" si="2"/>
        <v>0</v>
      </c>
      <c r="F74" s="148">
        <f t="shared" si="3"/>
        <v>1200.75587806059</v>
      </c>
      <c r="G74" s="148">
        <f t="shared" si="4"/>
        <v>431.14050087819226</v>
      </c>
      <c r="H74" s="148">
        <f t="shared" si="7"/>
        <v>769.61537718239776</v>
      </c>
      <c r="I74" s="148">
        <f t="shared" si="5"/>
        <v>227603.04533094337</v>
      </c>
      <c r="J74" s="148">
        <f>SUM($H$18:$H74)</f>
        <v>46046.130380397066</v>
      </c>
    </row>
    <row r="75" spans="1:10" x14ac:dyDescent="0.2">
      <c r="A75" s="146">
        <f>IF(Values_Entered,A74+1,"")</f>
        <v>58</v>
      </c>
      <c r="B75" s="147">
        <f t="shared" si="0"/>
        <v>44075</v>
      </c>
      <c r="C75" s="148">
        <f t="shared" si="6"/>
        <v>227603.04533094337</v>
      </c>
      <c r="D75" s="148">
        <f t="shared" si="1"/>
        <v>1200.75587806059</v>
      </c>
      <c r="E75" s="149">
        <f t="shared" si="2"/>
        <v>0</v>
      </c>
      <c r="F75" s="148">
        <f t="shared" si="3"/>
        <v>1200.75587806059</v>
      </c>
      <c r="G75" s="148">
        <f t="shared" si="4"/>
        <v>432.59560006865615</v>
      </c>
      <c r="H75" s="148">
        <f t="shared" si="7"/>
        <v>768.16027799193387</v>
      </c>
      <c r="I75" s="148">
        <f t="shared" si="5"/>
        <v>227170.44973087471</v>
      </c>
      <c r="J75" s="148">
        <f>SUM($H$18:$H75)</f>
        <v>46814.290658389</v>
      </c>
    </row>
    <row r="76" spans="1:10" x14ac:dyDescent="0.2">
      <c r="A76" s="146">
        <f>IF(Values_Entered,A75+1,"")</f>
        <v>59</v>
      </c>
      <c r="B76" s="147">
        <f t="shared" si="0"/>
        <v>44105</v>
      </c>
      <c r="C76" s="148">
        <f t="shared" si="6"/>
        <v>227170.44973087471</v>
      </c>
      <c r="D76" s="148">
        <f t="shared" si="1"/>
        <v>1200.75587806059</v>
      </c>
      <c r="E76" s="149">
        <f t="shared" si="2"/>
        <v>0</v>
      </c>
      <c r="F76" s="148">
        <f t="shared" si="3"/>
        <v>1200.75587806059</v>
      </c>
      <c r="G76" s="148">
        <f t="shared" si="4"/>
        <v>434.05561021888786</v>
      </c>
      <c r="H76" s="148">
        <f t="shared" si="7"/>
        <v>766.70026784170216</v>
      </c>
      <c r="I76" s="148">
        <f t="shared" si="5"/>
        <v>226736.39412065581</v>
      </c>
      <c r="J76" s="148">
        <f>SUM($H$18:$H76)</f>
        <v>47580.990926230705</v>
      </c>
    </row>
    <row r="77" spans="1:10" x14ac:dyDescent="0.2">
      <c r="A77" s="146">
        <f>IF(Values_Entered,A76+1,"")</f>
        <v>60</v>
      </c>
      <c r="B77" s="147">
        <f t="shared" si="0"/>
        <v>44136</v>
      </c>
      <c r="C77" s="148">
        <f t="shared" si="6"/>
        <v>226736.39412065581</v>
      </c>
      <c r="D77" s="148">
        <f t="shared" si="1"/>
        <v>1200.75587806059</v>
      </c>
      <c r="E77" s="149">
        <f t="shared" si="2"/>
        <v>0</v>
      </c>
      <c r="F77" s="148">
        <f t="shared" si="3"/>
        <v>1200.75587806059</v>
      </c>
      <c r="G77" s="148">
        <f t="shared" si="4"/>
        <v>435.52054790337661</v>
      </c>
      <c r="H77" s="148">
        <f t="shared" si="7"/>
        <v>765.23533015721341</v>
      </c>
      <c r="I77" s="148">
        <f t="shared" si="5"/>
        <v>226300.87357275243</v>
      </c>
      <c r="J77" s="148">
        <f>SUM($H$18:$H77)</f>
        <v>48346.226256387919</v>
      </c>
    </row>
    <row r="78" spans="1:10" x14ac:dyDescent="0.2">
      <c r="A78" s="146">
        <f>IF(Values_Entered,A77+1,"")</f>
        <v>61</v>
      </c>
      <c r="B78" s="147">
        <f t="shared" si="0"/>
        <v>44166</v>
      </c>
      <c r="C78" s="148">
        <f t="shared" si="6"/>
        <v>226300.87357275243</v>
      </c>
      <c r="D78" s="148">
        <f t="shared" si="1"/>
        <v>1200.75587806059</v>
      </c>
      <c r="E78" s="149">
        <f t="shared" si="2"/>
        <v>0</v>
      </c>
      <c r="F78" s="148">
        <f t="shared" si="3"/>
        <v>1200.75587806059</v>
      </c>
      <c r="G78" s="148">
        <f t="shared" si="4"/>
        <v>436.99042975255054</v>
      </c>
      <c r="H78" s="148">
        <f t="shared" si="7"/>
        <v>763.76544830803948</v>
      </c>
      <c r="I78" s="148">
        <f t="shared" si="5"/>
        <v>225863.88314299987</v>
      </c>
      <c r="J78" s="148">
        <f>SUM($H$18:$H78)</f>
        <v>49109.99170469596</v>
      </c>
    </row>
    <row r="79" spans="1:10" x14ac:dyDescent="0.2">
      <c r="A79" s="146">
        <f>IF(Values_Entered,A78+1,"")</f>
        <v>62</v>
      </c>
      <c r="B79" s="147">
        <f t="shared" si="0"/>
        <v>44197</v>
      </c>
      <c r="C79" s="148">
        <f t="shared" si="6"/>
        <v>225863.88314299987</v>
      </c>
      <c r="D79" s="148">
        <f t="shared" si="1"/>
        <v>1200.75587806059</v>
      </c>
      <c r="E79" s="149">
        <f t="shared" si="2"/>
        <v>0</v>
      </c>
      <c r="F79" s="148">
        <f t="shared" si="3"/>
        <v>1200.75587806059</v>
      </c>
      <c r="G79" s="148">
        <f t="shared" si="4"/>
        <v>438.46527245296545</v>
      </c>
      <c r="H79" s="148">
        <f t="shared" si="7"/>
        <v>762.29060560762457</v>
      </c>
      <c r="I79" s="148">
        <f t="shared" si="5"/>
        <v>225425.41787054689</v>
      </c>
      <c r="J79" s="148">
        <f>SUM($H$18:$H79)</f>
        <v>49872.282310303584</v>
      </c>
    </row>
    <row r="80" spans="1:10" x14ac:dyDescent="0.2">
      <c r="A80" s="146">
        <f>IF(Values_Entered,A79+1,"")</f>
        <v>63</v>
      </c>
      <c r="B80" s="147">
        <f t="shared" si="0"/>
        <v>44228</v>
      </c>
      <c r="C80" s="148">
        <f t="shared" si="6"/>
        <v>225425.41787054689</v>
      </c>
      <c r="D80" s="148">
        <f t="shared" si="1"/>
        <v>1200.75587806059</v>
      </c>
      <c r="E80" s="149">
        <f t="shared" si="2"/>
        <v>0</v>
      </c>
      <c r="F80" s="148">
        <f t="shared" si="3"/>
        <v>1200.75587806059</v>
      </c>
      <c r="G80" s="148">
        <f t="shared" si="4"/>
        <v>439.94509274749419</v>
      </c>
      <c r="H80" s="148">
        <f t="shared" si="7"/>
        <v>760.81078531309583</v>
      </c>
      <c r="I80" s="148">
        <f t="shared" si="5"/>
        <v>224985.47277779941</v>
      </c>
      <c r="J80" s="148">
        <f>SUM($H$18:$H80)</f>
        <v>50633.093095616678</v>
      </c>
    </row>
    <row r="81" spans="1:10" x14ac:dyDescent="0.2">
      <c r="A81" s="146">
        <f>IF(Values_Entered,A80+1,"")</f>
        <v>64</v>
      </c>
      <c r="B81" s="147">
        <f t="shared" si="0"/>
        <v>44256</v>
      </c>
      <c r="C81" s="148">
        <f t="shared" si="6"/>
        <v>224985.47277779941</v>
      </c>
      <c r="D81" s="148">
        <f t="shared" si="1"/>
        <v>1200.75587806059</v>
      </c>
      <c r="E81" s="149">
        <f t="shared" si="2"/>
        <v>0</v>
      </c>
      <c r="F81" s="148">
        <f t="shared" si="3"/>
        <v>1200.75587806059</v>
      </c>
      <c r="G81" s="148">
        <f t="shared" si="4"/>
        <v>441.42990743551707</v>
      </c>
      <c r="H81" s="148">
        <f t="shared" si="7"/>
        <v>759.32597062507296</v>
      </c>
      <c r="I81" s="148">
        <f t="shared" si="5"/>
        <v>224544.04287036389</v>
      </c>
      <c r="J81" s="148">
        <f>SUM($H$18:$H81)</f>
        <v>51392.419066241753</v>
      </c>
    </row>
    <row r="82" spans="1:10" x14ac:dyDescent="0.2">
      <c r="A82" s="146">
        <f>IF(Values_Entered,A81+1,"")</f>
        <v>65</v>
      </c>
      <c r="B82" s="147">
        <f t="shared" ref="B82:B145" si="8">IF(Pay_Num&lt;&gt;"",DATE(YEAR(Loan_Start),MONTH(Loan_Start)+(Pay_Num)*12/Num_Pmt_Per_Year,DAY(Loan_Start)),"")</f>
        <v>44287</v>
      </c>
      <c r="C82" s="148">
        <f t="shared" si="6"/>
        <v>224544.04287036389</v>
      </c>
      <c r="D82" s="148">
        <f t="shared" ref="D82:D145" si="9">IF(Pay_Num&lt;&gt;"",Scheduled_Monthly_Payment,"")</f>
        <v>1200.75587806059</v>
      </c>
      <c r="E82" s="149">
        <f t="shared" ref="E82:E145" si="10">IF(AND(Pay_Num&lt;&gt;"",Sched_Pay+Scheduled_Extra_Payments&lt;Beg_Bal),Scheduled_Extra_Payments,IF(AND(Pay_Num&lt;&gt;"",Beg_Bal-Sched_Pay&gt;0),Beg_Bal-Sched_Pay,IF(Pay_Num&lt;&gt;"",0,"")))</f>
        <v>0</v>
      </c>
      <c r="F82" s="148">
        <f t="shared" ref="F82:F145" si="11">IF(AND(Pay_Num&lt;&gt;"",Sched_Pay+Extra_Pay&lt;Beg_Bal),Sched_Pay+Extra_Pay,IF(Pay_Num&lt;&gt;"",Beg_Bal,""))</f>
        <v>1200.75587806059</v>
      </c>
      <c r="G82" s="148">
        <f t="shared" ref="G82:G145" si="12">IF(Pay_Num&lt;&gt;"",Total_Pay-Int,"")</f>
        <v>442.91973337311185</v>
      </c>
      <c r="H82" s="148">
        <f t="shared" si="7"/>
        <v>757.83614468747817</v>
      </c>
      <c r="I82" s="148">
        <f t="shared" ref="I82:I145" si="13">IF(AND(Pay_Num&lt;&gt;"",Sched_Pay+Extra_Pay&lt;Beg_Bal),Beg_Bal-Princ,IF(Pay_Num&lt;&gt;"",0,""))</f>
        <v>224101.12313699079</v>
      </c>
      <c r="J82" s="148">
        <f>SUM($H$18:$H82)</f>
        <v>52150.25521092923</v>
      </c>
    </row>
    <row r="83" spans="1:10" x14ac:dyDescent="0.2">
      <c r="A83" s="146">
        <f>IF(Values_Entered,A82+1,"")</f>
        <v>66</v>
      </c>
      <c r="B83" s="147">
        <f t="shared" si="8"/>
        <v>44317</v>
      </c>
      <c r="C83" s="148">
        <f t="shared" ref="C83:C146" si="14">IF(Pay_Num&lt;&gt;"",I82,"")</f>
        <v>224101.12313699079</v>
      </c>
      <c r="D83" s="148">
        <f t="shared" si="9"/>
        <v>1200.75587806059</v>
      </c>
      <c r="E83" s="149">
        <f t="shared" si="10"/>
        <v>0</v>
      </c>
      <c r="F83" s="148">
        <f t="shared" si="11"/>
        <v>1200.75587806059</v>
      </c>
      <c r="G83" s="148">
        <f t="shared" si="12"/>
        <v>444.41458747324612</v>
      </c>
      <c r="H83" s="148">
        <f t="shared" ref="H83:H146" si="15">IF(Pay_Num&lt;&gt;"",Beg_Bal*Interest_Rate/Num_Pmt_Per_Year,"")</f>
        <v>756.34129058734391</v>
      </c>
      <c r="I83" s="148">
        <f t="shared" si="13"/>
        <v>223656.70854951756</v>
      </c>
      <c r="J83" s="148">
        <f>SUM($H$18:$H83)</f>
        <v>52906.596501516571</v>
      </c>
    </row>
    <row r="84" spans="1:10" x14ac:dyDescent="0.2">
      <c r="A84" s="146">
        <f>IF(Values_Entered,A83+1,"")</f>
        <v>67</v>
      </c>
      <c r="B84" s="147">
        <f t="shared" si="8"/>
        <v>44348</v>
      </c>
      <c r="C84" s="148">
        <f t="shared" si="14"/>
        <v>223656.70854951756</v>
      </c>
      <c r="D84" s="148">
        <f t="shared" si="9"/>
        <v>1200.75587806059</v>
      </c>
      <c r="E84" s="149">
        <f t="shared" si="10"/>
        <v>0</v>
      </c>
      <c r="F84" s="148">
        <f t="shared" si="11"/>
        <v>1200.75587806059</v>
      </c>
      <c r="G84" s="148">
        <f t="shared" si="12"/>
        <v>445.91448670596822</v>
      </c>
      <c r="H84" s="148">
        <f t="shared" si="15"/>
        <v>754.84139135462181</v>
      </c>
      <c r="I84" s="148">
        <f t="shared" si="13"/>
        <v>223210.79406281159</v>
      </c>
      <c r="J84" s="148">
        <f>SUM($H$18:$H84)</f>
        <v>53661.437892871196</v>
      </c>
    </row>
    <row r="85" spans="1:10" x14ac:dyDescent="0.2">
      <c r="A85" s="146">
        <f>IF(Values_Entered,A84+1,"")</f>
        <v>68</v>
      </c>
      <c r="B85" s="147">
        <f t="shared" si="8"/>
        <v>44378</v>
      </c>
      <c r="C85" s="148">
        <f t="shared" si="14"/>
        <v>223210.79406281159</v>
      </c>
      <c r="D85" s="148">
        <f t="shared" si="9"/>
        <v>1200.75587806059</v>
      </c>
      <c r="E85" s="149">
        <f t="shared" si="10"/>
        <v>0</v>
      </c>
      <c r="F85" s="148">
        <f t="shared" si="11"/>
        <v>1200.75587806059</v>
      </c>
      <c r="G85" s="148">
        <f t="shared" si="12"/>
        <v>447.41944809860081</v>
      </c>
      <c r="H85" s="148">
        <f t="shared" si="15"/>
        <v>753.33642996198921</v>
      </c>
      <c r="I85" s="148">
        <f t="shared" si="13"/>
        <v>222763.37461471299</v>
      </c>
      <c r="J85" s="148">
        <f>SUM($H$18:$H85)</f>
        <v>54414.774322833182</v>
      </c>
    </row>
    <row r="86" spans="1:10" x14ac:dyDescent="0.2">
      <c r="A86" s="146">
        <f>IF(Values_Entered,A85+1,"")</f>
        <v>69</v>
      </c>
      <c r="B86" s="147">
        <f t="shared" si="8"/>
        <v>44409</v>
      </c>
      <c r="C86" s="148">
        <f t="shared" si="14"/>
        <v>222763.37461471299</v>
      </c>
      <c r="D86" s="148">
        <f t="shared" si="9"/>
        <v>1200.75587806059</v>
      </c>
      <c r="E86" s="149">
        <f t="shared" si="10"/>
        <v>0</v>
      </c>
      <c r="F86" s="148">
        <f t="shared" si="11"/>
        <v>1200.75587806059</v>
      </c>
      <c r="G86" s="148">
        <f t="shared" si="12"/>
        <v>448.92948873593366</v>
      </c>
      <c r="H86" s="148">
        <f t="shared" si="15"/>
        <v>751.82638932465636</v>
      </c>
      <c r="I86" s="148">
        <f t="shared" si="13"/>
        <v>222314.44512597704</v>
      </c>
      <c r="J86" s="148">
        <f>SUM($H$18:$H86)</f>
        <v>55166.600712157837</v>
      </c>
    </row>
    <row r="87" spans="1:10" x14ac:dyDescent="0.2">
      <c r="A87" s="146">
        <f>IF(Values_Entered,A86+1,"")</f>
        <v>70</v>
      </c>
      <c r="B87" s="147">
        <f t="shared" si="8"/>
        <v>44440</v>
      </c>
      <c r="C87" s="148">
        <f t="shared" si="14"/>
        <v>222314.44512597704</v>
      </c>
      <c r="D87" s="148">
        <f t="shared" si="9"/>
        <v>1200.75587806059</v>
      </c>
      <c r="E87" s="149">
        <f t="shared" si="10"/>
        <v>0</v>
      </c>
      <c r="F87" s="148">
        <f t="shared" si="11"/>
        <v>1200.75587806059</v>
      </c>
      <c r="G87" s="148">
        <f t="shared" si="12"/>
        <v>450.44462576041758</v>
      </c>
      <c r="H87" s="148">
        <f t="shared" si="15"/>
        <v>750.31125230017244</v>
      </c>
      <c r="I87" s="148">
        <f t="shared" si="13"/>
        <v>221864.00050021661</v>
      </c>
      <c r="J87" s="148">
        <f>SUM($H$18:$H87)</f>
        <v>55916.911964458006</v>
      </c>
    </row>
    <row r="88" spans="1:10" x14ac:dyDescent="0.2">
      <c r="A88" s="146">
        <f>IF(Values_Entered,A87+1,"")</f>
        <v>71</v>
      </c>
      <c r="B88" s="147">
        <f t="shared" si="8"/>
        <v>44470</v>
      </c>
      <c r="C88" s="148">
        <f t="shared" si="14"/>
        <v>221864.00050021661</v>
      </c>
      <c r="D88" s="148">
        <f t="shared" si="9"/>
        <v>1200.75587806059</v>
      </c>
      <c r="E88" s="149">
        <f t="shared" si="10"/>
        <v>0</v>
      </c>
      <c r="F88" s="148">
        <f t="shared" si="11"/>
        <v>1200.75587806059</v>
      </c>
      <c r="G88" s="148">
        <f t="shared" si="12"/>
        <v>451.96487637235896</v>
      </c>
      <c r="H88" s="148">
        <f t="shared" si="15"/>
        <v>748.79100168823106</v>
      </c>
      <c r="I88" s="148">
        <f t="shared" si="13"/>
        <v>221412.03562384425</v>
      </c>
      <c r="J88" s="148">
        <f>SUM($H$18:$H88)</f>
        <v>56665.702966146237</v>
      </c>
    </row>
    <row r="89" spans="1:10" x14ac:dyDescent="0.2">
      <c r="A89" s="146">
        <f>IF(Values_Entered,A88+1,"")</f>
        <v>72</v>
      </c>
      <c r="B89" s="147">
        <f t="shared" si="8"/>
        <v>44501</v>
      </c>
      <c r="C89" s="148">
        <f t="shared" si="14"/>
        <v>221412.03562384425</v>
      </c>
      <c r="D89" s="148">
        <f t="shared" si="9"/>
        <v>1200.75587806059</v>
      </c>
      <c r="E89" s="149">
        <f t="shared" si="10"/>
        <v>0</v>
      </c>
      <c r="F89" s="148">
        <f t="shared" si="11"/>
        <v>1200.75587806059</v>
      </c>
      <c r="G89" s="148">
        <f t="shared" si="12"/>
        <v>453.49025783011564</v>
      </c>
      <c r="H89" s="148">
        <f t="shared" si="15"/>
        <v>747.26562023047438</v>
      </c>
      <c r="I89" s="148">
        <f t="shared" si="13"/>
        <v>220958.54536601412</v>
      </c>
      <c r="J89" s="148">
        <f>SUM($H$18:$H89)</f>
        <v>57412.968586376708</v>
      </c>
    </row>
    <row r="90" spans="1:10" x14ac:dyDescent="0.2">
      <c r="A90" s="146">
        <f>IF(Values_Entered,A89+1,"")</f>
        <v>73</v>
      </c>
      <c r="B90" s="147">
        <f t="shared" si="8"/>
        <v>44531</v>
      </c>
      <c r="C90" s="148">
        <f t="shared" si="14"/>
        <v>220958.54536601412</v>
      </c>
      <c r="D90" s="148">
        <f t="shared" si="9"/>
        <v>1200.75587806059</v>
      </c>
      <c r="E90" s="149">
        <f t="shared" si="10"/>
        <v>0</v>
      </c>
      <c r="F90" s="148">
        <f t="shared" si="11"/>
        <v>1200.75587806059</v>
      </c>
      <c r="G90" s="148">
        <f t="shared" si="12"/>
        <v>455.02078745029223</v>
      </c>
      <c r="H90" s="148">
        <f t="shared" si="15"/>
        <v>745.73509061029779</v>
      </c>
      <c r="I90" s="148">
        <f t="shared" si="13"/>
        <v>220503.52457856384</v>
      </c>
      <c r="J90" s="148">
        <f>SUM($H$18:$H90)</f>
        <v>58158.703676987003</v>
      </c>
    </row>
    <row r="91" spans="1:10" x14ac:dyDescent="0.2">
      <c r="A91" s="146">
        <f>IF(Values_Entered,A90+1,"")</f>
        <v>74</v>
      </c>
      <c r="B91" s="147">
        <f t="shared" si="8"/>
        <v>44562</v>
      </c>
      <c r="C91" s="148">
        <f t="shared" si="14"/>
        <v>220503.52457856384</v>
      </c>
      <c r="D91" s="148">
        <f t="shared" si="9"/>
        <v>1200.75587806059</v>
      </c>
      <c r="E91" s="149">
        <f t="shared" si="10"/>
        <v>0</v>
      </c>
      <c r="F91" s="148">
        <f t="shared" si="11"/>
        <v>1200.75587806059</v>
      </c>
      <c r="G91" s="148">
        <f t="shared" si="12"/>
        <v>456.55648260793703</v>
      </c>
      <c r="H91" s="148">
        <f t="shared" si="15"/>
        <v>744.19939545265299</v>
      </c>
      <c r="I91" s="148">
        <f t="shared" si="13"/>
        <v>220046.9680959559</v>
      </c>
      <c r="J91" s="148">
        <f>SUM($H$18:$H91)</f>
        <v>58902.903072439658</v>
      </c>
    </row>
    <row r="92" spans="1:10" x14ac:dyDescent="0.2">
      <c r="A92" s="146">
        <f>IF(Values_Entered,A91+1,"")</f>
        <v>75</v>
      </c>
      <c r="B92" s="147">
        <f t="shared" si="8"/>
        <v>44593</v>
      </c>
      <c r="C92" s="148">
        <f t="shared" si="14"/>
        <v>220046.9680959559</v>
      </c>
      <c r="D92" s="148">
        <f t="shared" si="9"/>
        <v>1200.75587806059</v>
      </c>
      <c r="E92" s="149">
        <f t="shared" si="10"/>
        <v>0</v>
      </c>
      <c r="F92" s="148">
        <f t="shared" si="11"/>
        <v>1200.75587806059</v>
      </c>
      <c r="G92" s="148">
        <f t="shared" si="12"/>
        <v>458.09736073673878</v>
      </c>
      <c r="H92" s="148">
        <f t="shared" si="15"/>
        <v>742.65851732385124</v>
      </c>
      <c r="I92" s="148">
        <f t="shared" si="13"/>
        <v>219588.87073521916</v>
      </c>
      <c r="J92" s="148">
        <f>SUM($H$18:$H92)</f>
        <v>59645.561589763507</v>
      </c>
    </row>
    <row r="93" spans="1:10" x14ac:dyDescent="0.2">
      <c r="A93" s="146">
        <f>IF(Values_Entered,A92+1,"")</f>
        <v>76</v>
      </c>
      <c r="B93" s="147">
        <f t="shared" si="8"/>
        <v>44621</v>
      </c>
      <c r="C93" s="148">
        <f t="shared" si="14"/>
        <v>219588.87073521916</v>
      </c>
      <c r="D93" s="148">
        <f t="shared" si="9"/>
        <v>1200.75587806059</v>
      </c>
      <c r="E93" s="149">
        <f t="shared" si="10"/>
        <v>0</v>
      </c>
      <c r="F93" s="148">
        <f t="shared" si="11"/>
        <v>1200.75587806059</v>
      </c>
      <c r="G93" s="148">
        <f t="shared" si="12"/>
        <v>459.64343932922532</v>
      </c>
      <c r="H93" s="148">
        <f t="shared" si="15"/>
        <v>741.1124387313647</v>
      </c>
      <c r="I93" s="148">
        <f t="shared" si="13"/>
        <v>219129.22729588993</v>
      </c>
      <c r="J93" s="148">
        <f>SUM($H$18:$H93)</f>
        <v>60386.674028494868</v>
      </c>
    </row>
    <row r="94" spans="1:10" x14ac:dyDescent="0.2">
      <c r="A94" s="146">
        <f>IF(Values_Entered,A93+1,"")</f>
        <v>77</v>
      </c>
      <c r="B94" s="147">
        <f t="shared" si="8"/>
        <v>44652</v>
      </c>
      <c r="C94" s="148">
        <f t="shared" si="14"/>
        <v>219129.22729588993</v>
      </c>
      <c r="D94" s="148">
        <f t="shared" si="9"/>
        <v>1200.75587806059</v>
      </c>
      <c r="E94" s="149">
        <f t="shared" si="10"/>
        <v>0</v>
      </c>
      <c r="F94" s="148">
        <f t="shared" si="11"/>
        <v>1200.75587806059</v>
      </c>
      <c r="G94" s="148">
        <f t="shared" si="12"/>
        <v>461.19473593696148</v>
      </c>
      <c r="H94" s="148">
        <f t="shared" si="15"/>
        <v>739.56114212362854</v>
      </c>
      <c r="I94" s="148">
        <f t="shared" si="13"/>
        <v>218668.03255995296</v>
      </c>
      <c r="J94" s="148">
        <f>SUM($H$18:$H94)</f>
        <v>61126.2351706185</v>
      </c>
    </row>
    <row r="95" spans="1:10" x14ac:dyDescent="0.2">
      <c r="A95" s="146">
        <f>IF(Values_Entered,A94+1,"")</f>
        <v>78</v>
      </c>
      <c r="B95" s="147">
        <f t="shared" si="8"/>
        <v>44682</v>
      </c>
      <c r="C95" s="148">
        <f t="shared" si="14"/>
        <v>218668.03255995296</v>
      </c>
      <c r="D95" s="148">
        <f t="shared" si="9"/>
        <v>1200.75587806059</v>
      </c>
      <c r="E95" s="149">
        <f t="shared" si="10"/>
        <v>0</v>
      </c>
      <c r="F95" s="148">
        <f t="shared" si="11"/>
        <v>1200.75587806059</v>
      </c>
      <c r="G95" s="148">
        <f t="shared" si="12"/>
        <v>462.75126817074886</v>
      </c>
      <c r="H95" s="148">
        <f t="shared" si="15"/>
        <v>738.00460988984116</v>
      </c>
      <c r="I95" s="148">
        <f t="shared" si="13"/>
        <v>218205.28129178222</v>
      </c>
      <c r="J95" s="148">
        <f>SUM($H$18:$H95)</f>
        <v>61864.239780508338</v>
      </c>
    </row>
    <row r="96" spans="1:10" x14ac:dyDescent="0.2">
      <c r="A96" s="146">
        <f>IF(Values_Entered,A95+1,"")</f>
        <v>79</v>
      </c>
      <c r="B96" s="147">
        <f t="shared" si="8"/>
        <v>44713</v>
      </c>
      <c r="C96" s="148">
        <f t="shared" si="14"/>
        <v>218205.28129178222</v>
      </c>
      <c r="D96" s="148">
        <f t="shared" si="9"/>
        <v>1200.75587806059</v>
      </c>
      <c r="E96" s="149">
        <f t="shared" si="10"/>
        <v>0</v>
      </c>
      <c r="F96" s="148">
        <f t="shared" si="11"/>
        <v>1200.75587806059</v>
      </c>
      <c r="G96" s="148">
        <f t="shared" si="12"/>
        <v>464.31305370082509</v>
      </c>
      <c r="H96" s="148">
        <f t="shared" si="15"/>
        <v>736.44282435976493</v>
      </c>
      <c r="I96" s="148">
        <f t="shared" si="13"/>
        <v>217740.9682380814</v>
      </c>
      <c r="J96" s="148">
        <f>SUM($H$18:$H96)</f>
        <v>62600.682604868103</v>
      </c>
    </row>
    <row r="97" spans="1:10" x14ac:dyDescent="0.2">
      <c r="A97" s="146">
        <f>IF(Values_Entered,A96+1,"")</f>
        <v>80</v>
      </c>
      <c r="B97" s="147">
        <f t="shared" si="8"/>
        <v>44743</v>
      </c>
      <c r="C97" s="148">
        <f t="shared" si="14"/>
        <v>217740.9682380814</v>
      </c>
      <c r="D97" s="148">
        <f t="shared" si="9"/>
        <v>1200.75587806059</v>
      </c>
      <c r="E97" s="149">
        <f t="shared" si="10"/>
        <v>0</v>
      </c>
      <c r="F97" s="148">
        <f t="shared" si="11"/>
        <v>1200.75587806059</v>
      </c>
      <c r="G97" s="148">
        <f t="shared" si="12"/>
        <v>465.88011025706521</v>
      </c>
      <c r="H97" s="148">
        <f t="shared" si="15"/>
        <v>734.87576780352481</v>
      </c>
      <c r="I97" s="148">
        <f t="shared" si="13"/>
        <v>217275.08812782433</v>
      </c>
      <c r="J97" s="148">
        <f>SUM($H$18:$H97)</f>
        <v>63335.558372671629</v>
      </c>
    </row>
    <row r="98" spans="1:10" x14ac:dyDescent="0.2">
      <c r="A98" s="146">
        <f>IF(Values_Entered,A97+1,"")</f>
        <v>81</v>
      </c>
      <c r="B98" s="147">
        <f t="shared" si="8"/>
        <v>44774</v>
      </c>
      <c r="C98" s="148">
        <f t="shared" si="14"/>
        <v>217275.08812782433</v>
      </c>
      <c r="D98" s="148">
        <f t="shared" si="9"/>
        <v>1200.75587806059</v>
      </c>
      <c r="E98" s="149">
        <f t="shared" si="10"/>
        <v>0</v>
      </c>
      <c r="F98" s="148">
        <f t="shared" si="11"/>
        <v>1200.75587806059</v>
      </c>
      <c r="G98" s="148">
        <f t="shared" si="12"/>
        <v>467.45245562918296</v>
      </c>
      <c r="H98" s="148">
        <f t="shared" si="15"/>
        <v>733.30342243140706</v>
      </c>
      <c r="I98" s="148">
        <f t="shared" si="13"/>
        <v>216807.63567219515</v>
      </c>
      <c r="J98" s="148">
        <f>SUM($H$18:$H98)</f>
        <v>64068.861795103039</v>
      </c>
    </row>
    <row r="99" spans="1:10" x14ac:dyDescent="0.2">
      <c r="A99" s="146">
        <f>IF(Values_Entered,A98+1,"")</f>
        <v>82</v>
      </c>
      <c r="B99" s="147">
        <f t="shared" si="8"/>
        <v>44805</v>
      </c>
      <c r="C99" s="148">
        <f t="shared" si="14"/>
        <v>216807.63567219515</v>
      </c>
      <c r="D99" s="148">
        <f t="shared" si="9"/>
        <v>1200.75587806059</v>
      </c>
      <c r="E99" s="149">
        <f t="shared" si="10"/>
        <v>0</v>
      </c>
      <c r="F99" s="148">
        <f t="shared" si="11"/>
        <v>1200.75587806059</v>
      </c>
      <c r="G99" s="148">
        <f t="shared" si="12"/>
        <v>469.03010766693149</v>
      </c>
      <c r="H99" s="148">
        <f t="shared" si="15"/>
        <v>731.72577039365854</v>
      </c>
      <c r="I99" s="148">
        <f t="shared" si="13"/>
        <v>216338.6055645282</v>
      </c>
      <c r="J99" s="148">
        <f>SUM($H$18:$H99)</f>
        <v>64800.587565496695</v>
      </c>
    </row>
    <row r="100" spans="1:10" x14ac:dyDescent="0.2">
      <c r="A100" s="146">
        <f>IF(Values_Entered,A99+1,"")</f>
        <v>83</v>
      </c>
      <c r="B100" s="147">
        <f t="shared" si="8"/>
        <v>44835</v>
      </c>
      <c r="C100" s="148">
        <f t="shared" si="14"/>
        <v>216338.6055645282</v>
      </c>
      <c r="D100" s="148">
        <f t="shared" si="9"/>
        <v>1200.75587806059</v>
      </c>
      <c r="E100" s="149">
        <f t="shared" si="10"/>
        <v>0</v>
      </c>
      <c r="F100" s="148">
        <f t="shared" si="11"/>
        <v>1200.75587806059</v>
      </c>
      <c r="G100" s="148">
        <f t="shared" si="12"/>
        <v>470.61308428030725</v>
      </c>
      <c r="H100" s="148">
        <f t="shared" si="15"/>
        <v>730.14279378028277</v>
      </c>
      <c r="I100" s="148">
        <f t="shared" si="13"/>
        <v>215867.99248024789</v>
      </c>
      <c r="J100" s="148">
        <f>SUM($H$18:$H100)</f>
        <v>65530.730359276975</v>
      </c>
    </row>
    <row r="101" spans="1:10" x14ac:dyDescent="0.2">
      <c r="A101" s="146">
        <f>IF(Values_Entered,A100+1,"")</f>
        <v>84</v>
      </c>
      <c r="B101" s="147">
        <f t="shared" si="8"/>
        <v>44866</v>
      </c>
      <c r="C101" s="148">
        <f t="shared" si="14"/>
        <v>215867.99248024789</v>
      </c>
      <c r="D101" s="148">
        <f t="shared" si="9"/>
        <v>1200.75587806059</v>
      </c>
      <c r="E101" s="149">
        <f t="shared" si="10"/>
        <v>0</v>
      </c>
      <c r="F101" s="148">
        <f t="shared" si="11"/>
        <v>1200.75587806059</v>
      </c>
      <c r="G101" s="148">
        <f t="shared" si="12"/>
        <v>472.20140343975334</v>
      </c>
      <c r="H101" s="148">
        <f t="shared" si="15"/>
        <v>728.55447462083669</v>
      </c>
      <c r="I101" s="148">
        <f t="shared" si="13"/>
        <v>215395.79107680815</v>
      </c>
      <c r="J101" s="148">
        <f>SUM($H$18:$H101)</f>
        <v>66259.284833897807</v>
      </c>
    </row>
    <row r="102" spans="1:10" x14ac:dyDescent="0.2">
      <c r="A102" s="146">
        <f>IF(Values_Entered,A101+1,"")</f>
        <v>85</v>
      </c>
      <c r="B102" s="147">
        <f t="shared" si="8"/>
        <v>44896</v>
      </c>
      <c r="C102" s="148">
        <f t="shared" si="14"/>
        <v>215395.79107680815</v>
      </c>
      <c r="D102" s="148">
        <f t="shared" si="9"/>
        <v>1200.75587806059</v>
      </c>
      <c r="E102" s="149">
        <f t="shared" si="10"/>
        <v>0</v>
      </c>
      <c r="F102" s="148">
        <f t="shared" si="11"/>
        <v>1200.75587806059</v>
      </c>
      <c r="G102" s="148">
        <f t="shared" si="12"/>
        <v>473.79508317636248</v>
      </c>
      <c r="H102" s="148">
        <f t="shared" si="15"/>
        <v>726.96079488422754</v>
      </c>
      <c r="I102" s="148">
        <f t="shared" si="13"/>
        <v>214921.99599363178</v>
      </c>
      <c r="J102" s="148">
        <f>SUM($H$18:$H102)</f>
        <v>66986.245628782039</v>
      </c>
    </row>
    <row r="103" spans="1:10" x14ac:dyDescent="0.2">
      <c r="A103" s="146">
        <f>IF(Values_Entered,A102+1,"")</f>
        <v>86</v>
      </c>
      <c r="B103" s="147">
        <f t="shared" si="8"/>
        <v>44927</v>
      </c>
      <c r="C103" s="148">
        <f t="shared" si="14"/>
        <v>214921.99599363178</v>
      </c>
      <c r="D103" s="148">
        <f t="shared" si="9"/>
        <v>1200.75587806059</v>
      </c>
      <c r="E103" s="149">
        <f t="shared" si="10"/>
        <v>0</v>
      </c>
      <c r="F103" s="148">
        <f t="shared" si="11"/>
        <v>1200.75587806059</v>
      </c>
      <c r="G103" s="148">
        <f t="shared" si="12"/>
        <v>475.39414158208274</v>
      </c>
      <c r="H103" s="148">
        <f t="shared" si="15"/>
        <v>725.36173647850728</v>
      </c>
      <c r="I103" s="148">
        <f t="shared" si="13"/>
        <v>214446.6018520497</v>
      </c>
      <c r="J103" s="148">
        <f>SUM($H$18:$H103)</f>
        <v>67711.607365260541</v>
      </c>
    </row>
    <row r="104" spans="1:10" x14ac:dyDescent="0.2">
      <c r="A104" s="146">
        <f>IF(Values_Entered,A103+1,"")</f>
        <v>87</v>
      </c>
      <c r="B104" s="147">
        <f t="shared" si="8"/>
        <v>44958</v>
      </c>
      <c r="C104" s="148">
        <f t="shared" si="14"/>
        <v>214446.6018520497</v>
      </c>
      <c r="D104" s="148">
        <f t="shared" si="9"/>
        <v>1200.75587806059</v>
      </c>
      <c r="E104" s="149">
        <f t="shared" si="10"/>
        <v>0</v>
      </c>
      <c r="F104" s="148">
        <f t="shared" si="11"/>
        <v>1200.75587806059</v>
      </c>
      <c r="G104" s="148">
        <f t="shared" si="12"/>
        <v>476.99859680992222</v>
      </c>
      <c r="H104" s="148">
        <f t="shared" si="15"/>
        <v>723.7572812506678</v>
      </c>
      <c r="I104" s="148">
        <f t="shared" si="13"/>
        <v>213969.60325523978</v>
      </c>
      <c r="J104" s="148">
        <f>SUM($H$18:$H104)</f>
        <v>68435.364646511211</v>
      </c>
    </row>
    <row r="105" spans="1:10" x14ac:dyDescent="0.2">
      <c r="A105" s="146">
        <f>IF(Values_Entered,A104+1,"")</f>
        <v>88</v>
      </c>
      <c r="B105" s="147">
        <f t="shared" si="8"/>
        <v>44986</v>
      </c>
      <c r="C105" s="148">
        <f t="shared" si="14"/>
        <v>213969.60325523978</v>
      </c>
      <c r="D105" s="148">
        <f t="shared" si="9"/>
        <v>1200.75587806059</v>
      </c>
      <c r="E105" s="149">
        <f t="shared" si="10"/>
        <v>0</v>
      </c>
      <c r="F105" s="148">
        <f t="shared" si="11"/>
        <v>1200.75587806059</v>
      </c>
      <c r="G105" s="148">
        <f t="shared" si="12"/>
        <v>478.60846707415567</v>
      </c>
      <c r="H105" s="148">
        <f t="shared" si="15"/>
        <v>722.14741098643435</v>
      </c>
      <c r="I105" s="148">
        <f t="shared" si="13"/>
        <v>213490.99478816561</v>
      </c>
      <c r="J105" s="148">
        <f>SUM($H$18:$H105)</f>
        <v>69157.512057497646</v>
      </c>
    </row>
    <row r="106" spans="1:10" x14ac:dyDescent="0.2">
      <c r="A106" s="146">
        <f>IF(Values_Entered,A105+1,"")</f>
        <v>89</v>
      </c>
      <c r="B106" s="147">
        <f t="shared" si="8"/>
        <v>45017</v>
      </c>
      <c r="C106" s="148">
        <f t="shared" si="14"/>
        <v>213490.99478816561</v>
      </c>
      <c r="D106" s="148">
        <f t="shared" si="9"/>
        <v>1200.75587806059</v>
      </c>
      <c r="E106" s="149">
        <f t="shared" si="10"/>
        <v>0</v>
      </c>
      <c r="F106" s="148">
        <f t="shared" si="11"/>
        <v>1200.75587806059</v>
      </c>
      <c r="G106" s="148">
        <f t="shared" si="12"/>
        <v>480.22377065053104</v>
      </c>
      <c r="H106" s="148">
        <f t="shared" si="15"/>
        <v>720.53210741005898</v>
      </c>
      <c r="I106" s="148">
        <f t="shared" si="13"/>
        <v>213010.77101751507</v>
      </c>
      <c r="J106" s="148">
        <f>SUM($H$18:$H106)</f>
        <v>69878.044164907711</v>
      </c>
    </row>
    <row r="107" spans="1:10" x14ac:dyDescent="0.2">
      <c r="A107" s="146">
        <f>IF(Values_Entered,A106+1,"")</f>
        <v>90</v>
      </c>
      <c r="B107" s="147">
        <f t="shared" si="8"/>
        <v>45047</v>
      </c>
      <c r="C107" s="148">
        <f t="shared" si="14"/>
        <v>213010.77101751507</v>
      </c>
      <c r="D107" s="148">
        <f t="shared" si="9"/>
        <v>1200.75587806059</v>
      </c>
      <c r="E107" s="149">
        <f t="shared" si="10"/>
        <v>0</v>
      </c>
      <c r="F107" s="148">
        <f t="shared" si="11"/>
        <v>1200.75587806059</v>
      </c>
      <c r="G107" s="148">
        <f t="shared" si="12"/>
        <v>481.84452587647672</v>
      </c>
      <c r="H107" s="148">
        <f t="shared" si="15"/>
        <v>718.9113521841133</v>
      </c>
      <c r="I107" s="148">
        <f t="shared" si="13"/>
        <v>212528.92649163859</v>
      </c>
      <c r="J107" s="148">
        <f>SUM($H$18:$H107)</f>
        <v>70596.955517091817</v>
      </c>
    </row>
    <row r="108" spans="1:10" x14ac:dyDescent="0.2">
      <c r="A108" s="146">
        <f>IF(Values_Entered,A107+1,"")</f>
        <v>91</v>
      </c>
      <c r="B108" s="147">
        <f t="shared" si="8"/>
        <v>45078</v>
      </c>
      <c r="C108" s="148">
        <f t="shared" si="14"/>
        <v>212528.92649163859</v>
      </c>
      <c r="D108" s="148">
        <f t="shared" si="9"/>
        <v>1200.75587806059</v>
      </c>
      <c r="E108" s="149">
        <f t="shared" si="10"/>
        <v>0</v>
      </c>
      <c r="F108" s="148">
        <f t="shared" si="11"/>
        <v>1200.75587806059</v>
      </c>
      <c r="G108" s="148">
        <f t="shared" si="12"/>
        <v>483.47075115130974</v>
      </c>
      <c r="H108" s="148">
        <f t="shared" si="15"/>
        <v>717.28512690928028</v>
      </c>
      <c r="I108" s="148">
        <f t="shared" si="13"/>
        <v>212045.45574048729</v>
      </c>
      <c r="J108" s="148">
        <f>SUM($H$18:$H108)</f>
        <v>71314.240644001096</v>
      </c>
    </row>
    <row r="109" spans="1:10" x14ac:dyDescent="0.2">
      <c r="A109" s="146">
        <f>IF(Values_Entered,A108+1,"")</f>
        <v>92</v>
      </c>
      <c r="B109" s="147">
        <f t="shared" si="8"/>
        <v>45108</v>
      </c>
      <c r="C109" s="148">
        <f t="shared" si="14"/>
        <v>212045.45574048729</v>
      </c>
      <c r="D109" s="148">
        <f t="shared" si="9"/>
        <v>1200.75587806059</v>
      </c>
      <c r="E109" s="149">
        <f t="shared" si="10"/>
        <v>0</v>
      </c>
      <c r="F109" s="148">
        <f t="shared" si="11"/>
        <v>1200.75587806059</v>
      </c>
      <c r="G109" s="148">
        <f t="shared" si="12"/>
        <v>485.10246493644536</v>
      </c>
      <c r="H109" s="148">
        <f t="shared" si="15"/>
        <v>715.65341312414466</v>
      </c>
      <c r="I109" s="148">
        <f t="shared" si="13"/>
        <v>211560.35327555085</v>
      </c>
      <c r="J109" s="148">
        <f>SUM($H$18:$H109)</f>
        <v>72029.894057125246</v>
      </c>
    </row>
    <row r="110" spans="1:10" x14ac:dyDescent="0.2">
      <c r="A110" s="146">
        <f>IF(Values_Entered,A109+1,"")</f>
        <v>93</v>
      </c>
      <c r="B110" s="147">
        <f t="shared" si="8"/>
        <v>45139</v>
      </c>
      <c r="C110" s="148">
        <f t="shared" si="14"/>
        <v>211560.35327555085</v>
      </c>
      <c r="D110" s="148">
        <f t="shared" si="9"/>
        <v>1200.75587806059</v>
      </c>
      <c r="E110" s="149">
        <f t="shared" si="10"/>
        <v>0</v>
      </c>
      <c r="F110" s="148">
        <f t="shared" si="11"/>
        <v>1200.75587806059</v>
      </c>
      <c r="G110" s="148">
        <f t="shared" si="12"/>
        <v>486.73968575560593</v>
      </c>
      <c r="H110" s="148">
        <f t="shared" si="15"/>
        <v>714.01619230498409</v>
      </c>
      <c r="I110" s="148">
        <f t="shared" si="13"/>
        <v>211073.61358979525</v>
      </c>
      <c r="J110" s="148">
        <f>SUM($H$18:$H110)</f>
        <v>72743.910249430235</v>
      </c>
    </row>
    <row r="111" spans="1:10" x14ac:dyDescent="0.2">
      <c r="A111" s="146">
        <f>IF(Values_Entered,A110+1,"")</f>
        <v>94</v>
      </c>
      <c r="B111" s="147">
        <f t="shared" si="8"/>
        <v>45170</v>
      </c>
      <c r="C111" s="148">
        <f t="shared" si="14"/>
        <v>211073.61358979525</v>
      </c>
      <c r="D111" s="148">
        <f t="shared" si="9"/>
        <v>1200.75587806059</v>
      </c>
      <c r="E111" s="149">
        <f t="shared" si="10"/>
        <v>0</v>
      </c>
      <c r="F111" s="148">
        <f t="shared" si="11"/>
        <v>1200.75587806059</v>
      </c>
      <c r="G111" s="148">
        <f t="shared" si="12"/>
        <v>488.38243219503101</v>
      </c>
      <c r="H111" s="148">
        <f t="shared" si="15"/>
        <v>712.37344586555901</v>
      </c>
      <c r="I111" s="148">
        <f t="shared" si="13"/>
        <v>210585.23115760021</v>
      </c>
      <c r="J111" s="148">
        <f>SUM($H$18:$H111)</f>
        <v>73456.283695295788</v>
      </c>
    </row>
    <row r="112" spans="1:10" x14ac:dyDescent="0.2">
      <c r="A112" s="146">
        <f>IF(Values_Entered,A111+1,"")</f>
        <v>95</v>
      </c>
      <c r="B112" s="147">
        <f t="shared" si="8"/>
        <v>45200</v>
      </c>
      <c r="C112" s="148">
        <f t="shared" si="14"/>
        <v>210585.23115760021</v>
      </c>
      <c r="D112" s="148">
        <f t="shared" si="9"/>
        <v>1200.75587806059</v>
      </c>
      <c r="E112" s="149">
        <f t="shared" si="10"/>
        <v>0</v>
      </c>
      <c r="F112" s="148">
        <f t="shared" si="11"/>
        <v>1200.75587806059</v>
      </c>
      <c r="G112" s="148">
        <f t="shared" si="12"/>
        <v>490.03072290368925</v>
      </c>
      <c r="H112" s="148">
        <f t="shared" si="15"/>
        <v>710.72515515690077</v>
      </c>
      <c r="I112" s="148">
        <f t="shared" si="13"/>
        <v>210095.20043469651</v>
      </c>
      <c r="J112" s="148">
        <f>SUM($H$18:$H112)</f>
        <v>74167.008850452694</v>
      </c>
    </row>
    <row r="113" spans="1:10" x14ac:dyDescent="0.2">
      <c r="A113" s="146">
        <f>IF(Values_Entered,A112+1,"")</f>
        <v>96</v>
      </c>
      <c r="B113" s="147">
        <f t="shared" si="8"/>
        <v>45231</v>
      </c>
      <c r="C113" s="148">
        <f t="shared" si="14"/>
        <v>210095.20043469651</v>
      </c>
      <c r="D113" s="148">
        <f t="shared" si="9"/>
        <v>1200.75587806059</v>
      </c>
      <c r="E113" s="149">
        <f t="shared" si="10"/>
        <v>0</v>
      </c>
      <c r="F113" s="148">
        <f t="shared" si="11"/>
        <v>1200.75587806059</v>
      </c>
      <c r="G113" s="148">
        <f t="shared" si="12"/>
        <v>491.68457659348917</v>
      </c>
      <c r="H113" s="148">
        <f t="shared" si="15"/>
        <v>709.07130146710085</v>
      </c>
      <c r="I113" s="148">
        <f t="shared" si="13"/>
        <v>209603.51585810303</v>
      </c>
      <c r="J113" s="148">
        <f>SUM($H$18:$H113)</f>
        <v>74876.080151919799</v>
      </c>
    </row>
    <row r="114" spans="1:10" x14ac:dyDescent="0.2">
      <c r="A114" s="146">
        <f>IF(Values_Entered,A113+1,"")</f>
        <v>97</v>
      </c>
      <c r="B114" s="147">
        <f t="shared" si="8"/>
        <v>45261</v>
      </c>
      <c r="C114" s="148">
        <f t="shared" si="14"/>
        <v>209603.51585810303</v>
      </c>
      <c r="D114" s="148">
        <f t="shared" si="9"/>
        <v>1200.75587806059</v>
      </c>
      <c r="E114" s="149">
        <f t="shared" si="10"/>
        <v>0</v>
      </c>
      <c r="F114" s="148">
        <f t="shared" si="11"/>
        <v>1200.75587806059</v>
      </c>
      <c r="G114" s="148">
        <f t="shared" si="12"/>
        <v>493.34401203949221</v>
      </c>
      <c r="H114" s="148">
        <f t="shared" si="15"/>
        <v>707.41186602109781</v>
      </c>
      <c r="I114" s="148">
        <f t="shared" si="13"/>
        <v>209110.17184606355</v>
      </c>
      <c r="J114" s="148">
        <f>SUM($H$18:$H114)</f>
        <v>75583.492017940895</v>
      </c>
    </row>
    <row r="115" spans="1:10" x14ac:dyDescent="0.2">
      <c r="A115" s="146">
        <f>IF(Values_Entered,A114+1,"")</f>
        <v>98</v>
      </c>
      <c r="B115" s="147">
        <f t="shared" si="8"/>
        <v>45292</v>
      </c>
      <c r="C115" s="148">
        <f t="shared" si="14"/>
        <v>209110.17184606355</v>
      </c>
      <c r="D115" s="148">
        <f t="shared" si="9"/>
        <v>1200.75587806059</v>
      </c>
      <c r="E115" s="149">
        <f t="shared" si="10"/>
        <v>0</v>
      </c>
      <c r="F115" s="148">
        <f t="shared" si="11"/>
        <v>1200.75587806059</v>
      </c>
      <c r="G115" s="148">
        <f t="shared" si="12"/>
        <v>495.00904808012547</v>
      </c>
      <c r="H115" s="148">
        <f t="shared" si="15"/>
        <v>705.74682998046455</v>
      </c>
      <c r="I115" s="148">
        <f t="shared" si="13"/>
        <v>208615.16279798342</v>
      </c>
      <c r="J115" s="148">
        <f>SUM($H$18:$H115)</f>
        <v>76289.238847921355</v>
      </c>
    </row>
    <row r="116" spans="1:10" x14ac:dyDescent="0.2">
      <c r="A116" s="146">
        <f>IF(Values_Entered,A115+1,"")</f>
        <v>99</v>
      </c>
      <c r="B116" s="147">
        <f t="shared" si="8"/>
        <v>45323</v>
      </c>
      <c r="C116" s="148">
        <f t="shared" si="14"/>
        <v>208615.16279798342</v>
      </c>
      <c r="D116" s="148">
        <f t="shared" si="9"/>
        <v>1200.75587806059</v>
      </c>
      <c r="E116" s="149">
        <f t="shared" si="10"/>
        <v>0</v>
      </c>
      <c r="F116" s="148">
        <f t="shared" si="11"/>
        <v>1200.75587806059</v>
      </c>
      <c r="G116" s="148">
        <f t="shared" si="12"/>
        <v>496.67970361739606</v>
      </c>
      <c r="H116" s="148">
        <f t="shared" si="15"/>
        <v>704.07617444319396</v>
      </c>
      <c r="I116" s="148">
        <f t="shared" si="13"/>
        <v>208118.48309436601</v>
      </c>
      <c r="J116" s="148">
        <f>SUM($H$18:$H116)</f>
        <v>76993.31502236455</v>
      </c>
    </row>
    <row r="117" spans="1:10" x14ac:dyDescent="0.2">
      <c r="A117" s="146">
        <f>IF(Values_Entered,A116+1,"")</f>
        <v>100</v>
      </c>
      <c r="B117" s="147">
        <f t="shared" si="8"/>
        <v>45352</v>
      </c>
      <c r="C117" s="148">
        <f t="shared" si="14"/>
        <v>208118.48309436601</v>
      </c>
      <c r="D117" s="148">
        <f t="shared" si="9"/>
        <v>1200.75587806059</v>
      </c>
      <c r="E117" s="149">
        <f t="shared" si="10"/>
        <v>0</v>
      </c>
      <c r="F117" s="148">
        <f t="shared" si="11"/>
        <v>1200.75587806059</v>
      </c>
      <c r="G117" s="148">
        <f t="shared" si="12"/>
        <v>498.35599761710466</v>
      </c>
      <c r="H117" s="148">
        <f t="shared" si="15"/>
        <v>702.39988044348536</v>
      </c>
      <c r="I117" s="148">
        <f t="shared" si="13"/>
        <v>207620.12709674891</v>
      </c>
      <c r="J117" s="148">
        <f>SUM($H$18:$H117)</f>
        <v>77695.714902808031</v>
      </c>
    </row>
    <row r="118" spans="1:10" x14ac:dyDescent="0.2">
      <c r="A118" s="146">
        <f>IF(Values_Entered,A117+1,"")</f>
        <v>101</v>
      </c>
      <c r="B118" s="147">
        <f t="shared" si="8"/>
        <v>45383</v>
      </c>
      <c r="C118" s="148">
        <f t="shared" si="14"/>
        <v>207620.12709674891</v>
      </c>
      <c r="D118" s="148">
        <f t="shared" si="9"/>
        <v>1200.75587806059</v>
      </c>
      <c r="E118" s="149">
        <f t="shared" si="10"/>
        <v>0</v>
      </c>
      <c r="F118" s="148">
        <f t="shared" si="11"/>
        <v>1200.75587806059</v>
      </c>
      <c r="G118" s="148">
        <f t="shared" si="12"/>
        <v>500.03794910906242</v>
      </c>
      <c r="H118" s="148">
        <f t="shared" si="15"/>
        <v>700.7179289515276</v>
      </c>
      <c r="I118" s="148">
        <f t="shared" si="13"/>
        <v>207120.08914763984</v>
      </c>
      <c r="J118" s="148">
        <f>SUM($H$18:$H118)</f>
        <v>78396.432831759565</v>
      </c>
    </row>
    <row r="119" spans="1:10" x14ac:dyDescent="0.2">
      <c r="A119" s="146">
        <f>IF(Values_Entered,A118+1,"")</f>
        <v>102</v>
      </c>
      <c r="B119" s="147">
        <f t="shared" si="8"/>
        <v>45413</v>
      </c>
      <c r="C119" s="148">
        <f t="shared" si="14"/>
        <v>207120.08914763984</v>
      </c>
      <c r="D119" s="148">
        <f t="shared" si="9"/>
        <v>1200.75587806059</v>
      </c>
      <c r="E119" s="149">
        <f t="shared" si="10"/>
        <v>0</v>
      </c>
      <c r="F119" s="148">
        <f t="shared" si="11"/>
        <v>1200.75587806059</v>
      </c>
      <c r="G119" s="148">
        <f t="shared" si="12"/>
        <v>501.72557718730559</v>
      </c>
      <c r="H119" s="148">
        <f t="shared" si="15"/>
        <v>699.03030087328443</v>
      </c>
      <c r="I119" s="148">
        <f t="shared" si="13"/>
        <v>206618.36357045252</v>
      </c>
      <c r="J119" s="148">
        <f>SUM($H$18:$H119)</f>
        <v>79095.463132632853</v>
      </c>
    </row>
    <row r="120" spans="1:10" x14ac:dyDescent="0.2">
      <c r="A120" s="146">
        <f>IF(Values_Entered,A119+1,"")</f>
        <v>103</v>
      </c>
      <c r="B120" s="147">
        <f t="shared" si="8"/>
        <v>45444</v>
      </c>
      <c r="C120" s="148">
        <f t="shared" si="14"/>
        <v>206618.36357045252</v>
      </c>
      <c r="D120" s="148">
        <f t="shared" si="9"/>
        <v>1200.75587806059</v>
      </c>
      <c r="E120" s="149">
        <f t="shared" si="10"/>
        <v>0</v>
      </c>
      <c r="F120" s="148">
        <f t="shared" si="11"/>
        <v>1200.75587806059</v>
      </c>
      <c r="G120" s="148">
        <f t="shared" si="12"/>
        <v>503.41890101031277</v>
      </c>
      <c r="H120" s="148">
        <f t="shared" si="15"/>
        <v>697.33697705027726</v>
      </c>
      <c r="I120" s="148">
        <f t="shared" si="13"/>
        <v>206114.94466944222</v>
      </c>
      <c r="J120" s="148">
        <f>SUM($H$18:$H120)</f>
        <v>79792.800109683129</v>
      </c>
    </row>
    <row r="121" spans="1:10" x14ac:dyDescent="0.2">
      <c r="A121" s="146">
        <f>IF(Values_Entered,A120+1,"")</f>
        <v>104</v>
      </c>
      <c r="B121" s="147">
        <f t="shared" si="8"/>
        <v>45474</v>
      </c>
      <c r="C121" s="148">
        <f t="shared" si="14"/>
        <v>206114.94466944222</v>
      </c>
      <c r="D121" s="148">
        <f t="shared" si="9"/>
        <v>1200.75587806059</v>
      </c>
      <c r="E121" s="149">
        <f t="shared" si="10"/>
        <v>0</v>
      </c>
      <c r="F121" s="148">
        <f t="shared" si="11"/>
        <v>1200.75587806059</v>
      </c>
      <c r="G121" s="148">
        <f t="shared" si="12"/>
        <v>505.11793980122241</v>
      </c>
      <c r="H121" s="148">
        <f t="shared" si="15"/>
        <v>695.63793825936762</v>
      </c>
      <c r="I121" s="148">
        <f t="shared" si="13"/>
        <v>205609.826729641</v>
      </c>
      <c r="J121" s="148">
        <f>SUM($H$18:$H121)</f>
        <v>80488.438047942502</v>
      </c>
    </row>
    <row r="122" spans="1:10" x14ac:dyDescent="0.2">
      <c r="A122" s="146">
        <f>IF(Values_Entered,A121+1,"")</f>
        <v>105</v>
      </c>
      <c r="B122" s="147">
        <f t="shared" si="8"/>
        <v>45505</v>
      </c>
      <c r="C122" s="148">
        <f t="shared" si="14"/>
        <v>205609.826729641</v>
      </c>
      <c r="D122" s="148">
        <f t="shared" si="9"/>
        <v>1200.75587806059</v>
      </c>
      <c r="E122" s="149">
        <f t="shared" si="10"/>
        <v>0</v>
      </c>
      <c r="F122" s="148">
        <f t="shared" si="11"/>
        <v>1200.75587806059</v>
      </c>
      <c r="G122" s="148">
        <f t="shared" si="12"/>
        <v>506.82271284805165</v>
      </c>
      <c r="H122" s="148">
        <f t="shared" si="15"/>
        <v>693.93316521253837</v>
      </c>
      <c r="I122" s="148">
        <f t="shared" si="13"/>
        <v>205103.00401679295</v>
      </c>
      <c r="J122" s="148">
        <f>SUM($H$18:$H122)</f>
        <v>81182.371213155042</v>
      </c>
    </row>
    <row r="123" spans="1:10" x14ac:dyDescent="0.2">
      <c r="A123" s="146">
        <f>IF(Values_Entered,A122+1,"")</f>
        <v>106</v>
      </c>
      <c r="B123" s="147">
        <f t="shared" si="8"/>
        <v>45536</v>
      </c>
      <c r="C123" s="148">
        <f t="shared" si="14"/>
        <v>205103.00401679295</v>
      </c>
      <c r="D123" s="148">
        <f t="shared" si="9"/>
        <v>1200.75587806059</v>
      </c>
      <c r="E123" s="149">
        <f t="shared" si="10"/>
        <v>0</v>
      </c>
      <c r="F123" s="148">
        <f t="shared" si="11"/>
        <v>1200.75587806059</v>
      </c>
      <c r="G123" s="148">
        <f t="shared" si="12"/>
        <v>508.53323950391371</v>
      </c>
      <c r="H123" s="148">
        <f t="shared" si="15"/>
        <v>692.22263855667632</v>
      </c>
      <c r="I123" s="148">
        <f t="shared" si="13"/>
        <v>204594.47077728904</v>
      </c>
      <c r="J123" s="148">
        <f>SUM($H$18:$H123)</f>
        <v>81874.593851711717</v>
      </c>
    </row>
    <row r="124" spans="1:10" x14ac:dyDescent="0.2">
      <c r="A124" s="146">
        <f>IF(Values_Entered,A123+1,"")</f>
        <v>107</v>
      </c>
      <c r="B124" s="147">
        <f t="shared" si="8"/>
        <v>45566</v>
      </c>
      <c r="C124" s="148">
        <f t="shared" si="14"/>
        <v>204594.47077728904</v>
      </c>
      <c r="D124" s="148">
        <f t="shared" si="9"/>
        <v>1200.75587806059</v>
      </c>
      <c r="E124" s="149">
        <f t="shared" si="10"/>
        <v>0</v>
      </c>
      <c r="F124" s="148">
        <f t="shared" si="11"/>
        <v>1200.75587806059</v>
      </c>
      <c r="G124" s="148">
        <f t="shared" si="12"/>
        <v>510.24953918723952</v>
      </c>
      <c r="H124" s="148">
        <f t="shared" si="15"/>
        <v>690.5063388733505</v>
      </c>
      <c r="I124" s="148">
        <f t="shared" si="13"/>
        <v>204084.2212381018</v>
      </c>
      <c r="J124" s="148">
        <f>SUM($H$18:$H124)</f>
        <v>82565.100190585072</v>
      </c>
    </row>
    <row r="125" spans="1:10" x14ac:dyDescent="0.2">
      <c r="A125" s="146">
        <f>IF(Values_Entered,A124+1,"")</f>
        <v>108</v>
      </c>
      <c r="B125" s="147">
        <f t="shared" si="8"/>
        <v>45597</v>
      </c>
      <c r="C125" s="148">
        <f t="shared" si="14"/>
        <v>204084.2212381018</v>
      </c>
      <c r="D125" s="148">
        <f t="shared" si="9"/>
        <v>1200.75587806059</v>
      </c>
      <c r="E125" s="149">
        <f t="shared" si="10"/>
        <v>0</v>
      </c>
      <c r="F125" s="148">
        <f t="shared" si="11"/>
        <v>1200.75587806059</v>
      </c>
      <c r="G125" s="148">
        <f t="shared" si="12"/>
        <v>511.97163138199642</v>
      </c>
      <c r="H125" s="148">
        <f t="shared" si="15"/>
        <v>688.7842466785936</v>
      </c>
      <c r="I125" s="148">
        <f t="shared" si="13"/>
        <v>203572.24960671979</v>
      </c>
      <c r="J125" s="148">
        <f>SUM($H$18:$H125)</f>
        <v>83253.884437263667</v>
      </c>
    </row>
    <row r="126" spans="1:10" x14ac:dyDescent="0.2">
      <c r="A126" s="146">
        <f>IF(Values_Entered,A125+1,"")</f>
        <v>109</v>
      </c>
      <c r="B126" s="147">
        <f t="shared" si="8"/>
        <v>45627</v>
      </c>
      <c r="C126" s="148">
        <f t="shared" si="14"/>
        <v>203572.24960671979</v>
      </c>
      <c r="D126" s="148">
        <f t="shared" si="9"/>
        <v>1200.75587806059</v>
      </c>
      <c r="E126" s="149">
        <f t="shared" si="10"/>
        <v>0</v>
      </c>
      <c r="F126" s="148">
        <f t="shared" si="11"/>
        <v>1200.75587806059</v>
      </c>
      <c r="G126" s="148">
        <f t="shared" si="12"/>
        <v>513.69953563791069</v>
      </c>
      <c r="H126" s="148">
        <f t="shared" si="15"/>
        <v>687.05634242267934</v>
      </c>
      <c r="I126" s="148">
        <f t="shared" si="13"/>
        <v>203058.55007108187</v>
      </c>
      <c r="J126" s="148">
        <f>SUM($H$18:$H126)</f>
        <v>83940.940779686352</v>
      </c>
    </row>
    <row r="127" spans="1:10" x14ac:dyDescent="0.2">
      <c r="A127" s="146">
        <f>IF(Values_Entered,A126+1,"")</f>
        <v>110</v>
      </c>
      <c r="B127" s="147">
        <f t="shared" si="8"/>
        <v>45658</v>
      </c>
      <c r="C127" s="148">
        <f t="shared" si="14"/>
        <v>203058.55007108187</v>
      </c>
      <c r="D127" s="148">
        <f t="shared" si="9"/>
        <v>1200.75587806059</v>
      </c>
      <c r="E127" s="149">
        <f t="shared" si="10"/>
        <v>0</v>
      </c>
      <c r="F127" s="148">
        <f t="shared" si="11"/>
        <v>1200.75587806059</v>
      </c>
      <c r="G127" s="148">
        <f t="shared" si="12"/>
        <v>515.4332715706887</v>
      </c>
      <c r="H127" s="148">
        <f t="shared" si="15"/>
        <v>685.32260648990132</v>
      </c>
      <c r="I127" s="148">
        <f t="shared" si="13"/>
        <v>202543.11679951119</v>
      </c>
      <c r="J127" s="148">
        <f>SUM($H$18:$H127)</f>
        <v>84626.263386176259</v>
      </c>
    </row>
    <row r="128" spans="1:10" x14ac:dyDescent="0.2">
      <c r="A128" s="146">
        <f>IF(Values_Entered,A127+1,"")</f>
        <v>111</v>
      </c>
      <c r="B128" s="147">
        <f t="shared" si="8"/>
        <v>45689</v>
      </c>
      <c r="C128" s="148">
        <f t="shared" si="14"/>
        <v>202543.11679951119</v>
      </c>
      <c r="D128" s="148">
        <f t="shared" si="9"/>
        <v>1200.75587806059</v>
      </c>
      <c r="E128" s="149">
        <f t="shared" si="10"/>
        <v>0</v>
      </c>
      <c r="F128" s="148">
        <f t="shared" si="11"/>
        <v>1200.75587806059</v>
      </c>
      <c r="G128" s="148">
        <f t="shared" si="12"/>
        <v>517.17285886223965</v>
      </c>
      <c r="H128" s="148">
        <f t="shared" si="15"/>
        <v>683.58301919835037</v>
      </c>
      <c r="I128" s="148">
        <f t="shared" si="13"/>
        <v>202025.94394064895</v>
      </c>
      <c r="J128" s="148">
        <f>SUM($H$18:$H128)</f>
        <v>85309.846405374614</v>
      </c>
    </row>
    <row r="129" spans="1:10" x14ac:dyDescent="0.2">
      <c r="A129" s="146">
        <f>IF(Values_Entered,A128+1,"")</f>
        <v>112</v>
      </c>
      <c r="B129" s="147">
        <f t="shared" si="8"/>
        <v>45717</v>
      </c>
      <c r="C129" s="148">
        <f t="shared" si="14"/>
        <v>202025.94394064895</v>
      </c>
      <c r="D129" s="148">
        <f t="shared" si="9"/>
        <v>1200.75587806059</v>
      </c>
      <c r="E129" s="149">
        <f t="shared" si="10"/>
        <v>0</v>
      </c>
      <c r="F129" s="148">
        <f t="shared" si="11"/>
        <v>1200.75587806059</v>
      </c>
      <c r="G129" s="148">
        <f t="shared" si="12"/>
        <v>518.91831726089981</v>
      </c>
      <c r="H129" s="148">
        <f t="shared" si="15"/>
        <v>681.83756079969021</v>
      </c>
      <c r="I129" s="148">
        <f t="shared" si="13"/>
        <v>201507.02562338806</v>
      </c>
      <c r="J129" s="148">
        <f>SUM($H$18:$H129)</f>
        <v>85991.6839661743</v>
      </c>
    </row>
    <row r="130" spans="1:10" x14ac:dyDescent="0.2">
      <c r="A130" s="146">
        <f>IF(Values_Entered,A129+1,"")</f>
        <v>113</v>
      </c>
      <c r="B130" s="147">
        <f t="shared" si="8"/>
        <v>45748</v>
      </c>
      <c r="C130" s="148">
        <f t="shared" si="14"/>
        <v>201507.02562338806</v>
      </c>
      <c r="D130" s="148">
        <f t="shared" si="9"/>
        <v>1200.75587806059</v>
      </c>
      <c r="E130" s="149">
        <f t="shared" si="10"/>
        <v>0</v>
      </c>
      <c r="F130" s="148">
        <f t="shared" si="11"/>
        <v>1200.75587806059</v>
      </c>
      <c r="G130" s="148">
        <f t="shared" si="12"/>
        <v>520.66966658165529</v>
      </c>
      <c r="H130" s="148">
        <f t="shared" si="15"/>
        <v>680.08621147893473</v>
      </c>
      <c r="I130" s="148">
        <f t="shared" si="13"/>
        <v>200986.35595680642</v>
      </c>
      <c r="J130" s="148">
        <f>SUM($H$18:$H130)</f>
        <v>86671.770177653234</v>
      </c>
    </row>
    <row r="131" spans="1:10" x14ac:dyDescent="0.2">
      <c r="A131" s="146">
        <f>IF(Values_Entered,A130+1,"")</f>
        <v>114</v>
      </c>
      <c r="B131" s="147">
        <f t="shared" si="8"/>
        <v>45778</v>
      </c>
      <c r="C131" s="148">
        <f t="shared" si="14"/>
        <v>200986.35595680642</v>
      </c>
      <c r="D131" s="148">
        <f t="shared" si="9"/>
        <v>1200.75587806059</v>
      </c>
      <c r="E131" s="149">
        <f t="shared" si="10"/>
        <v>0</v>
      </c>
      <c r="F131" s="148">
        <f t="shared" si="11"/>
        <v>1200.75587806059</v>
      </c>
      <c r="G131" s="148">
        <f t="shared" si="12"/>
        <v>522.42692670636836</v>
      </c>
      <c r="H131" s="148">
        <f t="shared" si="15"/>
        <v>678.32895135422166</v>
      </c>
      <c r="I131" s="148">
        <f t="shared" si="13"/>
        <v>200463.92903010006</v>
      </c>
      <c r="J131" s="148">
        <f>SUM($H$18:$H131)</f>
        <v>87350.09912900746</v>
      </c>
    </row>
    <row r="132" spans="1:10" x14ac:dyDescent="0.2">
      <c r="A132" s="146">
        <f>IF(Values_Entered,A131+1,"")</f>
        <v>115</v>
      </c>
      <c r="B132" s="147">
        <f t="shared" si="8"/>
        <v>45809</v>
      </c>
      <c r="C132" s="148">
        <f t="shared" si="14"/>
        <v>200463.92903010006</v>
      </c>
      <c r="D132" s="148">
        <f t="shared" si="9"/>
        <v>1200.75587806059</v>
      </c>
      <c r="E132" s="149">
        <f t="shared" si="10"/>
        <v>0</v>
      </c>
      <c r="F132" s="148">
        <f t="shared" si="11"/>
        <v>1200.75587806059</v>
      </c>
      <c r="G132" s="148">
        <f t="shared" si="12"/>
        <v>524.19011758400234</v>
      </c>
      <c r="H132" s="148">
        <f t="shared" si="15"/>
        <v>676.56576047658768</v>
      </c>
      <c r="I132" s="148">
        <f t="shared" si="13"/>
        <v>199939.73891251607</v>
      </c>
      <c r="J132" s="148">
        <f>SUM($H$18:$H132)</f>
        <v>88026.664889484047</v>
      </c>
    </row>
    <row r="133" spans="1:10" x14ac:dyDescent="0.2">
      <c r="A133" s="146">
        <f>IF(Values_Entered,A132+1,"")</f>
        <v>116</v>
      </c>
      <c r="B133" s="147">
        <f t="shared" si="8"/>
        <v>45839</v>
      </c>
      <c r="C133" s="148">
        <f t="shared" si="14"/>
        <v>199939.73891251607</v>
      </c>
      <c r="D133" s="148">
        <f t="shared" si="9"/>
        <v>1200.75587806059</v>
      </c>
      <c r="E133" s="149">
        <f t="shared" si="10"/>
        <v>0</v>
      </c>
      <c r="F133" s="148">
        <f t="shared" si="11"/>
        <v>1200.75587806059</v>
      </c>
      <c r="G133" s="148">
        <f t="shared" si="12"/>
        <v>525.95925923084826</v>
      </c>
      <c r="H133" s="148">
        <f t="shared" si="15"/>
        <v>674.79661882974176</v>
      </c>
      <c r="I133" s="148">
        <f t="shared" si="13"/>
        <v>199413.77965328522</v>
      </c>
      <c r="J133" s="148">
        <f>SUM($H$18:$H133)</f>
        <v>88701.461508313791</v>
      </c>
    </row>
    <row r="134" spans="1:10" x14ac:dyDescent="0.2">
      <c r="A134" s="146">
        <f>IF(Values_Entered,A133+1,"")</f>
        <v>117</v>
      </c>
      <c r="B134" s="147">
        <f t="shared" si="8"/>
        <v>45870</v>
      </c>
      <c r="C134" s="148">
        <f t="shared" si="14"/>
        <v>199413.77965328522</v>
      </c>
      <c r="D134" s="148">
        <f t="shared" si="9"/>
        <v>1200.75587806059</v>
      </c>
      <c r="E134" s="149">
        <f t="shared" si="10"/>
        <v>0</v>
      </c>
      <c r="F134" s="148">
        <f t="shared" si="11"/>
        <v>1200.75587806059</v>
      </c>
      <c r="G134" s="148">
        <f t="shared" si="12"/>
        <v>527.7343717307524</v>
      </c>
      <c r="H134" s="148">
        <f t="shared" si="15"/>
        <v>673.02150632983762</v>
      </c>
      <c r="I134" s="148">
        <f t="shared" si="13"/>
        <v>198886.04528155446</v>
      </c>
      <c r="J134" s="148">
        <f>SUM($H$18:$H134)</f>
        <v>89374.483014643629</v>
      </c>
    </row>
    <row r="135" spans="1:10" x14ac:dyDescent="0.2">
      <c r="A135" s="146">
        <f>IF(Values_Entered,A134+1,"")</f>
        <v>118</v>
      </c>
      <c r="B135" s="147">
        <f t="shared" si="8"/>
        <v>45901</v>
      </c>
      <c r="C135" s="148">
        <f t="shared" si="14"/>
        <v>198886.04528155446</v>
      </c>
      <c r="D135" s="148">
        <f t="shared" si="9"/>
        <v>1200.75587806059</v>
      </c>
      <c r="E135" s="149">
        <f t="shared" si="10"/>
        <v>0</v>
      </c>
      <c r="F135" s="148">
        <f t="shared" si="11"/>
        <v>1200.75587806059</v>
      </c>
      <c r="G135" s="148">
        <f t="shared" si="12"/>
        <v>529.51547523534373</v>
      </c>
      <c r="H135" s="148">
        <f t="shared" si="15"/>
        <v>671.24040282524629</v>
      </c>
      <c r="I135" s="148">
        <f t="shared" si="13"/>
        <v>198356.5298063191</v>
      </c>
      <c r="J135" s="148">
        <f>SUM($H$18:$H135)</f>
        <v>90045.723417468878</v>
      </c>
    </row>
    <row r="136" spans="1:10" x14ac:dyDescent="0.2">
      <c r="A136" s="146">
        <f>IF(Values_Entered,A135+1,"")</f>
        <v>119</v>
      </c>
      <c r="B136" s="147">
        <f t="shared" si="8"/>
        <v>45931</v>
      </c>
      <c r="C136" s="148">
        <f t="shared" si="14"/>
        <v>198356.5298063191</v>
      </c>
      <c r="D136" s="148">
        <f t="shared" si="9"/>
        <v>1200.75587806059</v>
      </c>
      <c r="E136" s="149">
        <f t="shared" si="10"/>
        <v>0</v>
      </c>
      <c r="F136" s="148">
        <f t="shared" si="11"/>
        <v>1200.75587806059</v>
      </c>
      <c r="G136" s="148">
        <f t="shared" si="12"/>
        <v>531.30258996426301</v>
      </c>
      <c r="H136" s="148">
        <f t="shared" si="15"/>
        <v>669.45328809632701</v>
      </c>
      <c r="I136" s="148">
        <f t="shared" si="13"/>
        <v>197825.22721635483</v>
      </c>
      <c r="J136" s="148">
        <f>SUM($H$18:$H136)</f>
        <v>90715.176705565202</v>
      </c>
    </row>
    <row r="137" spans="1:10" x14ac:dyDescent="0.2">
      <c r="A137" s="146">
        <f>IF(Values_Entered,A136+1,"")</f>
        <v>120</v>
      </c>
      <c r="B137" s="147">
        <f t="shared" si="8"/>
        <v>45962</v>
      </c>
      <c r="C137" s="148">
        <f t="shared" si="14"/>
        <v>197825.22721635483</v>
      </c>
      <c r="D137" s="148">
        <f t="shared" si="9"/>
        <v>1200.75587806059</v>
      </c>
      <c r="E137" s="149">
        <f t="shared" si="10"/>
        <v>0</v>
      </c>
      <c r="F137" s="148">
        <f t="shared" si="11"/>
        <v>1200.75587806059</v>
      </c>
      <c r="G137" s="148">
        <f t="shared" si="12"/>
        <v>533.09573620539243</v>
      </c>
      <c r="H137" s="148">
        <f t="shared" si="15"/>
        <v>667.66014185519759</v>
      </c>
      <c r="I137" s="148">
        <f t="shared" si="13"/>
        <v>197292.13148014943</v>
      </c>
      <c r="J137" s="148">
        <f>SUM($H$18:$H137)</f>
        <v>91382.836847420404</v>
      </c>
    </row>
    <row r="138" spans="1:10" x14ac:dyDescent="0.2">
      <c r="A138" s="146">
        <f>IF(Values_Entered,A137+1,"")</f>
        <v>121</v>
      </c>
      <c r="B138" s="147">
        <f t="shared" si="8"/>
        <v>45992</v>
      </c>
      <c r="C138" s="148">
        <f t="shared" si="14"/>
        <v>197292.13148014943</v>
      </c>
      <c r="D138" s="148">
        <f t="shared" si="9"/>
        <v>1200.75587806059</v>
      </c>
      <c r="E138" s="149">
        <f t="shared" si="10"/>
        <v>0</v>
      </c>
      <c r="F138" s="148">
        <f t="shared" si="11"/>
        <v>1200.75587806059</v>
      </c>
      <c r="G138" s="148">
        <f t="shared" si="12"/>
        <v>534.89493431508561</v>
      </c>
      <c r="H138" s="148">
        <f t="shared" si="15"/>
        <v>665.86094374550441</v>
      </c>
      <c r="I138" s="148">
        <f t="shared" si="13"/>
        <v>196757.23654583434</v>
      </c>
      <c r="J138" s="148">
        <f>SUM($H$18:$H138)</f>
        <v>92048.697791165905</v>
      </c>
    </row>
    <row r="139" spans="1:10" x14ac:dyDescent="0.2">
      <c r="A139" s="146">
        <f>IF(Values_Entered,A138+1,"")</f>
        <v>122</v>
      </c>
      <c r="B139" s="147">
        <f t="shared" si="8"/>
        <v>46023</v>
      </c>
      <c r="C139" s="148">
        <f t="shared" si="14"/>
        <v>196757.23654583434</v>
      </c>
      <c r="D139" s="148">
        <f t="shared" si="9"/>
        <v>1200.75587806059</v>
      </c>
      <c r="E139" s="149">
        <f t="shared" si="10"/>
        <v>0</v>
      </c>
      <c r="F139" s="148">
        <f t="shared" si="11"/>
        <v>1200.75587806059</v>
      </c>
      <c r="G139" s="148">
        <f t="shared" si="12"/>
        <v>536.70020471839905</v>
      </c>
      <c r="H139" s="148">
        <f t="shared" si="15"/>
        <v>664.05567334219097</v>
      </c>
      <c r="I139" s="148">
        <f t="shared" si="13"/>
        <v>196220.53634111595</v>
      </c>
      <c r="J139" s="148">
        <f>SUM($H$18:$H139)</f>
        <v>92712.753464508103</v>
      </c>
    </row>
    <row r="140" spans="1:10" x14ac:dyDescent="0.2">
      <c r="A140" s="146">
        <f>IF(Values_Entered,A139+1,"")</f>
        <v>123</v>
      </c>
      <c r="B140" s="147">
        <f t="shared" si="8"/>
        <v>46054</v>
      </c>
      <c r="C140" s="148">
        <f t="shared" si="14"/>
        <v>196220.53634111595</v>
      </c>
      <c r="D140" s="148">
        <f t="shared" si="9"/>
        <v>1200.75587806059</v>
      </c>
      <c r="E140" s="149">
        <f t="shared" si="10"/>
        <v>0</v>
      </c>
      <c r="F140" s="148">
        <f t="shared" si="11"/>
        <v>1200.75587806059</v>
      </c>
      <c r="G140" s="148">
        <f t="shared" si="12"/>
        <v>538.51156790932362</v>
      </c>
      <c r="H140" s="148">
        <f t="shared" si="15"/>
        <v>662.2443101512664</v>
      </c>
      <c r="I140" s="148">
        <f t="shared" si="13"/>
        <v>195682.02477320662</v>
      </c>
      <c r="J140" s="148">
        <f>SUM($H$18:$H140)</f>
        <v>93374.997774659365</v>
      </c>
    </row>
    <row r="141" spans="1:10" x14ac:dyDescent="0.2">
      <c r="A141" s="146">
        <f>IF(Values_Entered,A140+1,"")</f>
        <v>124</v>
      </c>
      <c r="B141" s="147">
        <f t="shared" si="8"/>
        <v>46082</v>
      </c>
      <c r="C141" s="148">
        <f t="shared" si="14"/>
        <v>195682.02477320662</v>
      </c>
      <c r="D141" s="148">
        <f t="shared" si="9"/>
        <v>1200.75587806059</v>
      </c>
      <c r="E141" s="149">
        <f t="shared" si="10"/>
        <v>0</v>
      </c>
      <c r="F141" s="148">
        <f t="shared" si="11"/>
        <v>1200.75587806059</v>
      </c>
      <c r="G141" s="148">
        <f t="shared" si="12"/>
        <v>540.32904445101769</v>
      </c>
      <c r="H141" s="148">
        <f t="shared" si="15"/>
        <v>660.42683360957233</v>
      </c>
      <c r="I141" s="148">
        <f t="shared" si="13"/>
        <v>195141.69572875561</v>
      </c>
      <c r="J141" s="148">
        <f>SUM($H$18:$H141)</f>
        <v>94035.424608268935</v>
      </c>
    </row>
    <row r="142" spans="1:10" x14ac:dyDescent="0.2">
      <c r="A142" s="146">
        <f>IF(Values_Entered,A141+1,"")</f>
        <v>125</v>
      </c>
      <c r="B142" s="147">
        <f t="shared" si="8"/>
        <v>46113</v>
      </c>
      <c r="C142" s="148">
        <f t="shared" si="14"/>
        <v>195141.69572875561</v>
      </c>
      <c r="D142" s="148">
        <f t="shared" si="9"/>
        <v>1200.75587806059</v>
      </c>
      <c r="E142" s="149">
        <f t="shared" si="10"/>
        <v>0</v>
      </c>
      <c r="F142" s="148">
        <f t="shared" si="11"/>
        <v>1200.75587806059</v>
      </c>
      <c r="G142" s="148">
        <f t="shared" si="12"/>
        <v>542.1526549760398</v>
      </c>
      <c r="H142" s="148">
        <f t="shared" si="15"/>
        <v>658.60322308455022</v>
      </c>
      <c r="I142" s="148">
        <f t="shared" si="13"/>
        <v>194599.54307377958</v>
      </c>
      <c r="J142" s="148">
        <f>SUM($H$18:$H142)</f>
        <v>94694.02783135348</v>
      </c>
    </row>
    <row r="143" spans="1:10" x14ac:dyDescent="0.2">
      <c r="A143" s="146">
        <f>IF(Values_Entered,A142+1,"")</f>
        <v>126</v>
      </c>
      <c r="B143" s="147">
        <f t="shared" si="8"/>
        <v>46143</v>
      </c>
      <c r="C143" s="148">
        <f t="shared" si="14"/>
        <v>194599.54307377958</v>
      </c>
      <c r="D143" s="148">
        <f t="shared" si="9"/>
        <v>1200.75587806059</v>
      </c>
      <c r="E143" s="149">
        <f t="shared" si="10"/>
        <v>0</v>
      </c>
      <c r="F143" s="148">
        <f t="shared" si="11"/>
        <v>1200.75587806059</v>
      </c>
      <c r="G143" s="148">
        <f t="shared" si="12"/>
        <v>543.98242018658391</v>
      </c>
      <c r="H143" s="148">
        <f t="shared" si="15"/>
        <v>656.77345787400611</v>
      </c>
      <c r="I143" s="148">
        <f t="shared" si="13"/>
        <v>194055.56065359301</v>
      </c>
      <c r="J143" s="148">
        <f>SUM($H$18:$H143)</f>
        <v>95350.801289227486</v>
      </c>
    </row>
    <row r="144" spans="1:10" x14ac:dyDescent="0.2">
      <c r="A144" s="146">
        <f>IF(Values_Entered,A143+1,"")</f>
        <v>127</v>
      </c>
      <c r="B144" s="147">
        <f t="shared" si="8"/>
        <v>46174</v>
      </c>
      <c r="C144" s="148">
        <f t="shared" si="14"/>
        <v>194055.56065359301</v>
      </c>
      <c r="D144" s="148">
        <f t="shared" si="9"/>
        <v>1200.75587806059</v>
      </c>
      <c r="E144" s="149">
        <f t="shared" si="10"/>
        <v>0</v>
      </c>
      <c r="F144" s="148">
        <f t="shared" si="11"/>
        <v>1200.75587806059</v>
      </c>
      <c r="G144" s="148">
        <f t="shared" si="12"/>
        <v>545.81836085471355</v>
      </c>
      <c r="H144" s="148">
        <f t="shared" si="15"/>
        <v>654.93751720587647</v>
      </c>
      <c r="I144" s="148">
        <f t="shared" si="13"/>
        <v>193509.74229273829</v>
      </c>
      <c r="J144" s="148">
        <f>SUM($H$18:$H144)</f>
        <v>96005.738806433365</v>
      </c>
    </row>
    <row r="145" spans="1:10" x14ac:dyDescent="0.2">
      <c r="A145" s="146">
        <f>IF(Values_Entered,A144+1,"")</f>
        <v>128</v>
      </c>
      <c r="B145" s="147">
        <f t="shared" si="8"/>
        <v>46204</v>
      </c>
      <c r="C145" s="148">
        <f t="shared" si="14"/>
        <v>193509.74229273829</v>
      </c>
      <c r="D145" s="148">
        <f t="shared" si="9"/>
        <v>1200.75587806059</v>
      </c>
      <c r="E145" s="149">
        <f t="shared" si="10"/>
        <v>0</v>
      </c>
      <c r="F145" s="148">
        <f t="shared" si="11"/>
        <v>1200.75587806059</v>
      </c>
      <c r="G145" s="148">
        <f t="shared" si="12"/>
        <v>547.66049782259824</v>
      </c>
      <c r="H145" s="148">
        <f t="shared" si="15"/>
        <v>653.09538023799178</v>
      </c>
      <c r="I145" s="148">
        <f t="shared" si="13"/>
        <v>192962.08179491569</v>
      </c>
      <c r="J145" s="148">
        <f>SUM($H$18:$H145)</f>
        <v>96658.83418667136</v>
      </c>
    </row>
    <row r="146" spans="1:10" x14ac:dyDescent="0.2">
      <c r="A146" s="146">
        <f>IF(Values_Entered,A145+1,"")</f>
        <v>129</v>
      </c>
      <c r="B146" s="147">
        <f t="shared" ref="B146:B209" si="16">IF(Pay_Num&lt;&gt;"",DATE(YEAR(Loan_Start),MONTH(Loan_Start)+(Pay_Num)*12/Num_Pmt_Per_Year,DAY(Loan_Start)),"")</f>
        <v>46235</v>
      </c>
      <c r="C146" s="148">
        <f t="shared" si="14"/>
        <v>192962.08179491569</v>
      </c>
      <c r="D146" s="148">
        <f t="shared" ref="D146:D209" si="17">IF(Pay_Num&lt;&gt;"",Scheduled_Monthly_Payment,"")</f>
        <v>1200.75587806059</v>
      </c>
      <c r="E146" s="149">
        <f t="shared" ref="E146:E209" si="18">IF(AND(Pay_Num&lt;&gt;"",Sched_Pay+Scheduled_Extra_Payments&lt;Beg_Bal),Scheduled_Extra_Payments,IF(AND(Pay_Num&lt;&gt;"",Beg_Bal-Sched_Pay&gt;0),Beg_Bal-Sched_Pay,IF(Pay_Num&lt;&gt;"",0,"")))</f>
        <v>0</v>
      </c>
      <c r="F146" s="148">
        <f t="shared" ref="F146:F209" si="19">IF(AND(Pay_Num&lt;&gt;"",Sched_Pay+Extra_Pay&lt;Beg_Bal),Sched_Pay+Extra_Pay,IF(Pay_Num&lt;&gt;"",Beg_Bal,""))</f>
        <v>1200.75587806059</v>
      </c>
      <c r="G146" s="148">
        <f t="shared" ref="G146:G209" si="20">IF(Pay_Num&lt;&gt;"",Total_Pay-Int,"")</f>
        <v>549.50885200274956</v>
      </c>
      <c r="H146" s="148">
        <f t="shared" si="15"/>
        <v>651.24702605784046</v>
      </c>
      <c r="I146" s="148">
        <f t="shared" ref="I146:I209" si="21">IF(AND(Pay_Num&lt;&gt;"",Sched_Pay+Extra_Pay&lt;Beg_Bal),Beg_Bal-Princ,IF(Pay_Num&lt;&gt;"",0,""))</f>
        <v>192412.57294291293</v>
      </c>
      <c r="J146" s="148">
        <f>SUM($H$18:$H146)</f>
        <v>97310.081212729201</v>
      </c>
    </row>
    <row r="147" spans="1:10" x14ac:dyDescent="0.2">
      <c r="A147" s="146">
        <f>IF(Values_Entered,A146+1,"")</f>
        <v>130</v>
      </c>
      <c r="B147" s="147">
        <f t="shared" si="16"/>
        <v>46266</v>
      </c>
      <c r="C147" s="148">
        <f t="shared" ref="C147:C210" si="22">IF(Pay_Num&lt;&gt;"",I146,"")</f>
        <v>192412.57294291293</v>
      </c>
      <c r="D147" s="148">
        <f t="shared" si="17"/>
        <v>1200.75587806059</v>
      </c>
      <c r="E147" s="149">
        <f t="shared" si="18"/>
        <v>0</v>
      </c>
      <c r="F147" s="148">
        <f t="shared" si="19"/>
        <v>1200.75587806059</v>
      </c>
      <c r="G147" s="148">
        <f t="shared" si="20"/>
        <v>551.36344437825881</v>
      </c>
      <c r="H147" s="148">
        <f t="shared" ref="H147:H210" si="23">IF(Pay_Num&lt;&gt;"",Beg_Bal*Interest_Rate/Num_Pmt_Per_Year,"")</f>
        <v>649.39243368233122</v>
      </c>
      <c r="I147" s="148">
        <f t="shared" si="21"/>
        <v>191861.20949853468</v>
      </c>
      <c r="J147" s="148">
        <f>SUM($H$18:$H147)</f>
        <v>97959.473646411527</v>
      </c>
    </row>
    <row r="148" spans="1:10" x14ac:dyDescent="0.2">
      <c r="A148" s="146">
        <f>IF(Values_Entered,A147+1,"")</f>
        <v>131</v>
      </c>
      <c r="B148" s="147">
        <f t="shared" si="16"/>
        <v>46296</v>
      </c>
      <c r="C148" s="148">
        <f t="shared" si="22"/>
        <v>191861.20949853468</v>
      </c>
      <c r="D148" s="148">
        <f t="shared" si="17"/>
        <v>1200.75587806059</v>
      </c>
      <c r="E148" s="149">
        <f t="shared" si="18"/>
        <v>0</v>
      </c>
      <c r="F148" s="148">
        <f t="shared" si="19"/>
        <v>1200.75587806059</v>
      </c>
      <c r="G148" s="148">
        <f t="shared" si="20"/>
        <v>553.22429600303542</v>
      </c>
      <c r="H148" s="148">
        <f t="shared" si="23"/>
        <v>647.5315820575546</v>
      </c>
      <c r="I148" s="148">
        <f t="shared" si="21"/>
        <v>191307.98520253165</v>
      </c>
      <c r="J148" s="148">
        <f>SUM($H$18:$H148)</f>
        <v>98607.005228469076</v>
      </c>
    </row>
    <row r="149" spans="1:10" x14ac:dyDescent="0.2">
      <c r="A149" s="146">
        <f>IF(Values_Entered,A148+1,"")</f>
        <v>132</v>
      </c>
      <c r="B149" s="147">
        <f t="shared" si="16"/>
        <v>46327</v>
      </c>
      <c r="C149" s="148">
        <f t="shared" si="22"/>
        <v>191307.98520253165</v>
      </c>
      <c r="D149" s="148">
        <f t="shared" si="17"/>
        <v>1200.75587806059</v>
      </c>
      <c r="E149" s="149">
        <f t="shared" si="18"/>
        <v>0</v>
      </c>
      <c r="F149" s="148">
        <f t="shared" si="19"/>
        <v>1200.75587806059</v>
      </c>
      <c r="G149" s="148">
        <f t="shared" si="20"/>
        <v>555.09142800204575</v>
      </c>
      <c r="H149" s="148">
        <f t="shared" si="23"/>
        <v>645.66445005854428</v>
      </c>
      <c r="I149" s="148">
        <f t="shared" si="21"/>
        <v>190752.8937745296</v>
      </c>
      <c r="J149" s="148">
        <f>SUM($H$18:$H149)</f>
        <v>99252.669678527614</v>
      </c>
    </row>
    <row r="150" spans="1:10" x14ac:dyDescent="0.2">
      <c r="A150" s="146">
        <f>IF(Values_Entered,A149+1,"")</f>
        <v>133</v>
      </c>
      <c r="B150" s="147">
        <f t="shared" si="16"/>
        <v>46357</v>
      </c>
      <c r="C150" s="148">
        <f t="shared" si="22"/>
        <v>190752.8937745296</v>
      </c>
      <c r="D150" s="148">
        <f t="shared" si="17"/>
        <v>1200.75587806059</v>
      </c>
      <c r="E150" s="149">
        <f t="shared" si="18"/>
        <v>0</v>
      </c>
      <c r="F150" s="148">
        <f t="shared" si="19"/>
        <v>1200.75587806059</v>
      </c>
      <c r="G150" s="148">
        <f t="shared" si="20"/>
        <v>556.96486157155266</v>
      </c>
      <c r="H150" s="148">
        <f t="shared" si="23"/>
        <v>643.79101648903736</v>
      </c>
      <c r="I150" s="148">
        <f t="shared" si="21"/>
        <v>190195.92891295804</v>
      </c>
      <c r="J150" s="148">
        <f>SUM($H$18:$H150)</f>
        <v>99896.460695016649</v>
      </c>
    </row>
    <row r="151" spans="1:10" x14ac:dyDescent="0.2">
      <c r="A151" s="146">
        <f>IF(Values_Entered,A150+1,"")</f>
        <v>134</v>
      </c>
      <c r="B151" s="147">
        <f t="shared" si="16"/>
        <v>46388</v>
      </c>
      <c r="C151" s="148">
        <f t="shared" si="22"/>
        <v>190195.92891295804</v>
      </c>
      <c r="D151" s="148">
        <f t="shared" si="17"/>
        <v>1200.75587806059</v>
      </c>
      <c r="E151" s="149">
        <f t="shared" si="18"/>
        <v>0</v>
      </c>
      <c r="F151" s="148">
        <f t="shared" si="19"/>
        <v>1200.75587806059</v>
      </c>
      <c r="G151" s="148">
        <f t="shared" si="20"/>
        <v>558.8446179793566</v>
      </c>
      <c r="H151" s="148">
        <f t="shared" si="23"/>
        <v>641.91126008123342</v>
      </c>
      <c r="I151" s="148">
        <f t="shared" si="21"/>
        <v>189637.08429497867</v>
      </c>
      <c r="J151" s="148">
        <f>SUM($H$18:$H151)</f>
        <v>100538.37195509789</v>
      </c>
    </row>
    <row r="152" spans="1:10" x14ac:dyDescent="0.2">
      <c r="A152" s="146">
        <f>IF(Values_Entered,A151+1,"")</f>
        <v>135</v>
      </c>
      <c r="B152" s="147">
        <f t="shared" si="16"/>
        <v>46419</v>
      </c>
      <c r="C152" s="148">
        <f t="shared" si="22"/>
        <v>189637.08429497867</v>
      </c>
      <c r="D152" s="148">
        <f t="shared" si="17"/>
        <v>1200.75587806059</v>
      </c>
      <c r="E152" s="149">
        <f t="shared" si="18"/>
        <v>0</v>
      </c>
      <c r="F152" s="148">
        <f t="shared" si="19"/>
        <v>1200.75587806059</v>
      </c>
      <c r="G152" s="148">
        <f t="shared" si="20"/>
        <v>560.73071856503691</v>
      </c>
      <c r="H152" s="148">
        <f t="shared" si="23"/>
        <v>640.02515949555311</v>
      </c>
      <c r="I152" s="148">
        <f t="shared" si="21"/>
        <v>189076.35357641365</v>
      </c>
      <c r="J152" s="148">
        <f>SUM($H$18:$H152)</f>
        <v>101178.39711459343</v>
      </c>
    </row>
    <row r="153" spans="1:10" x14ac:dyDescent="0.2">
      <c r="A153" s="146">
        <f>IF(Values_Entered,A152+1,"")</f>
        <v>136</v>
      </c>
      <c r="B153" s="147">
        <f t="shared" si="16"/>
        <v>46447</v>
      </c>
      <c r="C153" s="148">
        <f t="shared" si="22"/>
        <v>189076.35357641365</v>
      </c>
      <c r="D153" s="148">
        <f t="shared" si="17"/>
        <v>1200.75587806059</v>
      </c>
      <c r="E153" s="149">
        <f t="shared" si="18"/>
        <v>0</v>
      </c>
      <c r="F153" s="148">
        <f t="shared" si="19"/>
        <v>1200.75587806059</v>
      </c>
      <c r="G153" s="148">
        <f t="shared" si="20"/>
        <v>562.62318474019401</v>
      </c>
      <c r="H153" s="148">
        <f t="shared" si="23"/>
        <v>638.13269332039602</v>
      </c>
      <c r="I153" s="148">
        <f t="shared" si="21"/>
        <v>188513.73039167345</v>
      </c>
      <c r="J153" s="148">
        <f>SUM($H$18:$H153)</f>
        <v>101816.52980791383</v>
      </c>
    </row>
    <row r="154" spans="1:10" x14ac:dyDescent="0.2">
      <c r="A154" s="146">
        <f>IF(Values_Entered,A153+1,"")</f>
        <v>137</v>
      </c>
      <c r="B154" s="147">
        <f t="shared" si="16"/>
        <v>46478</v>
      </c>
      <c r="C154" s="148">
        <f t="shared" si="22"/>
        <v>188513.73039167345</v>
      </c>
      <c r="D154" s="148">
        <f t="shared" si="17"/>
        <v>1200.75587806059</v>
      </c>
      <c r="E154" s="149">
        <f t="shared" si="18"/>
        <v>0</v>
      </c>
      <c r="F154" s="148">
        <f t="shared" si="19"/>
        <v>1200.75587806059</v>
      </c>
      <c r="G154" s="148">
        <f t="shared" si="20"/>
        <v>564.52203798869209</v>
      </c>
      <c r="H154" s="148">
        <f t="shared" si="23"/>
        <v>636.23384007189793</v>
      </c>
      <c r="I154" s="148">
        <f t="shared" si="21"/>
        <v>187949.20835368475</v>
      </c>
      <c r="J154" s="148">
        <f>SUM($H$18:$H154)</f>
        <v>102452.76364798573</v>
      </c>
    </row>
    <row r="155" spans="1:10" x14ac:dyDescent="0.2">
      <c r="A155" s="146">
        <f>IF(Values_Entered,A154+1,"")</f>
        <v>138</v>
      </c>
      <c r="B155" s="147">
        <f t="shared" si="16"/>
        <v>46508</v>
      </c>
      <c r="C155" s="148">
        <f t="shared" si="22"/>
        <v>187949.20835368475</v>
      </c>
      <c r="D155" s="148">
        <f t="shared" si="17"/>
        <v>1200.75587806059</v>
      </c>
      <c r="E155" s="149">
        <f t="shared" si="18"/>
        <v>0</v>
      </c>
      <c r="F155" s="148">
        <f t="shared" si="19"/>
        <v>1200.75587806059</v>
      </c>
      <c r="G155" s="148">
        <f t="shared" si="20"/>
        <v>566.42729986690404</v>
      </c>
      <c r="H155" s="148">
        <f t="shared" si="23"/>
        <v>634.32857819368598</v>
      </c>
      <c r="I155" s="148">
        <f t="shared" si="21"/>
        <v>187382.78105381783</v>
      </c>
      <c r="J155" s="148">
        <f>SUM($H$18:$H155)</f>
        <v>103087.09222617942</v>
      </c>
    </row>
    <row r="156" spans="1:10" x14ac:dyDescent="0.2">
      <c r="A156" s="146">
        <f>IF(Values_Entered,A155+1,"")</f>
        <v>139</v>
      </c>
      <c r="B156" s="147">
        <f t="shared" si="16"/>
        <v>46539</v>
      </c>
      <c r="C156" s="148">
        <f t="shared" si="22"/>
        <v>187382.78105381783</v>
      </c>
      <c r="D156" s="148">
        <f t="shared" si="17"/>
        <v>1200.75587806059</v>
      </c>
      <c r="E156" s="149">
        <f t="shared" si="18"/>
        <v>0</v>
      </c>
      <c r="F156" s="148">
        <f t="shared" si="19"/>
        <v>1200.75587806059</v>
      </c>
      <c r="G156" s="148">
        <f t="shared" si="20"/>
        <v>568.33899200395479</v>
      </c>
      <c r="H156" s="148">
        <f t="shared" si="23"/>
        <v>632.41688605663524</v>
      </c>
      <c r="I156" s="148">
        <f t="shared" si="21"/>
        <v>186814.44206181387</v>
      </c>
      <c r="J156" s="148">
        <f>SUM($H$18:$H156)</f>
        <v>103719.50911223606</v>
      </c>
    </row>
    <row r="157" spans="1:10" x14ac:dyDescent="0.2">
      <c r="A157" s="146">
        <f>IF(Values_Entered,A156+1,"")</f>
        <v>140</v>
      </c>
      <c r="B157" s="147">
        <f t="shared" si="16"/>
        <v>46569</v>
      </c>
      <c r="C157" s="148">
        <f t="shared" si="22"/>
        <v>186814.44206181387</v>
      </c>
      <c r="D157" s="148">
        <f t="shared" si="17"/>
        <v>1200.75587806059</v>
      </c>
      <c r="E157" s="149">
        <f t="shared" si="18"/>
        <v>0</v>
      </c>
      <c r="F157" s="148">
        <f t="shared" si="19"/>
        <v>1200.75587806059</v>
      </c>
      <c r="G157" s="148">
        <f t="shared" si="20"/>
        <v>570.25713610196817</v>
      </c>
      <c r="H157" s="148">
        <f t="shared" si="23"/>
        <v>630.49874195862185</v>
      </c>
      <c r="I157" s="148">
        <f t="shared" si="21"/>
        <v>186244.18492571189</v>
      </c>
      <c r="J157" s="148">
        <f>SUM($H$18:$H157)</f>
        <v>104350.00785419469</v>
      </c>
    </row>
    <row r="158" spans="1:10" x14ac:dyDescent="0.2">
      <c r="A158" s="146">
        <f>IF(Values_Entered,A157+1,"")</f>
        <v>141</v>
      </c>
      <c r="B158" s="147">
        <f t="shared" si="16"/>
        <v>46600</v>
      </c>
      <c r="C158" s="148">
        <f t="shared" si="22"/>
        <v>186244.18492571189</v>
      </c>
      <c r="D158" s="148">
        <f t="shared" si="17"/>
        <v>1200.75587806059</v>
      </c>
      <c r="E158" s="149">
        <f t="shared" si="18"/>
        <v>0</v>
      </c>
      <c r="F158" s="148">
        <f t="shared" si="19"/>
        <v>1200.75587806059</v>
      </c>
      <c r="G158" s="148">
        <f t="shared" si="20"/>
        <v>572.18175393631236</v>
      </c>
      <c r="H158" s="148">
        <f t="shared" si="23"/>
        <v>628.57412412427766</v>
      </c>
      <c r="I158" s="148">
        <f t="shared" si="21"/>
        <v>185672.00317177558</v>
      </c>
      <c r="J158" s="148">
        <f>SUM($H$18:$H158)</f>
        <v>104978.58197831897</v>
      </c>
    </row>
    <row r="159" spans="1:10" x14ac:dyDescent="0.2">
      <c r="A159" s="146">
        <f>IF(Values_Entered,A158+1,"")</f>
        <v>142</v>
      </c>
      <c r="B159" s="147">
        <f t="shared" si="16"/>
        <v>46631</v>
      </c>
      <c r="C159" s="148">
        <f t="shared" si="22"/>
        <v>185672.00317177558</v>
      </c>
      <c r="D159" s="148">
        <f t="shared" si="17"/>
        <v>1200.75587806059</v>
      </c>
      <c r="E159" s="149">
        <f t="shared" si="18"/>
        <v>0</v>
      </c>
      <c r="F159" s="148">
        <f t="shared" si="19"/>
        <v>1200.75587806059</v>
      </c>
      <c r="G159" s="148">
        <f t="shared" si="20"/>
        <v>574.11286735584747</v>
      </c>
      <c r="H159" s="148">
        <f t="shared" si="23"/>
        <v>626.64301070474255</v>
      </c>
      <c r="I159" s="148">
        <f t="shared" si="21"/>
        <v>185097.89030441974</v>
      </c>
      <c r="J159" s="148">
        <f>SUM($H$18:$H159)</f>
        <v>105605.22498902371</v>
      </c>
    </row>
    <row r="160" spans="1:10" x14ac:dyDescent="0.2">
      <c r="A160" s="146">
        <f>IF(Values_Entered,A159+1,"")</f>
        <v>143</v>
      </c>
      <c r="B160" s="147">
        <f t="shared" si="16"/>
        <v>46661</v>
      </c>
      <c r="C160" s="148">
        <f t="shared" si="22"/>
        <v>185097.89030441974</v>
      </c>
      <c r="D160" s="148">
        <f t="shared" si="17"/>
        <v>1200.75587806059</v>
      </c>
      <c r="E160" s="149">
        <f t="shared" si="18"/>
        <v>0</v>
      </c>
      <c r="F160" s="148">
        <f t="shared" si="19"/>
        <v>1200.75587806059</v>
      </c>
      <c r="G160" s="148">
        <f t="shared" si="20"/>
        <v>576.0504982831734</v>
      </c>
      <c r="H160" s="148">
        <f t="shared" si="23"/>
        <v>624.70537977741662</v>
      </c>
      <c r="I160" s="148">
        <f t="shared" si="21"/>
        <v>184521.83980613656</v>
      </c>
      <c r="J160" s="148">
        <f>SUM($H$18:$H160)</f>
        <v>106229.93036880113</v>
      </c>
    </row>
    <row r="161" spans="1:10" x14ac:dyDescent="0.2">
      <c r="A161" s="146">
        <f>IF(Values_Entered,A160+1,"")</f>
        <v>144</v>
      </c>
      <c r="B161" s="147">
        <f t="shared" si="16"/>
        <v>46692</v>
      </c>
      <c r="C161" s="148">
        <f t="shared" si="22"/>
        <v>184521.83980613656</v>
      </c>
      <c r="D161" s="148">
        <f t="shared" si="17"/>
        <v>1200.75587806059</v>
      </c>
      <c r="E161" s="149">
        <f t="shared" si="18"/>
        <v>0</v>
      </c>
      <c r="F161" s="148">
        <f t="shared" si="19"/>
        <v>1200.75587806059</v>
      </c>
      <c r="G161" s="148">
        <f t="shared" si="20"/>
        <v>577.99466871487914</v>
      </c>
      <c r="H161" s="148">
        <f t="shared" si="23"/>
        <v>622.76120934571088</v>
      </c>
      <c r="I161" s="148">
        <f t="shared" si="21"/>
        <v>183943.84513742168</v>
      </c>
      <c r="J161" s="148">
        <f>SUM($H$18:$H161)</f>
        <v>106852.69157814684</v>
      </c>
    </row>
    <row r="162" spans="1:10" x14ac:dyDescent="0.2">
      <c r="A162" s="146">
        <f>IF(Values_Entered,A161+1,"")</f>
        <v>145</v>
      </c>
      <c r="B162" s="147">
        <f t="shared" si="16"/>
        <v>46722</v>
      </c>
      <c r="C162" s="148">
        <f t="shared" si="22"/>
        <v>183943.84513742168</v>
      </c>
      <c r="D162" s="148">
        <f t="shared" si="17"/>
        <v>1200.75587806059</v>
      </c>
      <c r="E162" s="149">
        <f t="shared" si="18"/>
        <v>0</v>
      </c>
      <c r="F162" s="148">
        <f t="shared" si="19"/>
        <v>1200.75587806059</v>
      </c>
      <c r="G162" s="148">
        <f t="shared" si="20"/>
        <v>579.94540072179177</v>
      </c>
      <c r="H162" s="148">
        <f t="shared" si="23"/>
        <v>620.81047733879825</v>
      </c>
      <c r="I162" s="148">
        <f t="shared" si="21"/>
        <v>183363.89973669988</v>
      </c>
      <c r="J162" s="148">
        <f>SUM($H$18:$H162)</f>
        <v>107473.50205548565</v>
      </c>
    </row>
    <row r="163" spans="1:10" x14ac:dyDescent="0.2">
      <c r="A163" s="146">
        <f>IF(Values_Entered,A162+1,"")</f>
        <v>146</v>
      </c>
      <c r="B163" s="147">
        <f t="shared" si="16"/>
        <v>46753</v>
      </c>
      <c r="C163" s="148">
        <f t="shared" si="22"/>
        <v>183363.89973669988</v>
      </c>
      <c r="D163" s="148">
        <f t="shared" si="17"/>
        <v>1200.75587806059</v>
      </c>
      <c r="E163" s="149">
        <f t="shared" si="18"/>
        <v>0</v>
      </c>
      <c r="F163" s="148">
        <f t="shared" si="19"/>
        <v>1200.75587806059</v>
      </c>
      <c r="G163" s="148">
        <f t="shared" si="20"/>
        <v>581.90271644922791</v>
      </c>
      <c r="H163" s="148">
        <f t="shared" si="23"/>
        <v>618.85316161136211</v>
      </c>
      <c r="I163" s="148">
        <f t="shared" si="21"/>
        <v>182781.99702025065</v>
      </c>
      <c r="J163" s="148">
        <f>SUM($H$18:$H163)</f>
        <v>108092.35521709701</v>
      </c>
    </row>
    <row r="164" spans="1:10" x14ac:dyDescent="0.2">
      <c r="A164" s="146">
        <f>IF(Values_Entered,A163+1,"")</f>
        <v>147</v>
      </c>
      <c r="B164" s="147">
        <f t="shared" si="16"/>
        <v>46784</v>
      </c>
      <c r="C164" s="148">
        <f t="shared" si="22"/>
        <v>182781.99702025065</v>
      </c>
      <c r="D164" s="148">
        <f t="shared" si="17"/>
        <v>1200.75587806059</v>
      </c>
      <c r="E164" s="149">
        <f t="shared" si="18"/>
        <v>0</v>
      </c>
      <c r="F164" s="148">
        <f t="shared" si="19"/>
        <v>1200.75587806059</v>
      </c>
      <c r="G164" s="148">
        <f t="shared" si="20"/>
        <v>583.86663811724407</v>
      </c>
      <c r="H164" s="148">
        <f t="shared" si="23"/>
        <v>616.88923994334596</v>
      </c>
      <c r="I164" s="148">
        <f t="shared" si="21"/>
        <v>182198.13038213341</v>
      </c>
      <c r="J164" s="148">
        <f>SUM($H$18:$H164)</f>
        <v>108709.24445704035</v>
      </c>
    </row>
    <row r="165" spans="1:10" x14ac:dyDescent="0.2">
      <c r="A165" s="146">
        <f>IF(Values_Entered,A164+1,"")</f>
        <v>148</v>
      </c>
      <c r="B165" s="147">
        <f t="shared" si="16"/>
        <v>46813</v>
      </c>
      <c r="C165" s="148">
        <f t="shared" si="22"/>
        <v>182198.13038213341</v>
      </c>
      <c r="D165" s="148">
        <f t="shared" si="17"/>
        <v>1200.75587806059</v>
      </c>
      <c r="E165" s="149">
        <f t="shared" si="18"/>
        <v>0</v>
      </c>
      <c r="F165" s="148">
        <f t="shared" si="19"/>
        <v>1200.75587806059</v>
      </c>
      <c r="G165" s="148">
        <f t="shared" si="20"/>
        <v>585.8371880208897</v>
      </c>
      <c r="H165" s="148">
        <f t="shared" si="23"/>
        <v>614.91869003970032</v>
      </c>
      <c r="I165" s="148">
        <f t="shared" si="21"/>
        <v>181612.29319411251</v>
      </c>
      <c r="J165" s="148">
        <f>SUM($H$18:$H165)</f>
        <v>109324.16314708005</v>
      </c>
    </row>
    <row r="166" spans="1:10" x14ac:dyDescent="0.2">
      <c r="A166" s="146">
        <f>IF(Values_Entered,A165+1,"")</f>
        <v>149</v>
      </c>
      <c r="B166" s="147">
        <f t="shared" si="16"/>
        <v>46844</v>
      </c>
      <c r="C166" s="148">
        <f t="shared" si="22"/>
        <v>181612.29319411251</v>
      </c>
      <c r="D166" s="148">
        <f t="shared" si="17"/>
        <v>1200.75587806059</v>
      </c>
      <c r="E166" s="149">
        <f t="shared" si="18"/>
        <v>0</v>
      </c>
      <c r="F166" s="148">
        <f t="shared" si="19"/>
        <v>1200.75587806059</v>
      </c>
      <c r="G166" s="148">
        <f t="shared" si="20"/>
        <v>587.81438853046029</v>
      </c>
      <c r="H166" s="148">
        <f t="shared" si="23"/>
        <v>612.94148953012973</v>
      </c>
      <c r="I166" s="148">
        <f t="shared" si="21"/>
        <v>181024.47880558204</v>
      </c>
      <c r="J166" s="148">
        <f>SUM($H$18:$H166)</f>
        <v>109937.10463661018</v>
      </c>
    </row>
    <row r="167" spans="1:10" x14ac:dyDescent="0.2">
      <c r="A167" s="146">
        <f>IF(Values_Entered,A166+1,"")</f>
        <v>150</v>
      </c>
      <c r="B167" s="147">
        <f t="shared" si="16"/>
        <v>46874</v>
      </c>
      <c r="C167" s="148">
        <f t="shared" si="22"/>
        <v>181024.47880558204</v>
      </c>
      <c r="D167" s="148">
        <f t="shared" si="17"/>
        <v>1200.75587806059</v>
      </c>
      <c r="E167" s="149">
        <f t="shared" si="18"/>
        <v>0</v>
      </c>
      <c r="F167" s="148">
        <f t="shared" si="19"/>
        <v>1200.75587806059</v>
      </c>
      <c r="G167" s="148">
        <f t="shared" si="20"/>
        <v>589.79826209175064</v>
      </c>
      <c r="H167" s="148">
        <f t="shared" si="23"/>
        <v>610.95761596883938</v>
      </c>
      <c r="I167" s="148">
        <f t="shared" si="21"/>
        <v>180434.68054349028</v>
      </c>
      <c r="J167" s="148">
        <f>SUM($H$18:$H167)</f>
        <v>110548.06225257902</v>
      </c>
    </row>
    <row r="168" spans="1:10" x14ac:dyDescent="0.2">
      <c r="A168" s="146">
        <f>IF(Values_Entered,A167+1,"")</f>
        <v>151</v>
      </c>
      <c r="B168" s="147">
        <f t="shared" si="16"/>
        <v>46905</v>
      </c>
      <c r="C168" s="148">
        <f t="shared" si="22"/>
        <v>180434.68054349028</v>
      </c>
      <c r="D168" s="148">
        <f t="shared" si="17"/>
        <v>1200.75587806059</v>
      </c>
      <c r="E168" s="149">
        <f t="shared" si="18"/>
        <v>0</v>
      </c>
      <c r="F168" s="148">
        <f t="shared" si="19"/>
        <v>1200.75587806059</v>
      </c>
      <c r="G168" s="148">
        <f t="shared" si="20"/>
        <v>591.78883122631032</v>
      </c>
      <c r="H168" s="148">
        <f t="shared" si="23"/>
        <v>608.9670468342797</v>
      </c>
      <c r="I168" s="148">
        <f t="shared" si="21"/>
        <v>179842.89171226395</v>
      </c>
      <c r="J168" s="148">
        <f>SUM($H$18:$H168)</f>
        <v>111157.02929941331</v>
      </c>
    </row>
    <row r="169" spans="1:10" x14ac:dyDescent="0.2">
      <c r="A169" s="146">
        <f>IF(Values_Entered,A168+1,"")</f>
        <v>152</v>
      </c>
      <c r="B169" s="147">
        <f t="shared" si="16"/>
        <v>46935</v>
      </c>
      <c r="C169" s="148">
        <f t="shared" si="22"/>
        <v>179842.89171226395</v>
      </c>
      <c r="D169" s="148">
        <f t="shared" si="17"/>
        <v>1200.75587806059</v>
      </c>
      <c r="E169" s="149">
        <f t="shared" si="18"/>
        <v>0</v>
      </c>
      <c r="F169" s="148">
        <f t="shared" si="19"/>
        <v>1200.75587806059</v>
      </c>
      <c r="G169" s="148">
        <f t="shared" si="20"/>
        <v>593.78611853169912</v>
      </c>
      <c r="H169" s="148">
        <f t="shared" si="23"/>
        <v>606.9697595288909</v>
      </c>
      <c r="I169" s="148">
        <f t="shared" si="21"/>
        <v>179249.10559373227</v>
      </c>
      <c r="J169" s="148">
        <f>SUM($H$18:$H169)</f>
        <v>111763.99905894219</v>
      </c>
    </row>
    <row r="170" spans="1:10" x14ac:dyDescent="0.2">
      <c r="A170" s="146">
        <f>IF(Values_Entered,A169+1,"")</f>
        <v>153</v>
      </c>
      <c r="B170" s="147">
        <f t="shared" si="16"/>
        <v>46966</v>
      </c>
      <c r="C170" s="148">
        <f t="shared" si="22"/>
        <v>179249.10559373227</v>
      </c>
      <c r="D170" s="148">
        <f t="shared" si="17"/>
        <v>1200.75587806059</v>
      </c>
      <c r="E170" s="149">
        <f t="shared" si="18"/>
        <v>0</v>
      </c>
      <c r="F170" s="148">
        <f t="shared" si="19"/>
        <v>1200.75587806059</v>
      </c>
      <c r="G170" s="148">
        <f t="shared" si="20"/>
        <v>595.79014668174364</v>
      </c>
      <c r="H170" s="148">
        <f t="shared" si="23"/>
        <v>604.96573137884639</v>
      </c>
      <c r="I170" s="148">
        <f t="shared" si="21"/>
        <v>178653.31544705053</v>
      </c>
      <c r="J170" s="148">
        <f>SUM($H$18:$H170)</f>
        <v>112368.96479032104</v>
      </c>
    </row>
    <row r="171" spans="1:10" x14ac:dyDescent="0.2">
      <c r="A171" s="146">
        <f>IF(Values_Entered,A170+1,"")</f>
        <v>154</v>
      </c>
      <c r="B171" s="147">
        <f t="shared" si="16"/>
        <v>46997</v>
      </c>
      <c r="C171" s="148">
        <f t="shared" si="22"/>
        <v>178653.31544705053</v>
      </c>
      <c r="D171" s="148">
        <f t="shared" si="17"/>
        <v>1200.75587806059</v>
      </c>
      <c r="E171" s="149">
        <f t="shared" si="18"/>
        <v>0</v>
      </c>
      <c r="F171" s="148">
        <f t="shared" si="19"/>
        <v>1200.75587806059</v>
      </c>
      <c r="G171" s="148">
        <f t="shared" si="20"/>
        <v>597.80093842679446</v>
      </c>
      <c r="H171" s="148">
        <f t="shared" si="23"/>
        <v>602.95493963379556</v>
      </c>
      <c r="I171" s="148">
        <f t="shared" si="21"/>
        <v>178055.51450862372</v>
      </c>
      <c r="J171" s="148">
        <f>SUM($H$18:$H171)</f>
        <v>112971.91972995484</v>
      </c>
    </row>
    <row r="172" spans="1:10" x14ac:dyDescent="0.2">
      <c r="A172" s="146">
        <f>IF(Values_Entered,A171+1,"")</f>
        <v>155</v>
      </c>
      <c r="B172" s="147">
        <f t="shared" si="16"/>
        <v>47027</v>
      </c>
      <c r="C172" s="148">
        <f t="shared" si="22"/>
        <v>178055.51450862372</v>
      </c>
      <c r="D172" s="148">
        <f t="shared" si="17"/>
        <v>1200.75587806059</v>
      </c>
      <c r="E172" s="149">
        <f t="shared" si="18"/>
        <v>0</v>
      </c>
      <c r="F172" s="148">
        <f t="shared" si="19"/>
        <v>1200.75587806059</v>
      </c>
      <c r="G172" s="148">
        <f t="shared" si="20"/>
        <v>599.81851659398501</v>
      </c>
      <c r="H172" s="148">
        <f t="shared" si="23"/>
        <v>600.93736146660501</v>
      </c>
      <c r="I172" s="148">
        <f t="shared" si="21"/>
        <v>177455.69599202974</v>
      </c>
      <c r="J172" s="148">
        <f>SUM($H$18:$H172)</f>
        <v>113572.85709142145</v>
      </c>
    </row>
    <row r="173" spans="1:10" x14ac:dyDescent="0.2">
      <c r="A173" s="146">
        <f>IF(Values_Entered,A172+1,"")</f>
        <v>156</v>
      </c>
      <c r="B173" s="147">
        <f t="shared" si="16"/>
        <v>47058</v>
      </c>
      <c r="C173" s="148">
        <f t="shared" si="22"/>
        <v>177455.69599202974</v>
      </c>
      <c r="D173" s="148">
        <f t="shared" si="17"/>
        <v>1200.75587806059</v>
      </c>
      <c r="E173" s="149">
        <f t="shared" si="18"/>
        <v>0</v>
      </c>
      <c r="F173" s="148">
        <f t="shared" si="19"/>
        <v>1200.75587806059</v>
      </c>
      <c r="G173" s="148">
        <f t="shared" si="20"/>
        <v>601.84290408748961</v>
      </c>
      <c r="H173" s="148">
        <f t="shared" si="23"/>
        <v>598.91297397310041</v>
      </c>
      <c r="I173" s="148">
        <f t="shared" si="21"/>
        <v>176853.85308794226</v>
      </c>
      <c r="J173" s="148">
        <f>SUM($H$18:$H173)</f>
        <v>114171.77006539455</v>
      </c>
    </row>
    <row r="174" spans="1:10" x14ac:dyDescent="0.2">
      <c r="A174" s="146">
        <f>IF(Values_Entered,A173+1,"")</f>
        <v>157</v>
      </c>
      <c r="B174" s="147">
        <f t="shared" si="16"/>
        <v>47088</v>
      </c>
      <c r="C174" s="148">
        <f t="shared" si="22"/>
        <v>176853.85308794226</v>
      </c>
      <c r="D174" s="148">
        <f t="shared" si="17"/>
        <v>1200.75587806059</v>
      </c>
      <c r="E174" s="149">
        <f t="shared" si="18"/>
        <v>0</v>
      </c>
      <c r="F174" s="148">
        <f t="shared" si="19"/>
        <v>1200.75587806059</v>
      </c>
      <c r="G174" s="148">
        <f t="shared" si="20"/>
        <v>603.87412388878488</v>
      </c>
      <c r="H174" s="148">
        <f t="shared" si="23"/>
        <v>596.88175417180514</v>
      </c>
      <c r="I174" s="148">
        <f t="shared" si="21"/>
        <v>176249.97896405347</v>
      </c>
      <c r="J174" s="148">
        <f>SUM($H$18:$H174)</f>
        <v>114768.65181956635</v>
      </c>
    </row>
    <row r="175" spans="1:10" x14ac:dyDescent="0.2">
      <c r="A175" s="146">
        <f>IF(Values_Entered,A174+1,"")</f>
        <v>158</v>
      </c>
      <c r="B175" s="147">
        <f t="shared" si="16"/>
        <v>47119</v>
      </c>
      <c r="C175" s="148">
        <f t="shared" si="22"/>
        <v>176249.97896405347</v>
      </c>
      <c r="D175" s="148">
        <f t="shared" si="17"/>
        <v>1200.75587806059</v>
      </c>
      <c r="E175" s="149">
        <f t="shared" si="18"/>
        <v>0</v>
      </c>
      <c r="F175" s="148">
        <f t="shared" si="19"/>
        <v>1200.75587806059</v>
      </c>
      <c r="G175" s="148">
        <f t="shared" si="20"/>
        <v>605.91219905690957</v>
      </c>
      <c r="H175" s="148">
        <f t="shared" si="23"/>
        <v>594.84367900368045</v>
      </c>
      <c r="I175" s="148">
        <f t="shared" si="21"/>
        <v>175644.06676499656</v>
      </c>
      <c r="J175" s="148">
        <f>SUM($H$18:$H175)</f>
        <v>115363.49549857003</v>
      </c>
    </row>
    <row r="176" spans="1:10" x14ac:dyDescent="0.2">
      <c r="A176" s="146">
        <f>IF(Values_Entered,A175+1,"")</f>
        <v>159</v>
      </c>
      <c r="B176" s="147">
        <f t="shared" si="16"/>
        <v>47150</v>
      </c>
      <c r="C176" s="148">
        <f t="shared" si="22"/>
        <v>175644.06676499656</v>
      </c>
      <c r="D176" s="148">
        <f t="shared" si="17"/>
        <v>1200.75587806059</v>
      </c>
      <c r="E176" s="149">
        <f t="shared" si="18"/>
        <v>0</v>
      </c>
      <c r="F176" s="148">
        <f t="shared" si="19"/>
        <v>1200.75587806059</v>
      </c>
      <c r="G176" s="148">
        <f t="shared" si="20"/>
        <v>607.95715272872656</v>
      </c>
      <c r="H176" s="148">
        <f t="shared" si="23"/>
        <v>592.79872533186347</v>
      </c>
      <c r="I176" s="148">
        <f t="shared" si="21"/>
        <v>175036.10961226784</v>
      </c>
      <c r="J176" s="148">
        <f>SUM($H$18:$H176)</f>
        <v>115956.29422390189</v>
      </c>
    </row>
    <row r="177" spans="1:10" x14ac:dyDescent="0.2">
      <c r="A177" s="146">
        <f>IF(Values_Entered,A176+1,"")</f>
        <v>160</v>
      </c>
      <c r="B177" s="147">
        <f t="shared" si="16"/>
        <v>47178</v>
      </c>
      <c r="C177" s="148">
        <f t="shared" si="22"/>
        <v>175036.10961226784</v>
      </c>
      <c r="D177" s="148">
        <f t="shared" si="17"/>
        <v>1200.75587806059</v>
      </c>
      <c r="E177" s="149">
        <f t="shared" si="18"/>
        <v>0</v>
      </c>
      <c r="F177" s="148">
        <f t="shared" si="19"/>
        <v>1200.75587806059</v>
      </c>
      <c r="G177" s="148">
        <f t="shared" si="20"/>
        <v>610.00900811918598</v>
      </c>
      <c r="H177" s="148">
        <f t="shared" si="23"/>
        <v>590.74686994140404</v>
      </c>
      <c r="I177" s="148">
        <f t="shared" si="21"/>
        <v>174426.10060414867</v>
      </c>
      <c r="J177" s="148">
        <f>SUM($H$18:$H177)</f>
        <v>116547.04109384329</v>
      </c>
    </row>
    <row r="178" spans="1:10" x14ac:dyDescent="0.2">
      <c r="A178" s="146">
        <f>IF(Values_Entered,A177+1,"")</f>
        <v>161</v>
      </c>
      <c r="B178" s="147">
        <f t="shared" si="16"/>
        <v>47209</v>
      </c>
      <c r="C178" s="148">
        <f t="shared" si="22"/>
        <v>174426.10060414867</v>
      </c>
      <c r="D178" s="148">
        <f t="shared" si="17"/>
        <v>1200.75587806059</v>
      </c>
      <c r="E178" s="149">
        <f t="shared" si="18"/>
        <v>0</v>
      </c>
      <c r="F178" s="148">
        <f t="shared" si="19"/>
        <v>1200.75587806059</v>
      </c>
      <c r="G178" s="148">
        <f t="shared" si="20"/>
        <v>612.06778852158823</v>
      </c>
      <c r="H178" s="148">
        <f t="shared" si="23"/>
        <v>588.68808953900179</v>
      </c>
      <c r="I178" s="148">
        <f t="shared" si="21"/>
        <v>173814.03281562708</v>
      </c>
      <c r="J178" s="148">
        <f>SUM($H$18:$H178)</f>
        <v>117135.7291833823</v>
      </c>
    </row>
    <row r="179" spans="1:10" x14ac:dyDescent="0.2">
      <c r="A179" s="146">
        <f>IF(Values_Entered,A178+1,"")</f>
        <v>162</v>
      </c>
      <c r="B179" s="147">
        <f t="shared" si="16"/>
        <v>47239</v>
      </c>
      <c r="C179" s="148">
        <f t="shared" si="22"/>
        <v>173814.03281562708</v>
      </c>
      <c r="D179" s="148">
        <f t="shared" si="17"/>
        <v>1200.75587806059</v>
      </c>
      <c r="E179" s="149">
        <f t="shared" si="18"/>
        <v>0</v>
      </c>
      <c r="F179" s="148">
        <f t="shared" si="19"/>
        <v>1200.75587806059</v>
      </c>
      <c r="G179" s="148">
        <f t="shared" si="20"/>
        <v>614.13351730784859</v>
      </c>
      <c r="H179" s="148">
        <f t="shared" si="23"/>
        <v>586.62236075274143</v>
      </c>
      <c r="I179" s="148">
        <f t="shared" si="21"/>
        <v>173199.89929831924</v>
      </c>
      <c r="J179" s="148">
        <f>SUM($H$18:$H179)</f>
        <v>117722.35154413503</v>
      </c>
    </row>
    <row r="180" spans="1:10" x14ac:dyDescent="0.2">
      <c r="A180" s="146">
        <f>IF(Values_Entered,A179+1,"")</f>
        <v>163</v>
      </c>
      <c r="B180" s="147">
        <f t="shared" si="16"/>
        <v>47270</v>
      </c>
      <c r="C180" s="148">
        <f t="shared" si="22"/>
        <v>173199.89929831924</v>
      </c>
      <c r="D180" s="148">
        <f t="shared" si="17"/>
        <v>1200.75587806059</v>
      </c>
      <c r="E180" s="149">
        <f t="shared" si="18"/>
        <v>0</v>
      </c>
      <c r="F180" s="148">
        <f t="shared" si="19"/>
        <v>1200.75587806059</v>
      </c>
      <c r="G180" s="148">
        <f t="shared" si="20"/>
        <v>616.20621792876261</v>
      </c>
      <c r="H180" s="148">
        <f t="shared" si="23"/>
        <v>584.54966013182741</v>
      </c>
      <c r="I180" s="148">
        <f t="shared" si="21"/>
        <v>172583.69308039048</v>
      </c>
      <c r="J180" s="148">
        <f>SUM($H$18:$H180)</f>
        <v>118306.90120426686</v>
      </c>
    </row>
    <row r="181" spans="1:10" x14ac:dyDescent="0.2">
      <c r="A181" s="146">
        <f>IF(Values_Entered,A180+1,"")</f>
        <v>164</v>
      </c>
      <c r="B181" s="147">
        <f t="shared" si="16"/>
        <v>47300</v>
      </c>
      <c r="C181" s="148">
        <f t="shared" si="22"/>
        <v>172583.69308039048</v>
      </c>
      <c r="D181" s="148">
        <f t="shared" si="17"/>
        <v>1200.75587806059</v>
      </c>
      <c r="E181" s="149">
        <f t="shared" si="18"/>
        <v>0</v>
      </c>
      <c r="F181" s="148">
        <f t="shared" si="19"/>
        <v>1200.75587806059</v>
      </c>
      <c r="G181" s="148">
        <f t="shared" si="20"/>
        <v>618.2859139142721</v>
      </c>
      <c r="H181" s="148">
        <f t="shared" si="23"/>
        <v>582.46996414631792</v>
      </c>
      <c r="I181" s="148">
        <f t="shared" si="21"/>
        <v>171965.40716647622</v>
      </c>
      <c r="J181" s="148">
        <f>SUM($H$18:$H181)</f>
        <v>118889.37116841318</v>
      </c>
    </row>
    <row r="182" spans="1:10" x14ac:dyDescent="0.2">
      <c r="A182" s="146">
        <f>IF(Values_Entered,A181+1,"")</f>
        <v>165</v>
      </c>
      <c r="B182" s="147">
        <f t="shared" si="16"/>
        <v>47331</v>
      </c>
      <c r="C182" s="148">
        <f t="shared" si="22"/>
        <v>171965.40716647622</v>
      </c>
      <c r="D182" s="148">
        <f t="shared" si="17"/>
        <v>1200.75587806059</v>
      </c>
      <c r="E182" s="149">
        <f t="shared" si="18"/>
        <v>0</v>
      </c>
      <c r="F182" s="148">
        <f t="shared" si="19"/>
        <v>1200.75587806059</v>
      </c>
      <c r="G182" s="148">
        <f t="shared" si="20"/>
        <v>620.37262887373276</v>
      </c>
      <c r="H182" s="148">
        <f t="shared" si="23"/>
        <v>580.38324918685726</v>
      </c>
      <c r="I182" s="148">
        <f t="shared" si="21"/>
        <v>171345.03453760248</v>
      </c>
      <c r="J182" s="148">
        <f>SUM($H$18:$H182)</f>
        <v>119469.75441760004</v>
      </c>
    </row>
    <row r="183" spans="1:10" x14ac:dyDescent="0.2">
      <c r="A183" s="146">
        <f>IF(Values_Entered,A182+1,"")</f>
        <v>166</v>
      </c>
      <c r="B183" s="147">
        <f t="shared" si="16"/>
        <v>47362</v>
      </c>
      <c r="C183" s="148">
        <f t="shared" si="22"/>
        <v>171345.03453760248</v>
      </c>
      <c r="D183" s="148">
        <f t="shared" si="17"/>
        <v>1200.75587806059</v>
      </c>
      <c r="E183" s="149">
        <f t="shared" si="18"/>
        <v>0</v>
      </c>
      <c r="F183" s="148">
        <f t="shared" si="19"/>
        <v>1200.75587806059</v>
      </c>
      <c r="G183" s="148">
        <f t="shared" si="20"/>
        <v>622.4663864961816</v>
      </c>
      <c r="H183" s="148">
        <f t="shared" si="23"/>
        <v>578.28949156440842</v>
      </c>
      <c r="I183" s="148">
        <f t="shared" si="21"/>
        <v>170722.5681511063</v>
      </c>
      <c r="J183" s="148">
        <f>SUM($H$18:$H183)</f>
        <v>120048.04390916445</v>
      </c>
    </row>
    <row r="184" spans="1:10" x14ac:dyDescent="0.2">
      <c r="A184" s="146">
        <f>IF(Values_Entered,A183+1,"")</f>
        <v>167</v>
      </c>
      <c r="B184" s="147">
        <f t="shared" si="16"/>
        <v>47392</v>
      </c>
      <c r="C184" s="148">
        <f t="shared" si="22"/>
        <v>170722.5681511063</v>
      </c>
      <c r="D184" s="148">
        <f t="shared" si="17"/>
        <v>1200.75587806059</v>
      </c>
      <c r="E184" s="149">
        <f t="shared" si="18"/>
        <v>0</v>
      </c>
      <c r="F184" s="148">
        <f t="shared" si="19"/>
        <v>1200.75587806059</v>
      </c>
      <c r="G184" s="148">
        <f t="shared" si="20"/>
        <v>624.56721055060621</v>
      </c>
      <c r="H184" s="148">
        <f t="shared" si="23"/>
        <v>576.18866750998382</v>
      </c>
      <c r="I184" s="148">
        <f t="shared" si="21"/>
        <v>170098.00094055571</v>
      </c>
      <c r="J184" s="148">
        <f>SUM($H$18:$H184)</f>
        <v>120624.23257667443</v>
      </c>
    </row>
    <row r="185" spans="1:10" x14ac:dyDescent="0.2">
      <c r="A185" s="146">
        <f>IF(Values_Entered,A184+1,"")</f>
        <v>168</v>
      </c>
      <c r="B185" s="147">
        <f t="shared" si="16"/>
        <v>47423</v>
      </c>
      <c r="C185" s="148">
        <f t="shared" si="22"/>
        <v>170098.00094055571</v>
      </c>
      <c r="D185" s="148">
        <f t="shared" si="17"/>
        <v>1200.75587806059</v>
      </c>
      <c r="E185" s="149">
        <f t="shared" si="18"/>
        <v>0</v>
      </c>
      <c r="F185" s="148">
        <f t="shared" si="19"/>
        <v>1200.75587806059</v>
      </c>
      <c r="G185" s="148">
        <f t="shared" si="20"/>
        <v>626.67512488621446</v>
      </c>
      <c r="H185" s="148">
        <f t="shared" si="23"/>
        <v>574.08075317437556</v>
      </c>
      <c r="I185" s="148">
        <f t="shared" si="21"/>
        <v>169471.32581566949</v>
      </c>
      <c r="J185" s="148">
        <f>SUM($H$18:$H185)</f>
        <v>121198.31332984881</v>
      </c>
    </row>
    <row r="186" spans="1:10" x14ac:dyDescent="0.2">
      <c r="A186" s="146">
        <f>IF(Values_Entered,A185+1,"")</f>
        <v>169</v>
      </c>
      <c r="B186" s="147">
        <f t="shared" si="16"/>
        <v>47453</v>
      </c>
      <c r="C186" s="148">
        <f t="shared" si="22"/>
        <v>169471.32581566949</v>
      </c>
      <c r="D186" s="148">
        <f t="shared" si="17"/>
        <v>1200.75587806059</v>
      </c>
      <c r="E186" s="149">
        <f t="shared" si="18"/>
        <v>0</v>
      </c>
      <c r="F186" s="148">
        <f t="shared" si="19"/>
        <v>1200.75587806059</v>
      </c>
      <c r="G186" s="148">
        <f t="shared" si="20"/>
        <v>628.79015343270544</v>
      </c>
      <c r="H186" s="148">
        <f t="shared" si="23"/>
        <v>571.96572462788458</v>
      </c>
      <c r="I186" s="148">
        <f t="shared" si="21"/>
        <v>168842.5356622368</v>
      </c>
      <c r="J186" s="148">
        <f>SUM($H$18:$H186)</f>
        <v>121770.27905447669</v>
      </c>
    </row>
    <row r="187" spans="1:10" x14ac:dyDescent="0.2">
      <c r="A187" s="146">
        <f>IF(Values_Entered,A186+1,"")</f>
        <v>170</v>
      </c>
      <c r="B187" s="147">
        <f t="shared" si="16"/>
        <v>47484</v>
      </c>
      <c r="C187" s="148">
        <f t="shared" si="22"/>
        <v>168842.5356622368</v>
      </c>
      <c r="D187" s="148">
        <f t="shared" si="17"/>
        <v>1200.75587806059</v>
      </c>
      <c r="E187" s="149">
        <f t="shared" si="18"/>
        <v>0</v>
      </c>
      <c r="F187" s="148">
        <f t="shared" si="19"/>
        <v>1200.75587806059</v>
      </c>
      <c r="G187" s="148">
        <f t="shared" si="20"/>
        <v>630.91232020054088</v>
      </c>
      <c r="H187" s="148">
        <f t="shared" si="23"/>
        <v>569.84355786004915</v>
      </c>
      <c r="I187" s="148">
        <f t="shared" si="21"/>
        <v>168211.62334203627</v>
      </c>
      <c r="J187" s="148">
        <f>SUM($H$18:$H187)</f>
        <v>122340.12261233674</v>
      </c>
    </row>
    <row r="188" spans="1:10" x14ac:dyDescent="0.2">
      <c r="A188" s="146">
        <f>IF(Values_Entered,A187+1,"")</f>
        <v>171</v>
      </c>
      <c r="B188" s="147">
        <f t="shared" si="16"/>
        <v>47515</v>
      </c>
      <c r="C188" s="148">
        <f t="shared" si="22"/>
        <v>168211.62334203627</v>
      </c>
      <c r="D188" s="148">
        <f t="shared" si="17"/>
        <v>1200.75587806059</v>
      </c>
      <c r="E188" s="149">
        <f t="shared" si="18"/>
        <v>0</v>
      </c>
      <c r="F188" s="148">
        <f t="shared" si="19"/>
        <v>1200.75587806059</v>
      </c>
      <c r="G188" s="148">
        <f t="shared" si="20"/>
        <v>633.04164928121759</v>
      </c>
      <c r="H188" s="148">
        <f t="shared" si="23"/>
        <v>567.71422877937243</v>
      </c>
      <c r="I188" s="148">
        <f t="shared" si="21"/>
        <v>167578.58169275505</v>
      </c>
      <c r="J188" s="148">
        <f>SUM($H$18:$H188)</f>
        <v>122907.83684111611</v>
      </c>
    </row>
    <row r="189" spans="1:10" x14ac:dyDescent="0.2">
      <c r="A189" s="146">
        <f>IF(Values_Entered,A188+1,"")</f>
        <v>172</v>
      </c>
      <c r="B189" s="147">
        <f t="shared" si="16"/>
        <v>47543</v>
      </c>
      <c r="C189" s="148">
        <f t="shared" si="22"/>
        <v>167578.58169275505</v>
      </c>
      <c r="D189" s="148">
        <f t="shared" si="17"/>
        <v>1200.75587806059</v>
      </c>
      <c r="E189" s="149">
        <f t="shared" si="18"/>
        <v>0</v>
      </c>
      <c r="F189" s="148">
        <f t="shared" si="19"/>
        <v>1200.75587806059</v>
      </c>
      <c r="G189" s="148">
        <f t="shared" si="20"/>
        <v>635.17816484754178</v>
      </c>
      <c r="H189" s="148">
        <f t="shared" si="23"/>
        <v>565.57771321304824</v>
      </c>
      <c r="I189" s="148">
        <f t="shared" si="21"/>
        <v>166943.4035279075</v>
      </c>
      <c r="J189" s="148">
        <f>SUM($H$18:$H189)</f>
        <v>123473.41455432915</v>
      </c>
    </row>
    <row r="190" spans="1:10" x14ac:dyDescent="0.2">
      <c r="A190" s="146">
        <f>IF(Values_Entered,A189+1,"")</f>
        <v>173</v>
      </c>
      <c r="B190" s="147">
        <f t="shared" si="16"/>
        <v>47574</v>
      </c>
      <c r="C190" s="148">
        <f t="shared" si="22"/>
        <v>166943.4035279075</v>
      </c>
      <c r="D190" s="148">
        <f t="shared" si="17"/>
        <v>1200.75587806059</v>
      </c>
      <c r="E190" s="149">
        <f t="shared" si="18"/>
        <v>0</v>
      </c>
      <c r="F190" s="148">
        <f t="shared" si="19"/>
        <v>1200.75587806059</v>
      </c>
      <c r="G190" s="148">
        <f t="shared" si="20"/>
        <v>637.32189115390213</v>
      </c>
      <c r="H190" s="148">
        <f t="shared" si="23"/>
        <v>563.43398690668789</v>
      </c>
      <c r="I190" s="148">
        <f t="shared" si="21"/>
        <v>166306.0816367536</v>
      </c>
      <c r="J190" s="148">
        <f>SUM($H$18:$H190)</f>
        <v>124036.84854123584</v>
      </c>
    </row>
    <row r="191" spans="1:10" x14ac:dyDescent="0.2">
      <c r="A191" s="146">
        <f>IF(Values_Entered,A190+1,"")</f>
        <v>174</v>
      </c>
      <c r="B191" s="147">
        <f t="shared" si="16"/>
        <v>47604</v>
      </c>
      <c r="C191" s="148">
        <f t="shared" si="22"/>
        <v>166306.0816367536</v>
      </c>
      <c r="D191" s="148">
        <f t="shared" si="17"/>
        <v>1200.75587806059</v>
      </c>
      <c r="E191" s="149">
        <f t="shared" si="18"/>
        <v>0</v>
      </c>
      <c r="F191" s="148">
        <f t="shared" si="19"/>
        <v>1200.75587806059</v>
      </c>
      <c r="G191" s="148">
        <f t="shared" si="20"/>
        <v>639.47285253654661</v>
      </c>
      <c r="H191" s="148">
        <f t="shared" si="23"/>
        <v>561.28302552404341</v>
      </c>
      <c r="I191" s="148">
        <f t="shared" si="21"/>
        <v>165666.60878421707</v>
      </c>
      <c r="J191" s="148">
        <f>SUM($H$18:$H191)</f>
        <v>124598.13156675988</v>
      </c>
    </row>
    <row r="192" spans="1:10" x14ac:dyDescent="0.2">
      <c r="A192" s="146">
        <f>IF(Values_Entered,A191+1,"")</f>
        <v>175</v>
      </c>
      <c r="B192" s="147">
        <f t="shared" si="16"/>
        <v>47635</v>
      </c>
      <c r="C192" s="148">
        <f t="shared" si="22"/>
        <v>165666.60878421707</v>
      </c>
      <c r="D192" s="148">
        <f t="shared" si="17"/>
        <v>1200.75587806059</v>
      </c>
      <c r="E192" s="149">
        <f t="shared" si="18"/>
        <v>0</v>
      </c>
      <c r="F192" s="148">
        <f t="shared" si="19"/>
        <v>1200.75587806059</v>
      </c>
      <c r="G192" s="148">
        <f t="shared" si="20"/>
        <v>641.63107341385739</v>
      </c>
      <c r="H192" s="148">
        <f t="shared" si="23"/>
        <v>559.12480464673263</v>
      </c>
      <c r="I192" s="148">
        <f t="shared" si="21"/>
        <v>165024.97771080321</v>
      </c>
      <c r="J192" s="148">
        <f>SUM($H$18:$H192)</f>
        <v>125157.25637140662</v>
      </c>
    </row>
    <row r="193" spans="1:10" x14ac:dyDescent="0.2">
      <c r="A193" s="146">
        <f>IF(Values_Entered,A192+1,"")</f>
        <v>176</v>
      </c>
      <c r="B193" s="147">
        <f t="shared" si="16"/>
        <v>47665</v>
      </c>
      <c r="C193" s="148">
        <f t="shared" si="22"/>
        <v>165024.97771080321</v>
      </c>
      <c r="D193" s="148">
        <f t="shared" si="17"/>
        <v>1200.75587806059</v>
      </c>
      <c r="E193" s="149">
        <f t="shared" si="18"/>
        <v>0</v>
      </c>
      <c r="F193" s="148">
        <f t="shared" si="19"/>
        <v>1200.75587806059</v>
      </c>
      <c r="G193" s="148">
        <f t="shared" si="20"/>
        <v>643.79657828662914</v>
      </c>
      <c r="H193" s="148">
        <f t="shared" si="23"/>
        <v>556.95929977396088</v>
      </c>
      <c r="I193" s="148">
        <f t="shared" si="21"/>
        <v>164381.18113251659</v>
      </c>
      <c r="J193" s="148">
        <f>SUM($H$18:$H193)</f>
        <v>125714.21567118059</v>
      </c>
    </row>
    <row r="194" spans="1:10" x14ac:dyDescent="0.2">
      <c r="A194" s="146">
        <f>IF(Values_Entered,A193+1,"")</f>
        <v>177</v>
      </c>
      <c r="B194" s="147">
        <f t="shared" si="16"/>
        <v>47696</v>
      </c>
      <c r="C194" s="148">
        <f t="shared" si="22"/>
        <v>164381.18113251659</v>
      </c>
      <c r="D194" s="148">
        <f t="shared" si="17"/>
        <v>1200.75587806059</v>
      </c>
      <c r="E194" s="149">
        <f t="shared" si="18"/>
        <v>0</v>
      </c>
      <c r="F194" s="148">
        <f t="shared" si="19"/>
        <v>1200.75587806059</v>
      </c>
      <c r="G194" s="148">
        <f t="shared" si="20"/>
        <v>645.96939173834653</v>
      </c>
      <c r="H194" s="148">
        <f t="shared" si="23"/>
        <v>554.78648632224349</v>
      </c>
      <c r="I194" s="148">
        <f t="shared" si="21"/>
        <v>163735.21174077824</v>
      </c>
      <c r="J194" s="148">
        <f>SUM($H$18:$H194)</f>
        <v>126269.00215750284</v>
      </c>
    </row>
    <row r="195" spans="1:10" x14ac:dyDescent="0.2">
      <c r="A195" s="146">
        <f>IF(Values_Entered,A194+1,"")</f>
        <v>178</v>
      </c>
      <c r="B195" s="147">
        <f t="shared" si="16"/>
        <v>47727</v>
      </c>
      <c r="C195" s="148">
        <f t="shared" si="22"/>
        <v>163735.21174077824</v>
      </c>
      <c r="D195" s="148">
        <f t="shared" si="17"/>
        <v>1200.75587806059</v>
      </c>
      <c r="E195" s="149">
        <f t="shared" si="18"/>
        <v>0</v>
      </c>
      <c r="F195" s="148">
        <f t="shared" si="19"/>
        <v>1200.75587806059</v>
      </c>
      <c r="G195" s="148">
        <f t="shared" si="20"/>
        <v>648.14953843546346</v>
      </c>
      <c r="H195" s="148">
        <f t="shared" si="23"/>
        <v>552.60633962512657</v>
      </c>
      <c r="I195" s="148">
        <f t="shared" si="21"/>
        <v>163087.06220234279</v>
      </c>
      <c r="J195" s="148">
        <f>SUM($H$18:$H195)</f>
        <v>126821.60849712796</v>
      </c>
    </row>
    <row r="196" spans="1:10" x14ac:dyDescent="0.2">
      <c r="A196" s="146">
        <f>IF(Values_Entered,A195+1,"")</f>
        <v>179</v>
      </c>
      <c r="B196" s="147">
        <f t="shared" si="16"/>
        <v>47757</v>
      </c>
      <c r="C196" s="148">
        <f t="shared" si="22"/>
        <v>163087.06220234279</v>
      </c>
      <c r="D196" s="148">
        <f t="shared" si="17"/>
        <v>1200.75587806059</v>
      </c>
      <c r="E196" s="149">
        <f t="shared" si="18"/>
        <v>0</v>
      </c>
      <c r="F196" s="148">
        <f t="shared" si="19"/>
        <v>1200.75587806059</v>
      </c>
      <c r="G196" s="148">
        <f t="shared" si="20"/>
        <v>650.33704312768316</v>
      </c>
      <c r="H196" s="148">
        <f t="shared" si="23"/>
        <v>550.41883493290686</v>
      </c>
      <c r="I196" s="148">
        <f t="shared" si="21"/>
        <v>162436.7251592151</v>
      </c>
      <c r="J196" s="148">
        <f>SUM($H$18:$H196)</f>
        <v>127372.02733206087</v>
      </c>
    </row>
    <row r="197" spans="1:10" x14ac:dyDescent="0.2">
      <c r="A197" s="146">
        <f>IF(Values_Entered,A196+1,"")</f>
        <v>180</v>
      </c>
      <c r="B197" s="147">
        <f t="shared" si="16"/>
        <v>47788</v>
      </c>
      <c r="C197" s="148">
        <f t="shared" si="22"/>
        <v>162436.7251592151</v>
      </c>
      <c r="D197" s="148">
        <f t="shared" si="17"/>
        <v>1200.75587806059</v>
      </c>
      <c r="E197" s="149">
        <f t="shared" si="18"/>
        <v>0</v>
      </c>
      <c r="F197" s="148">
        <f t="shared" si="19"/>
        <v>1200.75587806059</v>
      </c>
      <c r="G197" s="148">
        <f t="shared" si="20"/>
        <v>652.53193064823904</v>
      </c>
      <c r="H197" s="148">
        <f t="shared" si="23"/>
        <v>548.22394741235098</v>
      </c>
      <c r="I197" s="148">
        <f t="shared" si="21"/>
        <v>161784.19322856687</v>
      </c>
      <c r="J197" s="148">
        <f>SUM($H$18:$H197)</f>
        <v>127920.25127947322</v>
      </c>
    </row>
    <row r="198" spans="1:10" x14ac:dyDescent="0.2">
      <c r="A198" s="146">
        <f>IF(Values_Entered,A197+1,"")</f>
        <v>181</v>
      </c>
      <c r="B198" s="147">
        <f t="shared" si="16"/>
        <v>47818</v>
      </c>
      <c r="C198" s="148">
        <f t="shared" si="22"/>
        <v>161784.19322856687</v>
      </c>
      <c r="D198" s="148">
        <f t="shared" si="17"/>
        <v>1200.75587806059</v>
      </c>
      <c r="E198" s="149">
        <f t="shared" si="18"/>
        <v>0</v>
      </c>
      <c r="F198" s="148">
        <f t="shared" si="19"/>
        <v>1200.75587806059</v>
      </c>
      <c r="G198" s="148">
        <f t="shared" si="20"/>
        <v>654.73422591417682</v>
      </c>
      <c r="H198" s="148">
        <f t="shared" si="23"/>
        <v>546.0216521464132</v>
      </c>
      <c r="I198" s="148">
        <f t="shared" si="21"/>
        <v>161129.4590026527</v>
      </c>
      <c r="J198" s="148">
        <f>SUM($H$18:$H198)</f>
        <v>128466.27293161963</v>
      </c>
    </row>
    <row r="199" spans="1:10" x14ac:dyDescent="0.2">
      <c r="A199" s="146">
        <f>IF(Values_Entered,A198+1,"")</f>
        <v>182</v>
      </c>
      <c r="B199" s="147">
        <f t="shared" si="16"/>
        <v>47849</v>
      </c>
      <c r="C199" s="148">
        <f t="shared" si="22"/>
        <v>161129.4590026527</v>
      </c>
      <c r="D199" s="148">
        <f t="shared" si="17"/>
        <v>1200.75587806059</v>
      </c>
      <c r="E199" s="149">
        <f t="shared" si="18"/>
        <v>0</v>
      </c>
      <c r="F199" s="148">
        <f t="shared" si="19"/>
        <v>1200.75587806059</v>
      </c>
      <c r="G199" s="148">
        <f t="shared" si="20"/>
        <v>656.94395392663716</v>
      </c>
      <c r="H199" s="148">
        <f t="shared" si="23"/>
        <v>543.81192413395286</v>
      </c>
      <c r="I199" s="148">
        <f t="shared" si="21"/>
        <v>160472.51504872605</v>
      </c>
      <c r="J199" s="148">
        <f>SUM($H$18:$H199)</f>
        <v>129010.08485575359</v>
      </c>
    </row>
    <row r="200" spans="1:10" x14ac:dyDescent="0.2">
      <c r="A200" s="146">
        <f>IF(Values_Entered,A199+1,"")</f>
        <v>183</v>
      </c>
      <c r="B200" s="147">
        <f t="shared" si="16"/>
        <v>47880</v>
      </c>
      <c r="C200" s="148">
        <f t="shared" si="22"/>
        <v>160472.51504872605</v>
      </c>
      <c r="D200" s="148">
        <f t="shared" si="17"/>
        <v>1200.75587806059</v>
      </c>
      <c r="E200" s="149">
        <f t="shared" si="18"/>
        <v>0</v>
      </c>
      <c r="F200" s="148">
        <f t="shared" si="19"/>
        <v>1200.75587806059</v>
      </c>
      <c r="G200" s="148">
        <f t="shared" si="20"/>
        <v>659.16113977113957</v>
      </c>
      <c r="H200" s="148">
        <f t="shared" si="23"/>
        <v>541.59473828945045</v>
      </c>
      <c r="I200" s="148">
        <f t="shared" si="21"/>
        <v>159813.35390895492</v>
      </c>
      <c r="J200" s="148">
        <f>SUM($H$18:$H200)</f>
        <v>129551.67959404305</v>
      </c>
    </row>
    <row r="201" spans="1:10" x14ac:dyDescent="0.2">
      <c r="A201" s="146">
        <f>IF(Values_Entered,A200+1,"")</f>
        <v>184</v>
      </c>
      <c r="B201" s="147">
        <f t="shared" si="16"/>
        <v>47908</v>
      </c>
      <c r="C201" s="148">
        <f t="shared" si="22"/>
        <v>159813.35390895492</v>
      </c>
      <c r="D201" s="148">
        <f t="shared" si="17"/>
        <v>1200.75587806059</v>
      </c>
      <c r="E201" s="149">
        <f t="shared" si="18"/>
        <v>0</v>
      </c>
      <c r="F201" s="148">
        <f t="shared" si="19"/>
        <v>1200.75587806059</v>
      </c>
      <c r="G201" s="148">
        <f t="shared" si="20"/>
        <v>661.38580861786716</v>
      </c>
      <c r="H201" s="148">
        <f t="shared" si="23"/>
        <v>539.37006944272287</v>
      </c>
      <c r="I201" s="148">
        <f t="shared" si="21"/>
        <v>159151.96810033705</v>
      </c>
      <c r="J201" s="148">
        <f>SUM($H$18:$H201)</f>
        <v>130091.04966348577</v>
      </c>
    </row>
    <row r="202" spans="1:10" x14ac:dyDescent="0.2">
      <c r="A202" s="146">
        <f>IF(Values_Entered,A201+1,"")</f>
        <v>185</v>
      </c>
      <c r="B202" s="147">
        <f t="shared" si="16"/>
        <v>47939</v>
      </c>
      <c r="C202" s="148">
        <f t="shared" si="22"/>
        <v>159151.96810033705</v>
      </c>
      <c r="D202" s="148">
        <f t="shared" si="17"/>
        <v>1200.75587806059</v>
      </c>
      <c r="E202" s="149">
        <f t="shared" si="18"/>
        <v>0</v>
      </c>
      <c r="F202" s="148">
        <f t="shared" si="19"/>
        <v>1200.75587806059</v>
      </c>
      <c r="G202" s="148">
        <f t="shared" si="20"/>
        <v>663.61798572195244</v>
      </c>
      <c r="H202" s="148">
        <f t="shared" si="23"/>
        <v>537.13789233863758</v>
      </c>
      <c r="I202" s="148">
        <f t="shared" si="21"/>
        <v>158488.35011461511</v>
      </c>
      <c r="J202" s="148">
        <f>SUM($H$18:$H202)</f>
        <v>130628.18755582441</v>
      </c>
    </row>
    <row r="203" spans="1:10" x14ac:dyDescent="0.2">
      <c r="A203" s="146">
        <f>IF(Values_Entered,A202+1,"")</f>
        <v>186</v>
      </c>
      <c r="B203" s="147">
        <f t="shared" si="16"/>
        <v>47969</v>
      </c>
      <c r="C203" s="148">
        <f t="shared" si="22"/>
        <v>158488.35011461511</v>
      </c>
      <c r="D203" s="148">
        <f t="shared" si="17"/>
        <v>1200.75587806059</v>
      </c>
      <c r="E203" s="149">
        <f t="shared" si="18"/>
        <v>0</v>
      </c>
      <c r="F203" s="148">
        <f t="shared" si="19"/>
        <v>1200.75587806059</v>
      </c>
      <c r="G203" s="148">
        <f t="shared" si="20"/>
        <v>665.85769642376397</v>
      </c>
      <c r="H203" s="148">
        <f t="shared" si="23"/>
        <v>534.89818163682605</v>
      </c>
      <c r="I203" s="148">
        <f t="shared" si="21"/>
        <v>157822.49241819134</v>
      </c>
      <c r="J203" s="148">
        <f>SUM($H$18:$H203)</f>
        <v>131163.08573746122</v>
      </c>
    </row>
    <row r="204" spans="1:10" x14ac:dyDescent="0.2">
      <c r="A204" s="146">
        <f>IF(Values_Entered,A203+1,"")</f>
        <v>187</v>
      </c>
      <c r="B204" s="147">
        <f t="shared" si="16"/>
        <v>48000</v>
      </c>
      <c r="C204" s="148">
        <f t="shared" si="22"/>
        <v>157822.49241819134</v>
      </c>
      <c r="D204" s="148">
        <f t="shared" si="17"/>
        <v>1200.75587806059</v>
      </c>
      <c r="E204" s="149">
        <f t="shared" si="18"/>
        <v>0</v>
      </c>
      <c r="F204" s="148">
        <f t="shared" si="19"/>
        <v>1200.75587806059</v>
      </c>
      <c r="G204" s="148">
        <f t="shared" si="20"/>
        <v>668.10496614919418</v>
      </c>
      <c r="H204" s="148">
        <f t="shared" si="23"/>
        <v>532.65091191139584</v>
      </c>
      <c r="I204" s="148">
        <f t="shared" si="21"/>
        <v>157154.38745204214</v>
      </c>
      <c r="J204" s="148">
        <f>SUM($H$18:$H204)</f>
        <v>131695.73664937261</v>
      </c>
    </row>
    <row r="205" spans="1:10" x14ac:dyDescent="0.2">
      <c r="A205" s="146">
        <f>IF(Values_Entered,A204+1,"")</f>
        <v>188</v>
      </c>
      <c r="B205" s="147">
        <f t="shared" si="16"/>
        <v>48030</v>
      </c>
      <c r="C205" s="148">
        <f t="shared" si="22"/>
        <v>157154.38745204214</v>
      </c>
      <c r="D205" s="148">
        <f t="shared" si="17"/>
        <v>1200.75587806059</v>
      </c>
      <c r="E205" s="149">
        <f t="shared" si="18"/>
        <v>0</v>
      </c>
      <c r="F205" s="148">
        <f t="shared" si="19"/>
        <v>1200.75587806059</v>
      </c>
      <c r="G205" s="148">
        <f t="shared" si="20"/>
        <v>670.35982040994782</v>
      </c>
      <c r="H205" s="148">
        <f t="shared" si="23"/>
        <v>530.39605765064221</v>
      </c>
      <c r="I205" s="148">
        <f t="shared" si="21"/>
        <v>156484.0276316322</v>
      </c>
      <c r="J205" s="148">
        <f>SUM($H$18:$H205)</f>
        <v>132226.13270702327</v>
      </c>
    </row>
    <row r="206" spans="1:10" x14ac:dyDescent="0.2">
      <c r="A206" s="146">
        <f>IF(Values_Entered,A205+1,"")</f>
        <v>189</v>
      </c>
      <c r="B206" s="147">
        <f t="shared" si="16"/>
        <v>48061</v>
      </c>
      <c r="C206" s="148">
        <f t="shared" si="22"/>
        <v>156484.0276316322</v>
      </c>
      <c r="D206" s="148">
        <f t="shared" si="17"/>
        <v>1200.75587806059</v>
      </c>
      <c r="E206" s="149">
        <f t="shared" si="18"/>
        <v>0</v>
      </c>
      <c r="F206" s="148">
        <f t="shared" si="19"/>
        <v>1200.75587806059</v>
      </c>
      <c r="G206" s="148">
        <f t="shared" si="20"/>
        <v>672.62228480383135</v>
      </c>
      <c r="H206" s="148">
        <f t="shared" si="23"/>
        <v>528.13359325675867</v>
      </c>
      <c r="I206" s="148">
        <f t="shared" si="21"/>
        <v>155811.40534682837</v>
      </c>
      <c r="J206" s="148">
        <f>SUM($H$18:$H206)</f>
        <v>132754.26630028003</v>
      </c>
    </row>
    <row r="207" spans="1:10" x14ac:dyDescent="0.2">
      <c r="A207" s="146">
        <f>IF(Values_Entered,A206+1,"")</f>
        <v>190</v>
      </c>
      <c r="B207" s="147">
        <f t="shared" si="16"/>
        <v>48092</v>
      </c>
      <c r="C207" s="148">
        <f t="shared" si="22"/>
        <v>155811.40534682837</v>
      </c>
      <c r="D207" s="148">
        <f t="shared" si="17"/>
        <v>1200.75587806059</v>
      </c>
      <c r="E207" s="149">
        <f t="shared" si="18"/>
        <v>0</v>
      </c>
      <c r="F207" s="148">
        <f t="shared" si="19"/>
        <v>1200.75587806059</v>
      </c>
      <c r="G207" s="148">
        <f t="shared" si="20"/>
        <v>674.89238501504428</v>
      </c>
      <c r="H207" s="148">
        <f t="shared" si="23"/>
        <v>525.86349304554574</v>
      </c>
      <c r="I207" s="148">
        <f t="shared" si="21"/>
        <v>155136.51296181334</v>
      </c>
      <c r="J207" s="148">
        <f>SUM($H$18:$H207)</f>
        <v>133280.12979332558</v>
      </c>
    </row>
    <row r="208" spans="1:10" x14ac:dyDescent="0.2">
      <c r="A208" s="146">
        <f>IF(Values_Entered,A207+1,"")</f>
        <v>191</v>
      </c>
      <c r="B208" s="147">
        <f t="shared" si="16"/>
        <v>48122</v>
      </c>
      <c r="C208" s="148">
        <f t="shared" si="22"/>
        <v>155136.51296181334</v>
      </c>
      <c r="D208" s="148">
        <f t="shared" si="17"/>
        <v>1200.75587806059</v>
      </c>
      <c r="E208" s="149">
        <f t="shared" si="18"/>
        <v>0</v>
      </c>
      <c r="F208" s="148">
        <f t="shared" si="19"/>
        <v>1200.75587806059</v>
      </c>
      <c r="G208" s="148">
        <f t="shared" si="20"/>
        <v>677.17014681447006</v>
      </c>
      <c r="H208" s="148">
        <f t="shared" si="23"/>
        <v>523.58573124611996</v>
      </c>
      <c r="I208" s="148">
        <f t="shared" si="21"/>
        <v>154459.34281499888</v>
      </c>
      <c r="J208" s="148">
        <f>SUM($H$18:$H208)</f>
        <v>133803.71552457171</v>
      </c>
    </row>
    <row r="209" spans="1:10" x14ac:dyDescent="0.2">
      <c r="A209" s="146">
        <f>IF(Values_Entered,A208+1,"")</f>
        <v>192</v>
      </c>
      <c r="B209" s="147">
        <f t="shared" si="16"/>
        <v>48153</v>
      </c>
      <c r="C209" s="148">
        <f t="shared" si="22"/>
        <v>154459.34281499888</v>
      </c>
      <c r="D209" s="148">
        <f t="shared" si="17"/>
        <v>1200.75587806059</v>
      </c>
      <c r="E209" s="149">
        <f t="shared" si="18"/>
        <v>0</v>
      </c>
      <c r="F209" s="148">
        <f t="shared" si="19"/>
        <v>1200.75587806059</v>
      </c>
      <c r="G209" s="148">
        <f t="shared" si="20"/>
        <v>679.4555960599688</v>
      </c>
      <c r="H209" s="148">
        <f t="shared" si="23"/>
        <v>521.30028200062122</v>
      </c>
      <c r="I209" s="148">
        <f t="shared" si="21"/>
        <v>153779.88721893891</v>
      </c>
      <c r="J209" s="148">
        <f>SUM($H$18:$H209)</f>
        <v>134325.01580657234</v>
      </c>
    </row>
    <row r="210" spans="1:10" x14ac:dyDescent="0.2">
      <c r="A210" s="146">
        <f>IF(Values_Entered,A209+1,"")</f>
        <v>193</v>
      </c>
      <c r="B210" s="147">
        <f t="shared" ref="B210:B273" si="24">IF(Pay_Num&lt;&gt;"",DATE(YEAR(Loan_Start),MONTH(Loan_Start)+(Pay_Num)*12/Num_Pmt_Per_Year,DAY(Loan_Start)),"")</f>
        <v>48183</v>
      </c>
      <c r="C210" s="148">
        <f t="shared" si="22"/>
        <v>153779.88721893891</v>
      </c>
      <c r="D210" s="148">
        <f t="shared" ref="D210:D273" si="25">IF(Pay_Num&lt;&gt;"",Scheduled_Monthly_Payment,"")</f>
        <v>1200.75587806059</v>
      </c>
      <c r="E210" s="149">
        <f t="shared" ref="E210:E273" si="26">IF(AND(Pay_Num&lt;&gt;"",Sched_Pay+Scheduled_Extra_Payments&lt;Beg_Bal),Scheduled_Extra_Payments,IF(AND(Pay_Num&lt;&gt;"",Beg_Bal-Sched_Pay&gt;0),Beg_Bal-Sched_Pay,IF(Pay_Num&lt;&gt;"",0,"")))</f>
        <v>0</v>
      </c>
      <c r="F210" s="148">
        <f t="shared" ref="F210:F273" si="27">IF(AND(Pay_Num&lt;&gt;"",Sched_Pay+Extra_Pay&lt;Beg_Bal),Sched_Pay+Extra_Pay,IF(Pay_Num&lt;&gt;"",Beg_Bal,""))</f>
        <v>1200.75587806059</v>
      </c>
      <c r="G210" s="148">
        <f t="shared" ref="G210:G273" si="28">IF(Pay_Num&lt;&gt;"",Total_Pay-Int,"")</f>
        <v>681.74875869667119</v>
      </c>
      <c r="H210" s="148">
        <f t="shared" si="23"/>
        <v>519.00711936391883</v>
      </c>
      <c r="I210" s="148">
        <f t="shared" ref="I210:I273" si="29">IF(AND(Pay_Num&lt;&gt;"",Sched_Pay+Extra_Pay&lt;Beg_Bal),Beg_Bal-Princ,IF(Pay_Num&lt;&gt;"",0,""))</f>
        <v>153098.13846024225</v>
      </c>
      <c r="J210" s="148">
        <f>SUM($H$18:$H210)</f>
        <v>134844.02292593627</v>
      </c>
    </row>
    <row r="211" spans="1:10" x14ac:dyDescent="0.2">
      <c r="A211" s="146">
        <f>IF(Values_Entered,A210+1,"")</f>
        <v>194</v>
      </c>
      <c r="B211" s="147">
        <f t="shared" si="24"/>
        <v>48214</v>
      </c>
      <c r="C211" s="148">
        <f t="shared" ref="C211:C274" si="30">IF(Pay_Num&lt;&gt;"",I210,"")</f>
        <v>153098.13846024225</v>
      </c>
      <c r="D211" s="148">
        <f t="shared" si="25"/>
        <v>1200.75587806059</v>
      </c>
      <c r="E211" s="149">
        <f t="shared" si="26"/>
        <v>0</v>
      </c>
      <c r="F211" s="148">
        <f t="shared" si="27"/>
        <v>1200.75587806059</v>
      </c>
      <c r="G211" s="148">
        <f t="shared" si="28"/>
        <v>684.04966075727236</v>
      </c>
      <c r="H211" s="148">
        <f t="shared" ref="H211:H274" si="31">IF(Pay_Num&lt;&gt;"",Beg_Bal*Interest_Rate/Num_Pmt_Per_Year,"")</f>
        <v>516.70621730331766</v>
      </c>
      <c r="I211" s="148">
        <f t="shared" si="29"/>
        <v>152414.08879948498</v>
      </c>
      <c r="J211" s="148">
        <f>SUM($H$18:$H211)</f>
        <v>135360.72914323959</v>
      </c>
    </row>
    <row r="212" spans="1:10" x14ac:dyDescent="0.2">
      <c r="A212" s="146">
        <f>IF(Values_Entered,A211+1,"")</f>
        <v>195</v>
      </c>
      <c r="B212" s="147">
        <f t="shared" si="24"/>
        <v>48245</v>
      </c>
      <c r="C212" s="148">
        <f t="shared" si="30"/>
        <v>152414.08879948498</v>
      </c>
      <c r="D212" s="148">
        <f t="shared" si="25"/>
        <v>1200.75587806059</v>
      </c>
      <c r="E212" s="149">
        <f t="shared" si="26"/>
        <v>0</v>
      </c>
      <c r="F212" s="148">
        <f t="shared" si="27"/>
        <v>1200.75587806059</v>
      </c>
      <c r="G212" s="148">
        <f t="shared" si="28"/>
        <v>686.35832836232828</v>
      </c>
      <c r="H212" s="148">
        <f t="shared" si="31"/>
        <v>514.39754969826174</v>
      </c>
      <c r="I212" s="148">
        <f t="shared" si="29"/>
        <v>151727.73047112266</v>
      </c>
      <c r="J212" s="148">
        <f>SUM($H$18:$H212)</f>
        <v>135875.12669293786</v>
      </c>
    </row>
    <row r="213" spans="1:10" x14ac:dyDescent="0.2">
      <c r="A213" s="146">
        <f>IF(Values_Entered,A212+1,"")</f>
        <v>196</v>
      </c>
      <c r="B213" s="147">
        <f t="shared" si="24"/>
        <v>48274</v>
      </c>
      <c r="C213" s="148">
        <f t="shared" si="30"/>
        <v>151727.73047112266</v>
      </c>
      <c r="D213" s="148">
        <f t="shared" si="25"/>
        <v>1200.75587806059</v>
      </c>
      <c r="E213" s="149">
        <f t="shared" si="26"/>
        <v>0</v>
      </c>
      <c r="F213" s="148">
        <f t="shared" si="27"/>
        <v>1200.75587806059</v>
      </c>
      <c r="G213" s="148">
        <f t="shared" si="28"/>
        <v>688.67478772055108</v>
      </c>
      <c r="H213" s="148">
        <f t="shared" si="31"/>
        <v>512.08109034003894</v>
      </c>
      <c r="I213" s="148">
        <f t="shared" si="29"/>
        <v>151039.05568340211</v>
      </c>
      <c r="J213" s="148">
        <f>SUM($H$18:$H213)</f>
        <v>136387.2077832779</v>
      </c>
    </row>
    <row r="214" spans="1:10" x14ac:dyDescent="0.2">
      <c r="A214" s="146">
        <f>IF(Values_Entered,A213+1,"")</f>
        <v>197</v>
      </c>
      <c r="B214" s="147">
        <f t="shared" si="24"/>
        <v>48305</v>
      </c>
      <c r="C214" s="148">
        <f t="shared" si="30"/>
        <v>151039.05568340211</v>
      </c>
      <c r="D214" s="148">
        <f t="shared" si="25"/>
        <v>1200.75587806059</v>
      </c>
      <c r="E214" s="149">
        <f t="shared" si="26"/>
        <v>0</v>
      </c>
      <c r="F214" s="148">
        <f t="shared" si="27"/>
        <v>1200.75587806059</v>
      </c>
      <c r="G214" s="148">
        <f t="shared" si="28"/>
        <v>690.99906512910798</v>
      </c>
      <c r="H214" s="148">
        <f t="shared" si="31"/>
        <v>509.7568129314821</v>
      </c>
      <c r="I214" s="148">
        <f t="shared" si="29"/>
        <v>150348.056618273</v>
      </c>
      <c r="J214" s="148">
        <f>SUM($H$18:$H214)</f>
        <v>136896.96459620938</v>
      </c>
    </row>
    <row r="215" spans="1:10" x14ac:dyDescent="0.2">
      <c r="A215" s="146">
        <f>IF(Values_Entered,A214+1,"")</f>
        <v>198</v>
      </c>
      <c r="B215" s="147">
        <f t="shared" si="24"/>
        <v>48335</v>
      </c>
      <c r="C215" s="148">
        <f t="shared" si="30"/>
        <v>150348.056618273</v>
      </c>
      <c r="D215" s="148">
        <f t="shared" si="25"/>
        <v>1200.75587806059</v>
      </c>
      <c r="E215" s="149">
        <f t="shared" si="26"/>
        <v>0</v>
      </c>
      <c r="F215" s="148">
        <f t="shared" si="27"/>
        <v>1200.75587806059</v>
      </c>
      <c r="G215" s="148">
        <f t="shared" si="28"/>
        <v>693.33118697391865</v>
      </c>
      <c r="H215" s="148">
        <f t="shared" si="31"/>
        <v>507.42469108667137</v>
      </c>
      <c r="I215" s="148">
        <f t="shared" si="29"/>
        <v>149654.72543129907</v>
      </c>
      <c r="J215" s="148">
        <f>SUM($H$18:$H215)</f>
        <v>137404.38928729604</v>
      </c>
    </row>
    <row r="216" spans="1:10" x14ac:dyDescent="0.2">
      <c r="A216" s="146">
        <f>IF(Values_Entered,A215+1,"")</f>
        <v>199</v>
      </c>
      <c r="B216" s="147">
        <f t="shared" si="24"/>
        <v>48366</v>
      </c>
      <c r="C216" s="148">
        <f t="shared" si="30"/>
        <v>149654.72543129907</v>
      </c>
      <c r="D216" s="148">
        <f t="shared" si="25"/>
        <v>1200.75587806059</v>
      </c>
      <c r="E216" s="149">
        <f t="shared" si="26"/>
        <v>0</v>
      </c>
      <c r="F216" s="148">
        <f t="shared" si="27"/>
        <v>1200.75587806059</v>
      </c>
      <c r="G216" s="148">
        <f t="shared" si="28"/>
        <v>695.67117972995561</v>
      </c>
      <c r="H216" s="148">
        <f t="shared" si="31"/>
        <v>505.08469833063441</v>
      </c>
      <c r="I216" s="148">
        <f t="shared" si="29"/>
        <v>148959.05425156912</v>
      </c>
      <c r="J216" s="148">
        <f>SUM($H$18:$H216)</f>
        <v>137909.47398562668</v>
      </c>
    </row>
    <row r="217" spans="1:10" x14ac:dyDescent="0.2">
      <c r="A217" s="146">
        <f>IF(Values_Entered,A216+1,"")</f>
        <v>200</v>
      </c>
      <c r="B217" s="147">
        <f t="shared" si="24"/>
        <v>48396</v>
      </c>
      <c r="C217" s="148">
        <f t="shared" si="30"/>
        <v>148959.05425156912</v>
      </c>
      <c r="D217" s="148">
        <f t="shared" si="25"/>
        <v>1200.75587806059</v>
      </c>
      <c r="E217" s="149">
        <f t="shared" si="26"/>
        <v>0</v>
      </c>
      <c r="F217" s="148">
        <f t="shared" si="27"/>
        <v>1200.75587806059</v>
      </c>
      <c r="G217" s="148">
        <f t="shared" si="28"/>
        <v>698.01906996154412</v>
      </c>
      <c r="H217" s="148">
        <f t="shared" si="31"/>
        <v>502.73680809904585</v>
      </c>
      <c r="I217" s="148">
        <f t="shared" si="29"/>
        <v>148261.03518160759</v>
      </c>
      <c r="J217" s="148">
        <f>SUM($H$18:$H217)</f>
        <v>138412.21079372574</v>
      </c>
    </row>
    <row r="218" spans="1:10" x14ac:dyDescent="0.2">
      <c r="A218" s="146">
        <f>IF(Values_Entered,A217+1,"")</f>
        <v>201</v>
      </c>
      <c r="B218" s="147">
        <f t="shared" si="24"/>
        <v>48427</v>
      </c>
      <c r="C218" s="148">
        <f t="shared" si="30"/>
        <v>148261.03518160759</v>
      </c>
      <c r="D218" s="148">
        <f t="shared" si="25"/>
        <v>1200.75587806059</v>
      </c>
      <c r="E218" s="149">
        <f t="shared" si="26"/>
        <v>0</v>
      </c>
      <c r="F218" s="148">
        <f t="shared" si="27"/>
        <v>1200.75587806059</v>
      </c>
      <c r="G218" s="148">
        <f t="shared" si="28"/>
        <v>700.37488432266446</v>
      </c>
      <c r="H218" s="148">
        <f t="shared" si="31"/>
        <v>500.38099373792562</v>
      </c>
      <c r="I218" s="148">
        <f t="shared" si="29"/>
        <v>147560.66029728492</v>
      </c>
      <c r="J218" s="148">
        <f>SUM($H$18:$H218)</f>
        <v>138912.59178746367</v>
      </c>
    </row>
    <row r="219" spans="1:10" x14ac:dyDescent="0.2">
      <c r="A219" s="146">
        <f>IF(Values_Entered,A218+1,"")</f>
        <v>202</v>
      </c>
      <c r="B219" s="147">
        <f t="shared" si="24"/>
        <v>48458</v>
      </c>
      <c r="C219" s="148">
        <f t="shared" si="30"/>
        <v>147560.66029728492</v>
      </c>
      <c r="D219" s="148">
        <f t="shared" si="25"/>
        <v>1200.75587806059</v>
      </c>
      <c r="E219" s="149">
        <f t="shared" si="26"/>
        <v>0</v>
      </c>
      <c r="F219" s="148">
        <f t="shared" si="27"/>
        <v>1200.75587806059</v>
      </c>
      <c r="G219" s="148">
        <f t="shared" si="28"/>
        <v>702.73864955725344</v>
      </c>
      <c r="H219" s="148">
        <f t="shared" si="31"/>
        <v>498.01722850333664</v>
      </c>
      <c r="I219" s="148">
        <f t="shared" si="29"/>
        <v>146857.92164772766</v>
      </c>
      <c r="J219" s="148">
        <f>SUM($H$18:$H219)</f>
        <v>139410.609015967</v>
      </c>
    </row>
    <row r="220" spans="1:10" x14ac:dyDescent="0.2">
      <c r="A220" s="146">
        <f>IF(Values_Entered,A219+1,"")</f>
        <v>203</v>
      </c>
      <c r="B220" s="147">
        <f t="shared" si="24"/>
        <v>48488</v>
      </c>
      <c r="C220" s="148">
        <f t="shared" si="30"/>
        <v>146857.92164772766</v>
      </c>
      <c r="D220" s="148">
        <f t="shared" si="25"/>
        <v>1200.75587806059</v>
      </c>
      <c r="E220" s="149">
        <f t="shared" si="26"/>
        <v>0</v>
      </c>
      <c r="F220" s="148">
        <f t="shared" si="27"/>
        <v>1200.75587806059</v>
      </c>
      <c r="G220" s="148">
        <f t="shared" si="28"/>
        <v>705.11039249950909</v>
      </c>
      <c r="H220" s="148">
        <f t="shared" si="31"/>
        <v>495.64548556108087</v>
      </c>
      <c r="I220" s="148">
        <f t="shared" si="29"/>
        <v>146152.81125522815</v>
      </c>
      <c r="J220" s="148">
        <f>SUM($H$18:$H220)</f>
        <v>139906.25450152808</v>
      </c>
    </row>
    <row r="221" spans="1:10" x14ac:dyDescent="0.2">
      <c r="A221" s="146">
        <f>IF(Values_Entered,A220+1,"")</f>
        <v>204</v>
      </c>
      <c r="B221" s="147">
        <f t="shared" si="24"/>
        <v>48519</v>
      </c>
      <c r="C221" s="148">
        <f t="shared" si="30"/>
        <v>146152.81125522815</v>
      </c>
      <c r="D221" s="148">
        <f t="shared" si="25"/>
        <v>1200.75587806059</v>
      </c>
      <c r="E221" s="149">
        <f t="shared" si="26"/>
        <v>0</v>
      </c>
      <c r="F221" s="148">
        <f t="shared" si="27"/>
        <v>1200.75587806059</v>
      </c>
      <c r="G221" s="148">
        <f t="shared" si="28"/>
        <v>707.4901400741951</v>
      </c>
      <c r="H221" s="148">
        <f t="shared" si="31"/>
        <v>493.26573798639498</v>
      </c>
      <c r="I221" s="148">
        <f t="shared" si="29"/>
        <v>145445.32111515396</v>
      </c>
      <c r="J221" s="148">
        <f>SUM($H$18:$H221)</f>
        <v>140399.52023951447</v>
      </c>
    </row>
    <row r="222" spans="1:10" x14ac:dyDescent="0.2">
      <c r="A222" s="146">
        <f>IF(Values_Entered,A221+1,"")</f>
        <v>205</v>
      </c>
      <c r="B222" s="147">
        <f t="shared" si="24"/>
        <v>48549</v>
      </c>
      <c r="C222" s="148">
        <f t="shared" si="30"/>
        <v>145445.32111515396</v>
      </c>
      <c r="D222" s="148">
        <f t="shared" si="25"/>
        <v>1200.75587806059</v>
      </c>
      <c r="E222" s="149">
        <f t="shared" si="26"/>
        <v>0</v>
      </c>
      <c r="F222" s="148">
        <f t="shared" si="27"/>
        <v>1200.75587806059</v>
      </c>
      <c r="G222" s="148">
        <f t="shared" si="28"/>
        <v>709.87791929694549</v>
      </c>
      <c r="H222" s="148">
        <f t="shared" si="31"/>
        <v>490.87795876364459</v>
      </c>
      <c r="I222" s="148">
        <f t="shared" si="29"/>
        <v>144735.44319585702</v>
      </c>
      <c r="J222" s="148">
        <f>SUM($H$18:$H222)</f>
        <v>140890.39819827813</v>
      </c>
    </row>
    <row r="223" spans="1:10" x14ac:dyDescent="0.2">
      <c r="A223" s="146">
        <f>IF(Values_Entered,A222+1,"")</f>
        <v>206</v>
      </c>
      <c r="B223" s="147">
        <f t="shared" si="24"/>
        <v>48580</v>
      </c>
      <c r="C223" s="148">
        <f t="shared" si="30"/>
        <v>144735.44319585702</v>
      </c>
      <c r="D223" s="148">
        <f t="shared" si="25"/>
        <v>1200.75587806059</v>
      </c>
      <c r="E223" s="149">
        <f t="shared" si="26"/>
        <v>0</v>
      </c>
      <c r="F223" s="148">
        <f t="shared" si="27"/>
        <v>1200.75587806059</v>
      </c>
      <c r="G223" s="148">
        <f t="shared" si="28"/>
        <v>712.27375727457252</v>
      </c>
      <c r="H223" s="148">
        <f t="shared" si="31"/>
        <v>488.48212078601745</v>
      </c>
      <c r="I223" s="148">
        <f t="shared" si="29"/>
        <v>144023.16943858244</v>
      </c>
      <c r="J223" s="148">
        <f>SUM($H$18:$H223)</f>
        <v>141378.88031906413</v>
      </c>
    </row>
    <row r="224" spans="1:10" x14ac:dyDescent="0.2">
      <c r="A224" s="146">
        <f>IF(Values_Entered,A223+1,"")</f>
        <v>207</v>
      </c>
      <c r="B224" s="147">
        <f t="shared" si="24"/>
        <v>48611</v>
      </c>
      <c r="C224" s="148">
        <f t="shared" si="30"/>
        <v>144023.16943858244</v>
      </c>
      <c r="D224" s="148">
        <f t="shared" si="25"/>
        <v>1200.75587806059</v>
      </c>
      <c r="E224" s="149">
        <f t="shared" si="26"/>
        <v>0</v>
      </c>
      <c r="F224" s="148">
        <f t="shared" si="27"/>
        <v>1200.75587806059</v>
      </c>
      <c r="G224" s="148">
        <f t="shared" si="28"/>
        <v>714.67768120537426</v>
      </c>
      <c r="H224" s="148">
        <f t="shared" si="31"/>
        <v>486.07819685521577</v>
      </c>
      <c r="I224" s="148">
        <f t="shared" si="29"/>
        <v>143308.49175737705</v>
      </c>
      <c r="J224" s="148">
        <f>SUM($H$18:$H224)</f>
        <v>141864.95851591934</v>
      </c>
    </row>
    <row r="225" spans="1:10" x14ac:dyDescent="0.2">
      <c r="A225" s="146">
        <f>IF(Values_Entered,A224+1,"")</f>
        <v>208</v>
      </c>
      <c r="B225" s="147">
        <f t="shared" si="24"/>
        <v>48639</v>
      </c>
      <c r="C225" s="148">
        <f t="shared" si="30"/>
        <v>143308.49175737705</v>
      </c>
      <c r="D225" s="148">
        <f t="shared" si="25"/>
        <v>1200.75587806059</v>
      </c>
      <c r="E225" s="149">
        <f t="shared" si="26"/>
        <v>0</v>
      </c>
      <c r="F225" s="148">
        <f t="shared" si="27"/>
        <v>1200.75587806059</v>
      </c>
      <c r="G225" s="148">
        <f t="shared" si="28"/>
        <v>717.0897183794425</v>
      </c>
      <c r="H225" s="148">
        <f t="shared" si="31"/>
        <v>483.66615968114758</v>
      </c>
      <c r="I225" s="148">
        <f t="shared" si="29"/>
        <v>142591.40203899762</v>
      </c>
      <c r="J225" s="148">
        <f>SUM($H$18:$H225)</f>
        <v>142348.6246756005</v>
      </c>
    </row>
    <row r="226" spans="1:10" x14ac:dyDescent="0.2">
      <c r="A226" s="146">
        <f>IF(Values_Entered,A225+1,"")</f>
        <v>209</v>
      </c>
      <c r="B226" s="147">
        <f t="shared" si="24"/>
        <v>48670</v>
      </c>
      <c r="C226" s="148">
        <f t="shared" si="30"/>
        <v>142591.40203899762</v>
      </c>
      <c r="D226" s="148">
        <f t="shared" si="25"/>
        <v>1200.75587806059</v>
      </c>
      <c r="E226" s="149">
        <f t="shared" si="26"/>
        <v>0</v>
      </c>
      <c r="F226" s="148">
        <f t="shared" si="27"/>
        <v>1200.75587806059</v>
      </c>
      <c r="G226" s="148">
        <f t="shared" si="28"/>
        <v>719.50989617897312</v>
      </c>
      <c r="H226" s="148">
        <f t="shared" si="31"/>
        <v>481.24598188161696</v>
      </c>
      <c r="I226" s="148">
        <f t="shared" si="29"/>
        <v>141871.89214281866</v>
      </c>
      <c r="J226" s="148">
        <f>SUM($H$18:$H226)</f>
        <v>142829.87065748213</v>
      </c>
    </row>
    <row r="227" spans="1:10" x14ac:dyDescent="0.2">
      <c r="A227" s="146">
        <f>IF(Values_Entered,A226+1,"")</f>
        <v>210</v>
      </c>
      <c r="B227" s="147">
        <f t="shared" si="24"/>
        <v>48700</v>
      </c>
      <c r="C227" s="148">
        <f t="shared" si="30"/>
        <v>141871.89214281866</v>
      </c>
      <c r="D227" s="148">
        <f t="shared" si="25"/>
        <v>1200.75587806059</v>
      </c>
      <c r="E227" s="149">
        <f t="shared" si="26"/>
        <v>0</v>
      </c>
      <c r="F227" s="148">
        <f t="shared" si="27"/>
        <v>1200.75587806059</v>
      </c>
      <c r="G227" s="148">
        <f t="shared" si="28"/>
        <v>721.9382420785771</v>
      </c>
      <c r="H227" s="148">
        <f t="shared" si="31"/>
        <v>478.81763598201297</v>
      </c>
      <c r="I227" s="148">
        <f t="shared" si="29"/>
        <v>141149.95390074007</v>
      </c>
      <c r="J227" s="148">
        <f>SUM($H$18:$H227)</f>
        <v>143308.68829346413</v>
      </c>
    </row>
    <row r="228" spans="1:10" x14ac:dyDescent="0.2">
      <c r="A228" s="146">
        <f>IF(Values_Entered,A227+1,"")</f>
        <v>211</v>
      </c>
      <c r="B228" s="147">
        <f t="shared" si="24"/>
        <v>48731</v>
      </c>
      <c r="C228" s="148">
        <f t="shared" si="30"/>
        <v>141149.95390074007</v>
      </c>
      <c r="D228" s="148">
        <f t="shared" si="25"/>
        <v>1200.75587806059</v>
      </c>
      <c r="E228" s="149">
        <f t="shared" si="26"/>
        <v>0</v>
      </c>
      <c r="F228" s="148">
        <f t="shared" si="27"/>
        <v>1200.75587806059</v>
      </c>
      <c r="G228" s="148">
        <f t="shared" si="28"/>
        <v>724.37478364559229</v>
      </c>
      <c r="H228" s="148">
        <f t="shared" si="31"/>
        <v>476.38109441499773</v>
      </c>
      <c r="I228" s="148">
        <f t="shared" si="29"/>
        <v>140425.57911709449</v>
      </c>
      <c r="J228" s="148">
        <f>SUM($H$18:$H228)</f>
        <v>143785.06938787914</v>
      </c>
    </row>
    <row r="229" spans="1:10" x14ac:dyDescent="0.2">
      <c r="A229" s="146">
        <f>IF(Values_Entered,A228+1,"")</f>
        <v>212</v>
      </c>
      <c r="B229" s="147">
        <f t="shared" si="24"/>
        <v>48761</v>
      </c>
      <c r="C229" s="148">
        <f t="shared" si="30"/>
        <v>140425.57911709449</v>
      </c>
      <c r="D229" s="148">
        <f t="shared" si="25"/>
        <v>1200.75587806059</v>
      </c>
      <c r="E229" s="149">
        <f t="shared" si="26"/>
        <v>0</v>
      </c>
      <c r="F229" s="148">
        <f t="shared" si="27"/>
        <v>1200.75587806059</v>
      </c>
      <c r="G229" s="148">
        <f t="shared" si="28"/>
        <v>726.81954854039623</v>
      </c>
      <c r="H229" s="148">
        <f t="shared" si="31"/>
        <v>473.93632952019385</v>
      </c>
      <c r="I229" s="148">
        <f t="shared" si="29"/>
        <v>139698.75956855409</v>
      </c>
      <c r="J229" s="148">
        <f>SUM($H$18:$H229)</f>
        <v>144259.00571739933</v>
      </c>
    </row>
    <row r="230" spans="1:10" x14ac:dyDescent="0.2">
      <c r="A230" s="146">
        <f>IF(Values_Entered,A229+1,"")</f>
        <v>213</v>
      </c>
      <c r="B230" s="147">
        <f t="shared" si="24"/>
        <v>48792</v>
      </c>
      <c r="C230" s="148">
        <f t="shared" si="30"/>
        <v>139698.75956855409</v>
      </c>
      <c r="D230" s="148">
        <f t="shared" si="25"/>
        <v>1200.75587806059</v>
      </c>
      <c r="E230" s="149">
        <f t="shared" si="26"/>
        <v>0</v>
      </c>
      <c r="F230" s="148">
        <f t="shared" si="27"/>
        <v>1200.75587806059</v>
      </c>
      <c r="G230" s="148">
        <f t="shared" si="28"/>
        <v>729.27256451671997</v>
      </c>
      <c r="H230" s="148">
        <f t="shared" si="31"/>
        <v>471.48331354387005</v>
      </c>
      <c r="I230" s="148">
        <f t="shared" si="29"/>
        <v>138969.48700403736</v>
      </c>
      <c r="J230" s="148">
        <f>SUM($H$18:$H230)</f>
        <v>144730.48903094319</v>
      </c>
    </row>
    <row r="231" spans="1:10" x14ac:dyDescent="0.2">
      <c r="A231" s="146">
        <f>IF(Values_Entered,A230+1,"")</f>
        <v>214</v>
      </c>
      <c r="B231" s="147">
        <f t="shared" si="24"/>
        <v>48823</v>
      </c>
      <c r="C231" s="148">
        <f t="shared" si="30"/>
        <v>138969.48700403736</v>
      </c>
      <c r="D231" s="148">
        <f t="shared" si="25"/>
        <v>1200.75587806059</v>
      </c>
      <c r="E231" s="149">
        <f t="shared" si="26"/>
        <v>0</v>
      </c>
      <c r="F231" s="148">
        <f t="shared" si="27"/>
        <v>1200.75587806059</v>
      </c>
      <c r="G231" s="148">
        <f t="shared" si="28"/>
        <v>731.73385942196387</v>
      </c>
      <c r="H231" s="148">
        <f t="shared" si="31"/>
        <v>469.02201863862615</v>
      </c>
      <c r="I231" s="148">
        <f t="shared" si="29"/>
        <v>138237.75314461539</v>
      </c>
      <c r="J231" s="148">
        <f>SUM($H$18:$H231)</f>
        <v>145199.51104958181</v>
      </c>
    </row>
    <row r="232" spans="1:10" x14ac:dyDescent="0.2">
      <c r="A232" s="146">
        <f>IF(Values_Entered,A231+1,"")</f>
        <v>215</v>
      </c>
      <c r="B232" s="147">
        <f t="shared" si="24"/>
        <v>48853</v>
      </c>
      <c r="C232" s="148">
        <f t="shared" si="30"/>
        <v>138237.75314461539</v>
      </c>
      <c r="D232" s="148">
        <f t="shared" si="25"/>
        <v>1200.75587806059</v>
      </c>
      <c r="E232" s="149">
        <f t="shared" si="26"/>
        <v>0</v>
      </c>
      <c r="F232" s="148">
        <f t="shared" si="27"/>
        <v>1200.75587806059</v>
      </c>
      <c r="G232" s="148">
        <f t="shared" si="28"/>
        <v>734.20346119751298</v>
      </c>
      <c r="H232" s="148">
        <f t="shared" si="31"/>
        <v>466.55241686307699</v>
      </c>
      <c r="I232" s="148">
        <f t="shared" si="29"/>
        <v>137503.54968341786</v>
      </c>
      <c r="J232" s="148">
        <f>SUM($H$18:$H232)</f>
        <v>145666.06346644487</v>
      </c>
    </row>
    <row r="233" spans="1:10" x14ac:dyDescent="0.2">
      <c r="A233" s="146">
        <f>IF(Values_Entered,A232+1,"")</f>
        <v>216</v>
      </c>
      <c r="B233" s="147">
        <f t="shared" si="24"/>
        <v>48884</v>
      </c>
      <c r="C233" s="148">
        <f t="shared" si="30"/>
        <v>137503.54968341786</v>
      </c>
      <c r="D233" s="148">
        <f t="shared" si="25"/>
        <v>1200.75587806059</v>
      </c>
      <c r="E233" s="149">
        <f t="shared" si="26"/>
        <v>0</v>
      </c>
      <c r="F233" s="148">
        <f t="shared" si="27"/>
        <v>1200.75587806059</v>
      </c>
      <c r="G233" s="148">
        <f t="shared" si="28"/>
        <v>736.68139787905466</v>
      </c>
      <c r="H233" s="148">
        <f t="shared" si="31"/>
        <v>464.07448018153531</v>
      </c>
      <c r="I233" s="148">
        <f t="shared" si="29"/>
        <v>136766.8682855388</v>
      </c>
      <c r="J233" s="148">
        <f>SUM($H$18:$H233)</f>
        <v>146130.1379466264</v>
      </c>
    </row>
    <row r="234" spans="1:10" x14ac:dyDescent="0.2">
      <c r="A234" s="146">
        <f>IF(Values_Entered,A233+1,"")</f>
        <v>217</v>
      </c>
      <c r="B234" s="147">
        <f t="shared" si="24"/>
        <v>48914</v>
      </c>
      <c r="C234" s="148">
        <f t="shared" si="30"/>
        <v>136766.8682855388</v>
      </c>
      <c r="D234" s="148">
        <f t="shared" si="25"/>
        <v>1200.75587806059</v>
      </c>
      <c r="E234" s="149">
        <f t="shared" si="26"/>
        <v>0</v>
      </c>
      <c r="F234" s="148">
        <f t="shared" si="27"/>
        <v>1200.75587806059</v>
      </c>
      <c r="G234" s="148">
        <f t="shared" si="28"/>
        <v>739.16769759689646</v>
      </c>
      <c r="H234" s="148">
        <f t="shared" si="31"/>
        <v>461.5881804636935</v>
      </c>
      <c r="I234" s="148">
        <f t="shared" si="29"/>
        <v>136027.70058794192</v>
      </c>
      <c r="J234" s="148">
        <f>SUM($H$18:$H234)</f>
        <v>146591.72612709011</v>
      </c>
    </row>
    <row r="235" spans="1:10" x14ac:dyDescent="0.2">
      <c r="A235" s="146">
        <f>IF(Values_Entered,A234+1,"")</f>
        <v>218</v>
      </c>
      <c r="B235" s="147">
        <f t="shared" si="24"/>
        <v>48945</v>
      </c>
      <c r="C235" s="148">
        <f t="shared" si="30"/>
        <v>136027.70058794192</v>
      </c>
      <c r="D235" s="148">
        <f t="shared" si="25"/>
        <v>1200.75587806059</v>
      </c>
      <c r="E235" s="149">
        <f t="shared" si="26"/>
        <v>0</v>
      </c>
      <c r="F235" s="148">
        <f t="shared" si="27"/>
        <v>1200.75587806059</v>
      </c>
      <c r="G235" s="148">
        <f t="shared" si="28"/>
        <v>741.66238857628605</v>
      </c>
      <c r="H235" s="148">
        <f t="shared" si="31"/>
        <v>459.09348948430397</v>
      </c>
      <c r="I235" s="148">
        <f t="shared" si="29"/>
        <v>135286.03819936563</v>
      </c>
      <c r="J235" s="148">
        <f>SUM($H$18:$H235)</f>
        <v>147050.81961657442</v>
      </c>
    </row>
    <row r="236" spans="1:10" x14ac:dyDescent="0.2">
      <c r="A236" s="146">
        <f>IF(Values_Entered,A235+1,"")</f>
        <v>219</v>
      </c>
      <c r="B236" s="147">
        <f t="shared" si="24"/>
        <v>48976</v>
      </c>
      <c r="C236" s="148">
        <f t="shared" si="30"/>
        <v>135286.03819936563</v>
      </c>
      <c r="D236" s="148">
        <f t="shared" si="25"/>
        <v>1200.75587806059</v>
      </c>
      <c r="E236" s="149">
        <f t="shared" si="26"/>
        <v>0</v>
      </c>
      <c r="F236" s="148">
        <f t="shared" si="27"/>
        <v>1200.75587806059</v>
      </c>
      <c r="G236" s="148">
        <f t="shared" si="28"/>
        <v>744.1654991377311</v>
      </c>
      <c r="H236" s="148">
        <f t="shared" si="31"/>
        <v>456.59037892285897</v>
      </c>
      <c r="I236" s="148">
        <f t="shared" si="29"/>
        <v>134541.87270022789</v>
      </c>
      <c r="J236" s="148">
        <f>SUM($H$18:$H236)</f>
        <v>147507.40999549726</v>
      </c>
    </row>
    <row r="237" spans="1:10" x14ac:dyDescent="0.2">
      <c r="A237" s="146">
        <f>IF(Values_Entered,A236+1,"")</f>
        <v>220</v>
      </c>
      <c r="B237" s="147">
        <f t="shared" si="24"/>
        <v>49004</v>
      </c>
      <c r="C237" s="148">
        <f t="shared" si="30"/>
        <v>134541.87270022789</v>
      </c>
      <c r="D237" s="148">
        <f t="shared" si="25"/>
        <v>1200.75587806059</v>
      </c>
      <c r="E237" s="149">
        <f t="shared" si="26"/>
        <v>0</v>
      </c>
      <c r="F237" s="148">
        <f t="shared" si="27"/>
        <v>1200.75587806059</v>
      </c>
      <c r="G237" s="148">
        <f t="shared" si="28"/>
        <v>746.67705769732083</v>
      </c>
      <c r="H237" s="148">
        <f t="shared" si="31"/>
        <v>454.07882036326913</v>
      </c>
      <c r="I237" s="148">
        <f t="shared" si="29"/>
        <v>133795.19564253057</v>
      </c>
      <c r="J237" s="148">
        <f>SUM($H$18:$H237)</f>
        <v>147961.48881586053</v>
      </c>
    </row>
    <row r="238" spans="1:10" x14ac:dyDescent="0.2">
      <c r="A238" s="146">
        <f>IF(Values_Entered,A237+1,"")</f>
        <v>221</v>
      </c>
      <c r="B238" s="147">
        <f t="shared" si="24"/>
        <v>49035</v>
      </c>
      <c r="C238" s="148">
        <f t="shared" si="30"/>
        <v>133795.19564253057</v>
      </c>
      <c r="D238" s="148">
        <f t="shared" si="25"/>
        <v>1200.75587806059</v>
      </c>
      <c r="E238" s="149">
        <f t="shared" si="26"/>
        <v>0</v>
      </c>
      <c r="F238" s="148">
        <f t="shared" si="27"/>
        <v>1200.75587806059</v>
      </c>
      <c r="G238" s="148">
        <f t="shared" si="28"/>
        <v>749.1970927670493</v>
      </c>
      <c r="H238" s="148">
        <f t="shared" si="31"/>
        <v>451.55878529354067</v>
      </c>
      <c r="I238" s="148">
        <f t="shared" si="29"/>
        <v>133045.99854976352</v>
      </c>
      <c r="J238" s="148">
        <f>SUM($H$18:$H238)</f>
        <v>148413.04760115407</v>
      </c>
    </row>
    <row r="239" spans="1:10" x14ac:dyDescent="0.2">
      <c r="A239" s="146">
        <f>IF(Values_Entered,A238+1,"")</f>
        <v>222</v>
      </c>
      <c r="B239" s="147">
        <f t="shared" si="24"/>
        <v>49065</v>
      </c>
      <c r="C239" s="148">
        <f t="shared" si="30"/>
        <v>133045.99854976352</v>
      </c>
      <c r="D239" s="148">
        <f t="shared" si="25"/>
        <v>1200.75587806059</v>
      </c>
      <c r="E239" s="149">
        <f t="shared" si="26"/>
        <v>0</v>
      </c>
      <c r="F239" s="148">
        <f t="shared" si="27"/>
        <v>1200.75587806059</v>
      </c>
      <c r="G239" s="148">
        <f t="shared" si="28"/>
        <v>751.72563295513805</v>
      </c>
      <c r="H239" s="148">
        <f t="shared" si="31"/>
        <v>449.03024510545191</v>
      </c>
      <c r="I239" s="148">
        <f t="shared" si="29"/>
        <v>132294.27291680838</v>
      </c>
      <c r="J239" s="148">
        <f>SUM($H$18:$H239)</f>
        <v>148862.07784625952</v>
      </c>
    </row>
    <row r="240" spans="1:10" x14ac:dyDescent="0.2">
      <c r="A240" s="146">
        <f>IF(Values_Entered,A239+1,"")</f>
        <v>223</v>
      </c>
      <c r="B240" s="147">
        <f t="shared" si="24"/>
        <v>49096</v>
      </c>
      <c r="C240" s="148">
        <f t="shared" si="30"/>
        <v>132294.27291680838</v>
      </c>
      <c r="D240" s="148">
        <f t="shared" si="25"/>
        <v>1200.75587806059</v>
      </c>
      <c r="E240" s="149">
        <f t="shared" si="26"/>
        <v>0</v>
      </c>
      <c r="F240" s="148">
        <f t="shared" si="27"/>
        <v>1200.75587806059</v>
      </c>
      <c r="G240" s="148">
        <f t="shared" si="28"/>
        <v>754.26270696636175</v>
      </c>
      <c r="H240" s="148">
        <f t="shared" si="31"/>
        <v>446.49317109422827</v>
      </c>
      <c r="I240" s="148">
        <f t="shared" si="29"/>
        <v>131540.010209842</v>
      </c>
      <c r="J240" s="148">
        <f>SUM($H$18:$H240)</f>
        <v>149308.57101735374</v>
      </c>
    </row>
    <row r="241" spans="1:10" x14ac:dyDescent="0.2">
      <c r="A241" s="146">
        <f>IF(Values_Entered,A240+1,"")</f>
        <v>224</v>
      </c>
      <c r="B241" s="147">
        <f t="shared" si="24"/>
        <v>49126</v>
      </c>
      <c r="C241" s="148">
        <f t="shared" si="30"/>
        <v>131540.010209842</v>
      </c>
      <c r="D241" s="148">
        <f t="shared" si="25"/>
        <v>1200.75587806059</v>
      </c>
      <c r="E241" s="149">
        <f t="shared" si="26"/>
        <v>0</v>
      </c>
      <c r="F241" s="148">
        <f t="shared" si="27"/>
        <v>1200.75587806059</v>
      </c>
      <c r="G241" s="148">
        <f t="shared" si="28"/>
        <v>756.80834360237327</v>
      </c>
      <c r="H241" s="148">
        <f t="shared" si="31"/>
        <v>443.94753445821675</v>
      </c>
      <c r="I241" s="148">
        <f t="shared" si="29"/>
        <v>130783.20186623963</v>
      </c>
      <c r="J241" s="148">
        <f>SUM($H$18:$H241)</f>
        <v>149752.51855181195</v>
      </c>
    </row>
    <row r="242" spans="1:10" x14ac:dyDescent="0.2">
      <c r="A242" s="146">
        <f>IF(Values_Entered,A241+1,"")</f>
        <v>225</v>
      </c>
      <c r="B242" s="147">
        <f t="shared" si="24"/>
        <v>49157</v>
      </c>
      <c r="C242" s="148">
        <f t="shared" si="30"/>
        <v>130783.20186623963</v>
      </c>
      <c r="D242" s="148">
        <f t="shared" si="25"/>
        <v>1200.75587806059</v>
      </c>
      <c r="E242" s="149">
        <f t="shared" si="26"/>
        <v>0</v>
      </c>
      <c r="F242" s="148">
        <f t="shared" si="27"/>
        <v>1200.75587806059</v>
      </c>
      <c r="G242" s="148">
        <f t="shared" si="28"/>
        <v>759.36257176203117</v>
      </c>
      <c r="H242" s="148">
        <f t="shared" si="31"/>
        <v>441.3933062985588</v>
      </c>
      <c r="I242" s="148">
        <f t="shared" si="29"/>
        <v>130023.8392944776</v>
      </c>
      <c r="J242" s="148">
        <f>SUM($H$18:$H242)</f>
        <v>150193.91185811051</v>
      </c>
    </row>
    <row r="243" spans="1:10" x14ac:dyDescent="0.2">
      <c r="A243" s="146">
        <f>IF(Values_Entered,A242+1,"")</f>
        <v>226</v>
      </c>
      <c r="B243" s="147">
        <f t="shared" si="24"/>
        <v>49188</v>
      </c>
      <c r="C243" s="148">
        <f t="shared" si="30"/>
        <v>130023.8392944776</v>
      </c>
      <c r="D243" s="148">
        <f t="shared" si="25"/>
        <v>1200.75587806059</v>
      </c>
      <c r="E243" s="149">
        <f t="shared" si="26"/>
        <v>0</v>
      </c>
      <c r="F243" s="148">
        <f t="shared" si="27"/>
        <v>1200.75587806059</v>
      </c>
      <c r="G243" s="148">
        <f t="shared" si="28"/>
        <v>761.92542044172819</v>
      </c>
      <c r="H243" s="148">
        <f t="shared" si="31"/>
        <v>438.83045761886189</v>
      </c>
      <c r="I243" s="148">
        <f t="shared" si="29"/>
        <v>129261.91387403588</v>
      </c>
      <c r="J243" s="148">
        <f>SUM($H$18:$H243)</f>
        <v>150632.74231572938</v>
      </c>
    </row>
    <row r="244" spans="1:10" x14ac:dyDescent="0.2">
      <c r="A244" s="146">
        <f>IF(Values_Entered,A243+1,"")</f>
        <v>227</v>
      </c>
      <c r="B244" s="147">
        <f t="shared" si="24"/>
        <v>49218</v>
      </c>
      <c r="C244" s="148">
        <f t="shared" si="30"/>
        <v>129261.91387403588</v>
      </c>
      <c r="D244" s="148">
        <f t="shared" si="25"/>
        <v>1200.75587806059</v>
      </c>
      <c r="E244" s="149">
        <f t="shared" si="26"/>
        <v>0</v>
      </c>
      <c r="F244" s="148">
        <f t="shared" si="27"/>
        <v>1200.75587806059</v>
      </c>
      <c r="G244" s="148">
        <f t="shared" si="28"/>
        <v>764.49691873571896</v>
      </c>
      <c r="H244" s="148">
        <f t="shared" si="31"/>
        <v>436.25895932487106</v>
      </c>
      <c r="I244" s="148">
        <f t="shared" si="29"/>
        <v>128497.41695530016</v>
      </c>
      <c r="J244" s="148">
        <f>SUM($H$18:$H244)</f>
        <v>151069.00127505427</v>
      </c>
    </row>
    <row r="245" spans="1:10" x14ac:dyDescent="0.2">
      <c r="A245" s="146">
        <f>IF(Values_Entered,A244+1,"")</f>
        <v>228</v>
      </c>
      <c r="B245" s="147">
        <f t="shared" si="24"/>
        <v>49249</v>
      </c>
      <c r="C245" s="148">
        <f t="shared" si="30"/>
        <v>128497.41695530016</v>
      </c>
      <c r="D245" s="148">
        <f t="shared" si="25"/>
        <v>1200.75587806059</v>
      </c>
      <c r="E245" s="149">
        <f t="shared" si="26"/>
        <v>0</v>
      </c>
      <c r="F245" s="148">
        <f t="shared" si="27"/>
        <v>1200.75587806059</v>
      </c>
      <c r="G245" s="148">
        <f t="shared" si="28"/>
        <v>767.07709583645192</v>
      </c>
      <c r="H245" s="148">
        <f t="shared" si="31"/>
        <v>433.67878222413805</v>
      </c>
      <c r="I245" s="148">
        <f t="shared" si="29"/>
        <v>127730.33985946371</v>
      </c>
      <c r="J245" s="148">
        <f>SUM($H$18:$H245)</f>
        <v>151502.6800572784</v>
      </c>
    </row>
    <row r="246" spans="1:10" x14ac:dyDescent="0.2">
      <c r="A246" s="146">
        <f>IF(Values_Entered,A245+1,"")</f>
        <v>229</v>
      </c>
      <c r="B246" s="147">
        <f t="shared" si="24"/>
        <v>49279</v>
      </c>
      <c r="C246" s="148">
        <f t="shared" si="30"/>
        <v>127730.33985946371</v>
      </c>
      <c r="D246" s="148">
        <f t="shared" si="25"/>
        <v>1200.75587806059</v>
      </c>
      <c r="E246" s="149">
        <f t="shared" si="26"/>
        <v>0</v>
      </c>
      <c r="F246" s="148">
        <f t="shared" si="27"/>
        <v>1200.75587806059</v>
      </c>
      <c r="G246" s="148">
        <f t="shared" si="28"/>
        <v>769.66598103489991</v>
      </c>
      <c r="H246" s="148">
        <f t="shared" si="31"/>
        <v>431.08989702569005</v>
      </c>
      <c r="I246" s="148">
        <f t="shared" si="29"/>
        <v>126960.67387842882</v>
      </c>
      <c r="J246" s="148">
        <f>SUM($H$18:$H246)</f>
        <v>151933.76995430409</v>
      </c>
    </row>
    <row r="247" spans="1:10" x14ac:dyDescent="0.2">
      <c r="A247" s="146">
        <f>IF(Values_Entered,A246+1,"")</f>
        <v>230</v>
      </c>
      <c r="B247" s="147">
        <f t="shared" si="24"/>
        <v>49310</v>
      </c>
      <c r="C247" s="148">
        <f t="shared" si="30"/>
        <v>126960.67387842882</v>
      </c>
      <c r="D247" s="148">
        <f t="shared" si="25"/>
        <v>1200.75587806059</v>
      </c>
      <c r="E247" s="149">
        <f t="shared" si="26"/>
        <v>0</v>
      </c>
      <c r="F247" s="148">
        <f t="shared" si="27"/>
        <v>1200.75587806059</v>
      </c>
      <c r="G247" s="148">
        <f t="shared" si="28"/>
        <v>772.26360372089266</v>
      </c>
      <c r="H247" s="148">
        <f t="shared" si="31"/>
        <v>428.4922743396973</v>
      </c>
      <c r="I247" s="148">
        <f t="shared" si="29"/>
        <v>126188.41027470793</v>
      </c>
      <c r="J247" s="148">
        <f>SUM($H$18:$H247)</f>
        <v>152362.26222864378</v>
      </c>
    </row>
    <row r="248" spans="1:10" x14ac:dyDescent="0.2">
      <c r="A248" s="146">
        <f>IF(Values_Entered,A247+1,"")</f>
        <v>231</v>
      </c>
      <c r="B248" s="147">
        <f t="shared" si="24"/>
        <v>49341</v>
      </c>
      <c r="C248" s="148">
        <f t="shared" si="30"/>
        <v>126188.41027470793</v>
      </c>
      <c r="D248" s="148">
        <f t="shared" si="25"/>
        <v>1200.75587806059</v>
      </c>
      <c r="E248" s="149">
        <f t="shared" si="26"/>
        <v>0</v>
      </c>
      <c r="F248" s="148">
        <f t="shared" si="27"/>
        <v>1200.75587806059</v>
      </c>
      <c r="G248" s="148">
        <f t="shared" si="28"/>
        <v>774.86999338345072</v>
      </c>
      <c r="H248" s="148">
        <f t="shared" si="31"/>
        <v>425.8858846771393</v>
      </c>
      <c r="I248" s="148">
        <f t="shared" si="29"/>
        <v>125413.54028132447</v>
      </c>
      <c r="J248" s="148">
        <f>SUM($H$18:$H248)</f>
        <v>152788.14811332093</v>
      </c>
    </row>
    <row r="249" spans="1:10" x14ac:dyDescent="0.2">
      <c r="A249" s="146">
        <f>IF(Values_Entered,A248+1,"")</f>
        <v>232</v>
      </c>
      <c r="B249" s="147">
        <f t="shared" si="24"/>
        <v>49369</v>
      </c>
      <c r="C249" s="148">
        <f t="shared" si="30"/>
        <v>125413.54028132447</v>
      </c>
      <c r="D249" s="148">
        <f t="shared" si="25"/>
        <v>1200.75587806059</v>
      </c>
      <c r="E249" s="149">
        <f t="shared" si="26"/>
        <v>0</v>
      </c>
      <c r="F249" s="148">
        <f t="shared" si="27"/>
        <v>1200.75587806059</v>
      </c>
      <c r="G249" s="148">
        <f t="shared" si="28"/>
        <v>777.48517961111997</v>
      </c>
      <c r="H249" s="148">
        <f t="shared" si="31"/>
        <v>423.2706984494701</v>
      </c>
      <c r="I249" s="148">
        <f t="shared" si="29"/>
        <v>124636.05510171335</v>
      </c>
      <c r="J249" s="148">
        <f>SUM($H$18:$H249)</f>
        <v>153211.41881177039</v>
      </c>
    </row>
    <row r="250" spans="1:10" x14ac:dyDescent="0.2">
      <c r="A250" s="146">
        <f>IF(Values_Entered,A249+1,"")</f>
        <v>233</v>
      </c>
      <c r="B250" s="147">
        <f t="shared" si="24"/>
        <v>49400</v>
      </c>
      <c r="C250" s="148">
        <f t="shared" si="30"/>
        <v>124636.05510171335</v>
      </c>
      <c r="D250" s="148">
        <f t="shared" si="25"/>
        <v>1200.75587806059</v>
      </c>
      <c r="E250" s="149">
        <f t="shared" si="26"/>
        <v>0</v>
      </c>
      <c r="F250" s="148">
        <f t="shared" si="27"/>
        <v>1200.75587806059</v>
      </c>
      <c r="G250" s="148">
        <f t="shared" si="28"/>
        <v>780.10919209230747</v>
      </c>
      <c r="H250" s="148">
        <f t="shared" si="31"/>
        <v>420.64668596828255</v>
      </c>
      <c r="I250" s="148">
        <f t="shared" si="29"/>
        <v>123855.94590962105</v>
      </c>
      <c r="J250" s="148">
        <f>SUM($H$18:$H250)</f>
        <v>153632.06549773866</v>
      </c>
    </row>
    <row r="251" spans="1:10" x14ac:dyDescent="0.2">
      <c r="A251" s="146">
        <f>IF(Values_Entered,A250+1,"")</f>
        <v>234</v>
      </c>
      <c r="B251" s="147">
        <f t="shared" si="24"/>
        <v>49430</v>
      </c>
      <c r="C251" s="148">
        <f t="shared" si="30"/>
        <v>123855.94590962105</v>
      </c>
      <c r="D251" s="148">
        <f t="shared" si="25"/>
        <v>1200.75587806059</v>
      </c>
      <c r="E251" s="149">
        <f t="shared" si="26"/>
        <v>0</v>
      </c>
      <c r="F251" s="148">
        <f t="shared" si="27"/>
        <v>1200.75587806059</v>
      </c>
      <c r="G251" s="148">
        <f t="shared" si="28"/>
        <v>782.74206061561904</v>
      </c>
      <c r="H251" s="148">
        <f t="shared" si="31"/>
        <v>418.01381744497104</v>
      </c>
      <c r="I251" s="148">
        <f t="shared" si="29"/>
        <v>123073.20384900543</v>
      </c>
      <c r="J251" s="148">
        <f>SUM($H$18:$H251)</f>
        <v>154050.07931518363</v>
      </c>
    </row>
    <row r="252" spans="1:10" x14ac:dyDescent="0.2">
      <c r="A252" s="146">
        <f>IF(Values_Entered,A251+1,"")</f>
        <v>235</v>
      </c>
      <c r="B252" s="147">
        <f t="shared" si="24"/>
        <v>49461</v>
      </c>
      <c r="C252" s="148">
        <f t="shared" si="30"/>
        <v>123073.20384900543</v>
      </c>
      <c r="D252" s="148">
        <f t="shared" si="25"/>
        <v>1200.75587806059</v>
      </c>
      <c r="E252" s="149">
        <f t="shared" si="26"/>
        <v>0</v>
      </c>
      <c r="F252" s="148">
        <f t="shared" si="27"/>
        <v>1200.75587806059</v>
      </c>
      <c r="G252" s="148">
        <f t="shared" si="28"/>
        <v>785.38381507019676</v>
      </c>
      <c r="H252" s="148">
        <f t="shared" si="31"/>
        <v>415.37206299039332</v>
      </c>
      <c r="I252" s="148">
        <f t="shared" si="29"/>
        <v>122287.82003393523</v>
      </c>
      <c r="J252" s="148">
        <f>SUM($H$18:$H252)</f>
        <v>154465.45137817401</v>
      </c>
    </row>
    <row r="253" spans="1:10" x14ac:dyDescent="0.2">
      <c r="A253" s="146">
        <f>IF(Values_Entered,A252+1,"")</f>
        <v>236</v>
      </c>
      <c r="B253" s="147">
        <f t="shared" si="24"/>
        <v>49491</v>
      </c>
      <c r="C253" s="148">
        <f t="shared" si="30"/>
        <v>122287.82003393523</v>
      </c>
      <c r="D253" s="148">
        <f t="shared" si="25"/>
        <v>1200.75587806059</v>
      </c>
      <c r="E253" s="149">
        <f t="shared" si="26"/>
        <v>0</v>
      </c>
      <c r="F253" s="148">
        <f t="shared" si="27"/>
        <v>1200.75587806059</v>
      </c>
      <c r="G253" s="148">
        <f t="shared" si="28"/>
        <v>788.03448544605862</v>
      </c>
      <c r="H253" s="148">
        <f t="shared" si="31"/>
        <v>412.7213926145314</v>
      </c>
      <c r="I253" s="148">
        <f t="shared" si="29"/>
        <v>121499.78554848918</v>
      </c>
      <c r="J253" s="148">
        <f>SUM($H$18:$H253)</f>
        <v>154878.17277078854</v>
      </c>
    </row>
    <row r="254" spans="1:10" x14ac:dyDescent="0.2">
      <c r="A254" s="146">
        <f>IF(Values_Entered,A253+1,"")</f>
        <v>237</v>
      </c>
      <c r="B254" s="147">
        <f t="shared" si="24"/>
        <v>49522</v>
      </c>
      <c r="C254" s="148">
        <f t="shared" si="30"/>
        <v>121499.78554848918</v>
      </c>
      <c r="D254" s="148">
        <f t="shared" si="25"/>
        <v>1200.75587806059</v>
      </c>
      <c r="E254" s="149">
        <f t="shared" si="26"/>
        <v>0</v>
      </c>
      <c r="F254" s="148">
        <f t="shared" si="27"/>
        <v>1200.75587806059</v>
      </c>
      <c r="G254" s="148">
        <f t="shared" si="28"/>
        <v>790.69410183443892</v>
      </c>
      <c r="H254" s="148">
        <f t="shared" si="31"/>
        <v>410.06177622615104</v>
      </c>
      <c r="I254" s="148">
        <f t="shared" si="29"/>
        <v>120709.09144665474</v>
      </c>
      <c r="J254" s="148">
        <f>SUM($H$18:$H254)</f>
        <v>155288.2345470147</v>
      </c>
    </row>
    <row r="255" spans="1:10" x14ac:dyDescent="0.2">
      <c r="A255" s="146">
        <f>IF(Values_Entered,A254+1,"")</f>
        <v>238</v>
      </c>
      <c r="B255" s="147">
        <f t="shared" si="24"/>
        <v>49553</v>
      </c>
      <c r="C255" s="148">
        <f t="shared" si="30"/>
        <v>120709.09144665474</v>
      </c>
      <c r="D255" s="148">
        <f t="shared" si="25"/>
        <v>1200.75587806059</v>
      </c>
      <c r="E255" s="149">
        <f t="shared" si="26"/>
        <v>0</v>
      </c>
      <c r="F255" s="148">
        <f t="shared" si="27"/>
        <v>1200.75587806059</v>
      </c>
      <c r="G255" s="148">
        <f t="shared" si="28"/>
        <v>793.36269442813023</v>
      </c>
      <c r="H255" s="148">
        <f t="shared" si="31"/>
        <v>407.3931836324598</v>
      </c>
      <c r="I255" s="148">
        <f t="shared" si="29"/>
        <v>119915.72875222661</v>
      </c>
      <c r="J255" s="148">
        <f>SUM($H$18:$H255)</f>
        <v>155695.62773064716</v>
      </c>
    </row>
    <row r="256" spans="1:10" x14ac:dyDescent="0.2">
      <c r="A256" s="146">
        <f>IF(Values_Entered,A255+1,"")</f>
        <v>239</v>
      </c>
      <c r="B256" s="147">
        <f t="shared" si="24"/>
        <v>49583</v>
      </c>
      <c r="C256" s="148">
        <f t="shared" si="30"/>
        <v>119915.72875222661</v>
      </c>
      <c r="D256" s="148">
        <f t="shared" si="25"/>
        <v>1200.75587806059</v>
      </c>
      <c r="E256" s="149">
        <f t="shared" si="26"/>
        <v>0</v>
      </c>
      <c r="F256" s="148">
        <f t="shared" si="27"/>
        <v>1200.75587806059</v>
      </c>
      <c r="G256" s="148">
        <f t="shared" si="28"/>
        <v>796.04029352182511</v>
      </c>
      <c r="H256" s="148">
        <f t="shared" si="31"/>
        <v>404.71558453876486</v>
      </c>
      <c r="I256" s="148">
        <f t="shared" si="29"/>
        <v>119119.68845870478</v>
      </c>
      <c r="J256" s="148">
        <f>SUM($H$18:$H256)</f>
        <v>156100.34331518592</v>
      </c>
    </row>
    <row r="257" spans="1:10" x14ac:dyDescent="0.2">
      <c r="A257" s="146">
        <f>IF(Values_Entered,A256+1,"")</f>
        <v>240</v>
      </c>
      <c r="B257" s="147">
        <f t="shared" si="24"/>
        <v>49614</v>
      </c>
      <c r="C257" s="148">
        <f t="shared" si="30"/>
        <v>119119.68845870478</v>
      </c>
      <c r="D257" s="148">
        <f t="shared" si="25"/>
        <v>1200.75587806059</v>
      </c>
      <c r="E257" s="149">
        <f t="shared" si="26"/>
        <v>0</v>
      </c>
      <c r="F257" s="148">
        <f t="shared" si="27"/>
        <v>1200.75587806059</v>
      </c>
      <c r="G257" s="148">
        <f t="shared" si="28"/>
        <v>798.72692951246131</v>
      </c>
      <c r="H257" s="148">
        <f t="shared" si="31"/>
        <v>402.02894854812865</v>
      </c>
      <c r="I257" s="148">
        <f t="shared" si="29"/>
        <v>118320.96152919233</v>
      </c>
      <c r="J257" s="148">
        <f>SUM($H$18:$H257)</f>
        <v>156502.37226373405</v>
      </c>
    </row>
    <row r="258" spans="1:10" x14ac:dyDescent="0.2">
      <c r="A258" s="146">
        <f>IF(Values_Entered,A257+1,"")</f>
        <v>241</v>
      </c>
      <c r="B258" s="147">
        <f t="shared" si="24"/>
        <v>49644</v>
      </c>
      <c r="C258" s="148">
        <f t="shared" si="30"/>
        <v>118320.96152919233</v>
      </c>
      <c r="D258" s="148">
        <f t="shared" si="25"/>
        <v>1200.75587806059</v>
      </c>
      <c r="E258" s="149">
        <f t="shared" si="26"/>
        <v>0</v>
      </c>
      <c r="F258" s="148">
        <f t="shared" si="27"/>
        <v>1200.75587806059</v>
      </c>
      <c r="G258" s="148">
        <f t="shared" si="28"/>
        <v>801.422632899566</v>
      </c>
      <c r="H258" s="148">
        <f t="shared" si="31"/>
        <v>399.33324516102408</v>
      </c>
      <c r="I258" s="148">
        <f t="shared" si="29"/>
        <v>117519.53889629275</v>
      </c>
      <c r="J258" s="148">
        <f>SUM($H$18:$H258)</f>
        <v>156901.70550889507</v>
      </c>
    </row>
    <row r="259" spans="1:10" x14ac:dyDescent="0.2">
      <c r="A259" s="146">
        <f>IF(Values_Entered,A258+1,"")</f>
        <v>242</v>
      </c>
      <c r="B259" s="147">
        <f t="shared" si="24"/>
        <v>49675</v>
      </c>
      <c r="C259" s="148">
        <f t="shared" si="30"/>
        <v>117519.53889629275</v>
      </c>
      <c r="D259" s="148">
        <f t="shared" si="25"/>
        <v>1200.75587806059</v>
      </c>
      <c r="E259" s="149">
        <f t="shared" si="26"/>
        <v>0</v>
      </c>
      <c r="F259" s="148">
        <f t="shared" si="27"/>
        <v>1200.75587806059</v>
      </c>
      <c r="G259" s="148">
        <f t="shared" si="28"/>
        <v>804.12743428560202</v>
      </c>
      <c r="H259" s="148">
        <f t="shared" si="31"/>
        <v>396.62844377498806</v>
      </c>
      <c r="I259" s="148">
        <f t="shared" si="29"/>
        <v>116715.41146200715</v>
      </c>
      <c r="J259" s="148">
        <f>SUM($H$18:$H259)</f>
        <v>157298.33395267007</v>
      </c>
    </row>
    <row r="260" spans="1:10" x14ac:dyDescent="0.2">
      <c r="A260" s="146">
        <f>IF(Values_Entered,A259+1,"")</f>
        <v>243</v>
      </c>
      <c r="B260" s="147">
        <f t="shared" si="24"/>
        <v>49706</v>
      </c>
      <c r="C260" s="148">
        <f t="shared" si="30"/>
        <v>116715.41146200715</v>
      </c>
      <c r="D260" s="148">
        <f t="shared" si="25"/>
        <v>1200.75587806059</v>
      </c>
      <c r="E260" s="149">
        <f t="shared" si="26"/>
        <v>0</v>
      </c>
      <c r="F260" s="148">
        <f t="shared" si="27"/>
        <v>1200.75587806059</v>
      </c>
      <c r="G260" s="148">
        <f t="shared" si="28"/>
        <v>806.84136437631582</v>
      </c>
      <c r="H260" s="148">
        <f t="shared" si="31"/>
        <v>393.91451368427414</v>
      </c>
      <c r="I260" s="148">
        <f t="shared" si="29"/>
        <v>115908.57009763083</v>
      </c>
      <c r="J260" s="148">
        <f>SUM($H$18:$H260)</f>
        <v>157692.24846635436</v>
      </c>
    </row>
    <row r="261" spans="1:10" x14ac:dyDescent="0.2">
      <c r="A261" s="146">
        <f>IF(Values_Entered,A260+1,"")</f>
        <v>244</v>
      </c>
      <c r="B261" s="147">
        <f t="shared" si="24"/>
        <v>49735</v>
      </c>
      <c r="C261" s="148">
        <f t="shared" si="30"/>
        <v>115908.57009763083</v>
      </c>
      <c r="D261" s="148">
        <f t="shared" si="25"/>
        <v>1200.75587806059</v>
      </c>
      <c r="E261" s="149">
        <f t="shared" si="26"/>
        <v>0</v>
      </c>
      <c r="F261" s="148">
        <f t="shared" si="27"/>
        <v>1200.75587806059</v>
      </c>
      <c r="G261" s="148">
        <f t="shared" si="28"/>
        <v>809.56445398108599</v>
      </c>
      <c r="H261" s="148">
        <f t="shared" si="31"/>
        <v>391.19142407950403</v>
      </c>
      <c r="I261" s="148">
        <f t="shared" si="29"/>
        <v>115099.00564364974</v>
      </c>
      <c r="J261" s="148">
        <f>SUM($H$18:$H261)</f>
        <v>158083.43989043386</v>
      </c>
    </row>
    <row r="262" spans="1:10" x14ac:dyDescent="0.2">
      <c r="A262" s="146">
        <f>IF(Values_Entered,A261+1,"")</f>
        <v>245</v>
      </c>
      <c r="B262" s="147">
        <f t="shared" si="24"/>
        <v>49766</v>
      </c>
      <c r="C262" s="148">
        <f t="shared" si="30"/>
        <v>115099.00564364974</v>
      </c>
      <c r="D262" s="148">
        <f t="shared" si="25"/>
        <v>1200.75587806059</v>
      </c>
      <c r="E262" s="149">
        <f t="shared" si="26"/>
        <v>0</v>
      </c>
      <c r="F262" s="148">
        <f t="shared" si="27"/>
        <v>1200.75587806059</v>
      </c>
      <c r="G262" s="148">
        <f t="shared" si="28"/>
        <v>812.29673401327204</v>
      </c>
      <c r="H262" s="148">
        <f t="shared" si="31"/>
        <v>388.45914404731792</v>
      </c>
      <c r="I262" s="148">
        <f t="shared" si="29"/>
        <v>114286.70890963647</v>
      </c>
      <c r="J262" s="148">
        <f>SUM($H$18:$H262)</f>
        <v>158471.89903448118</v>
      </c>
    </row>
    <row r="263" spans="1:10" x14ac:dyDescent="0.2">
      <c r="A263" s="146">
        <f>IF(Values_Entered,A262+1,"")</f>
        <v>246</v>
      </c>
      <c r="B263" s="147">
        <f t="shared" si="24"/>
        <v>49796</v>
      </c>
      <c r="C263" s="148">
        <f t="shared" si="30"/>
        <v>114286.70890963647</v>
      </c>
      <c r="D263" s="148">
        <f t="shared" si="25"/>
        <v>1200.75587806059</v>
      </c>
      <c r="E263" s="149">
        <f t="shared" si="26"/>
        <v>0</v>
      </c>
      <c r="F263" s="148">
        <f t="shared" si="27"/>
        <v>1200.75587806059</v>
      </c>
      <c r="G263" s="148">
        <f t="shared" si="28"/>
        <v>815.03823549056688</v>
      </c>
      <c r="H263" s="148">
        <f t="shared" si="31"/>
        <v>385.71764257002309</v>
      </c>
      <c r="I263" s="148">
        <f t="shared" si="29"/>
        <v>113471.67067414589</v>
      </c>
      <c r="J263" s="148">
        <f>SUM($H$18:$H263)</f>
        <v>158857.61667705121</v>
      </c>
    </row>
    <row r="264" spans="1:10" x14ac:dyDescent="0.2">
      <c r="A264" s="146">
        <f>IF(Values_Entered,A263+1,"")</f>
        <v>247</v>
      </c>
      <c r="B264" s="147">
        <f t="shared" si="24"/>
        <v>49827</v>
      </c>
      <c r="C264" s="148">
        <f t="shared" si="30"/>
        <v>113471.67067414589</v>
      </c>
      <c r="D264" s="148">
        <f t="shared" si="25"/>
        <v>1200.75587806059</v>
      </c>
      <c r="E264" s="149">
        <f t="shared" si="26"/>
        <v>0</v>
      </c>
      <c r="F264" s="148">
        <f t="shared" si="27"/>
        <v>1200.75587806059</v>
      </c>
      <c r="G264" s="148">
        <f t="shared" si="28"/>
        <v>817.78898953534758</v>
      </c>
      <c r="H264" s="148">
        <f t="shared" si="31"/>
        <v>382.96688852524238</v>
      </c>
      <c r="I264" s="148">
        <f t="shared" si="29"/>
        <v>112653.88168461055</v>
      </c>
      <c r="J264" s="148">
        <f>SUM($H$18:$H264)</f>
        <v>159240.58356557644</v>
      </c>
    </row>
    <row r="265" spans="1:10" x14ac:dyDescent="0.2">
      <c r="A265" s="146">
        <f>IF(Values_Entered,A264+1,"")</f>
        <v>248</v>
      </c>
      <c r="B265" s="147">
        <f t="shared" si="24"/>
        <v>49857</v>
      </c>
      <c r="C265" s="148">
        <f t="shared" si="30"/>
        <v>112653.88168461055</v>
      </c>
      <c r="D265" s="148">
        <f t="shared" si="25"/>
        <v>1200.75587806059</v>
      </c>
      <c r="E265" s="149">
        <f t="shared" si="26"/>
        <v>0</v>
      </c>
      <c r="F265" s="148">
        <f t="shared" si="27"/>
        <v>1200.75587806059</v>
      </c>
      <c r="G265" s="148">
        <f t="shared" si="28"/>
        <v>820.54902737502948</v>
      </c>
      <c r="H265" s="148">
        <f t="shared" si="31"/>
        <v>380.2068506855606</v>
      </c>
      <c r="I265" s="148">
        <f t="shared" si="29"/>
        <v>111833.33265723551</v>
      </c>
      <c r="J265" s="148">
        <f>SUM($H$18:$H265)</f>
        <v>159620.790416262</v>
      </c>
    </row>
    <row r="266" spans="1:10" x14ac:dyDescent="0.2">
      <c r="A266" s="146">
        <f>IF(Values_Entered,A265+1,"")</f>
        <v>249</v>
      </c>
      <c r="B266" s="147">
        <f t="shared" si="24"/>
        <v>49888</v>
      </c>
      <c r="C266" s="148">
        <f t="shared" si="30"/>
        <v>111833.33265723551</v>
      </c>
      <c r="D266" s="148">
        <f t="shared" si="25"/>
        <v>1200.75587806059</v>
      </c>
      <c r="E266" s="149">
        <f t="shared" si="26"/>
        <v>0</v>
      </c>
      <c r="F266" s="148">
        <f t="shared" si="27"/>
        <v>1200.75587806059</v>
      </c>
      <c r="G266" s="148">
        <f t="shared" si="28"/>
        <v>823.31838034242014</v>
      </c>
      <c r="H266" s="148">
        <f t="shared" si="31"/>
        <v>377.43749771816988</v>
      </c>
      <c r="I266" s="148">
        <f t="shared" si="29"/>
        <v>111010.0142768931</v>
      </c>
      <c r="J266" s="148">
        <f>SUM($H$18:$H266)</f>
        <v>159998.22791398017</v>
      </c>
    </row>
    <row r="267" spans="1:10" x14ac:dyDescent="0.2">
      <c r="A267" s="146">
        <f>IF(Values_Entered,A266+1,"")</f>
        <v>250</v>
      </c>
      <c r="B267" s="147">
        <f t="shared" si="24"/>
        <v>49919</v>
      </c>
      <c r="C267" s="148">
        <f t="shared" si="30"/>
        <v>111010.0142768931</v>
      </c>
      <c r="D267" s="148">
        <f t="shared" si="25"/>
        <v>1200.75587806059</v>
      </c>
      <c r="E267" s="149">
        <f t="shared" si="26"/>
        <v>0</v>
      </c>
      <c r="F267" s="148">
        <f t="shared" si="27"/>
        <v>1200.75587806059</v>
      </c>
      <c r="G267" s="148">
        <f t="shared" si="28"/>
        <v>826.0970798760759</v>
      </c>
      <c r="H267" s="148">
        <f t="shared" si="31"/>
        <v>374.65879818451418</v>
      </c>
      <c r="I267" s="148">
        <f t="shared" si="29"/>
        <v>110183.91719701701</v>
      </c>
      <c r="J267" s="148">
        <f>SUM($H$18:$H267)</f>
        <v>160372.88671216468</v>
      </c>
    </row>
    <row r="268" spans="1:10" x14ac:dyDescent="0.2">
      <c r="A268" s="146">
        <f>IF(Values_Entered,A267+1,"")</f>
        <v>251</v>
      </c>
      <c r="B268" s="147">
        <f t="shared" si="24"/>
        <v>49949</v>
      </c>
      <c r="C268" s="148">
        <f t="shared" si="30"/>
        <v>110183.91719701701</v>
      </c>
      <c r="D268" s="148">
        <f t="shared" si="25"/>
        <v>1200.75587806059</v>
      </c>
      <c r="E268" s="149">
        <f t="shared" si="26"/>
        <v>0</v>
      </c>
      <c r="F268" s="148">
        <f t="shared" si="27"/>
        <v>1200.75587806059</v>
      </c>
      <c r="G268" s="148">
        <f t="shared" si="28"/>
        <v>828.88515752065769</v>
      </c>
      <c r="H268" s="148">
        <f t="shared" si="31"/>
        <v>371.87072053993239</v>
      </c>
      <c r="I268" s="148">
        <f t="shared" si="29"/>
        <v>109355.03203949635</v>
      </c>
      <c r="J268" s="148">
        <f>SUM($H$18:$H268)</f>
        <v>160744.75743270462</v>
      </c>
    </row>
    <row r="269" spans="1:10" x14ac:dyDescent="0.2">
      <c r="A269" s="146">
        <f>IF(Values_Entered,A268+1,"")</f>
        <v>252</v>
      </c>
      <c r="B269" s="147">
        <f t="shared" si="24"/>
        <v>49980</v>
      </c>
      <c r="C269" s="148">
        <f t="shared" si="30"/>
        <v>109355.03203949635</v>
      </c>
      <c r="D269" s="148">
        <f t="shared" si="25"/>
        <v>1200.75587806059</v>
      </c>
      <c r="E269" s="149">
        <f t="shared" si="26"/>
        <v>0</v>
      </c>
      <c r="F269" s="148">
        <f t="shared" si="27"/>
        <v>1200.75587806059</v>
      </c>
      <c r="G269" s="148">
        <f t="shared" si="28"/>
        <v>831.68264492728986</v>
      </c>
      <c r="H269" s="148">
        <f t="shared" si="31"/>
        <v>369.07323313330016</v>
      </c>
      <c r="I269" s="148">
        <f t="shared" si="29"/>
        <v>108523.34939456906</v>
      </c>
      <c r="J269" s="148">
        <f>SUM($H$18:$H269)</f>
        <v>161113.83066583792</v>
      </c>
    </row>
    <row r="270" spans="1:10" x14ac:dyDescent="0.2">
      <c r="A270" s="146">
        <f>IF(Values_Entered,A269+1,"")</f>
        <v>253</v>
      </c>
      <c r="B270" s="147">
        <f t="shared" si="24"/>
        <v>50010</v>
      </c>
      <c r="C270" s="148">
        <f t="shared" si="30"/>
        <v>108523.34939456906</v>
      </c>
      <c r="D270" s="148">
        <f t="shared" si="25"/>
        <v>1200.75587806059</v>
      </c>
      <c r="E270" s="149">
        <f t="shared" si="26"/>
        <v>0</v>
      </c>
      <c r="F270" s="148">
        <f t="shared" si="27"/>
        <v>1200.75587806059</v>
      </c>
      <c r="G270" s="148">
        <f t="shared" si="28"/>
        <v>834.48957385391941</v>
      </c>
      <c r="H270" s="148">
        <f t="shared" si="31"/>
        <v>366.26630420667061</v>
      </c>
      <c r="I270" s="148">
        <f t="shared" si="29"/>
        <v>107688.85982071514</v>
      </c>
      <c r="J270" s="148">
        <f>SUM($H$18:$H270)</f>
        <v>161480.0969700446</v>
      </c>
    </row>
    <row r="271" spans="1:10" x14ac:dyDescent="0.2">
      <c r="A271" s="146">
        <f>IF(Values_Entered,A270+1,"")</f>
        <v>254</v>
      </c>
      <c r="B271" s="147">
        <f t="shared" si="24"/>
        <v>50041</v>
      </c>
      <c r="C271" s="148">
        <f t="shared" si="30"/>
        <v>107688.85982071514</v>
      </c>
      <c r="D271" s="148">
        <f t="shared" si="25"/>
        <v>1200.75587806059</v>
      </c>
      <c r="E271" s="149">
        <f t="shared" si="26"/>
        <v>0</v>
      </c>
      <c r="F271" s="148">
        <f t="shared" si="27"/>
        <v>1200.75587806059</v>
      </c>
      <c r="G271" s="148">
        <f t="shared" si="28"/>
        <v>837.30597616567638</v>
      </c>
      <c r="H271" s="148">
        <f t="shared" si="31"/>
        <v>363.44990189491364</v>
      </c>
      <c r="I271" s="148">
        <f t="shared" si="29"/>
        <v>106851.55384454946</v>
      </c>
      <c r="J271" s="148">
        <f>SUM($H$18:$H271)</f>
        <v>161843.5468719395</v>
      </c>
    </row>
    <row r="272" spans="1:10" x14ac:dyDescent="0.2">
      <c r="A272" s="146">
        <f>IF(Values_Entered,A271+1,"")</f>
        <v>255</v>
      </c>
      <c r="B272" s="147">
        <f t="shared" si="24"/>
        <v>50072</v>
      </c>
      <c r="C272" s="148">
        <f t="shared" si="30"/>
        <v>106851.55384454946</v>
      </c>
      <c r="D272" s="148">
        <f t="shared" si="25"/>
        <v>1200.75587806059</v>
      </c>
      <c r="E272" s="149">
        <f t="shared" si="26"/>
        <v>0</v>
      </c>
      <c r="F272" s="148">
        <f t="shared" si="27"/>
        <v>1200.75587806059</v>
      </c>
      <c r="G272" s="148">
        <f t="shared" si="28"/>
        <v>840.13188383523561</v>
      </c>
      <c r="H272" s="148">
        <f t="shared" si="31"/>
        <v>360.62399422535441</v>
      </c>
      <c r="I272" s="148">
        <f t="shared" si="29"/>
        <v>106011.42196071423</v>
      </c>
      <c r="J272" s="148">
        <f>SUM($H$18:$H272)</f>
        <v>162204.17086616484</v>
      </c>
    </row>
    <row r="273" spans="1:10" x14ac:dyDescent="0.2">
      <c r="A273" s="146">
        <f>IF(Values_Entered,A272+1,"")</f>
        <v>256</v>
      </c>
      <c r="B273" s="147">
        <f t="shared" si="24"/>
        <v>50100</v>
      </c>
      <c r="C273" s="148">
        <f t="shared" si="30"/>
        <v>106011.42196071423</v>
      </c>
      <c r="D273" s="148">
        <f t="shared" si="25"/>
        <v>1200.75587806059</v>
      </c>
      <c r="E273" s="149">
        <f t="shared" si="26"/>
        <v>0</v>
      </c>
      <c r="F273" s="148">
        <f t="shared" si="27"/>
        <v>1200.75587806059</v>
      </c>
      <c r="G273" s="148">
        <f t="shared" si="28"/>
        <v>842.96732894317938</v>
      </c>
      <c r="H273" s="148">
        <f t="shared" si="31"/>
        <v>357.78854911741058</v>
      </c>
      <c r="I273" s="148">
        <f t="shared" si="29"/>
        <v>105168.45463177105</v>
      </c>
      <c r="J273" s="148">
        <f>SUM($H$18:$H273)</f>
        <v>162561.95941528227</v>
      </c>
    </row>
    <row r="274" spans="1:10" x14ac:dyDescent="0.2">
      <c r="A274" s="146">
        <f>IF(Values_Entered,A273+1,"")</f>
        <v>257</v>
      </c>
      <c r="B274" s="147">
        <f t="shared" ref="B274:B337" si="32">IF(Pay_Num&lt;&gt;"",DATE(YEAR(Loan_Start),MONTH(Loan_Start)+(Pay_Num)*12/Num_Pmt_Per_Year,DAY(Loan_Start)),"")</f>
        <v>50131</v>
      </c>
      <c r="C274" s="148">
        <f t="shared" si="30"/>
        <v>105168.45463177105</v>
      </c>
      <c r="D274" s="148">
        <f t="shared" ref="D274:D337" si="33">IF(Pay_Num&lt;&gt;"",Scheduled_Monthly_Payment,"")</f>
        <v>1200.75587806059</v>
      </c>
      <c r="E274" s="149">
        <f t="shared" ref="E274:E337" si="34">IF(AND(Pay_Num&lt;&gt;"",Sched_Pay+Scheduled_Extra_Payments&lt;Beg_Bal),Scheduled_Extra_Payments,IF(AND(Pay_Num&lt;&gt;"",Beg_Bal-Sched_Pay&gt;0),Beg_Bal-Sched_Pay,IF(Pay_Num&lt;&gt;"",0,"")))</f>
        <v>0</v>
      </c>
      <c r="F274" s="148">
        <f t="shared" ref="F274:F337" si="35">IF(AND(Pay_Num&lt;&gt;"",Sched_Pay+Extra_Pay&lt;Beg_Bal),Sched_Pay+Extra_Pay,IF(Pay_Num&lt;&gt;"",Beg_Bal,""))</f>
        <v>1200.75587806059</v>
      </c>
      <c r="G274" s="148">
        <f t="shared" ref="G274:G337" si="36">IF(Pay_Num&lt;&gt;"",Total_Pay-Int,"")</f>
        <v>845.81234367836282</v>
      </c>
      <c r="H274" s="148">
        <f t="shared" si="31"/>
        <v>354.94353438222726</v>
      </c>
      <c r="I274" s="148">
        <f t="shared" ref="I274:I337" si="37">IF(AND(Pay_Num&lt;&gt;"",Sched_Pay+Extra_Pay&lt;Beg_Bal),Beg_Bal-Princ,IF(Pay_Num&lt;&gt;"",0,""))</f>
        <v>104322.64228809268</v>
      </c>
      <c r="J274" s="148">
        <f>SUM($H$18:$H274)</f>
        <v>162916.90294966451</v>
      </c>
    </row>
    <row r="275" spans="1:10" x14ac:dyDescent="0.2">
      <c r="A275" s="146">
        <f>IF(Values_Entered,A274+1,"")</f>
        <v>258</v>
      </c>
      <c r="B275" s="147">
        <f t="shared" si="32"/>
        <v>50161</v>
      </c>
      <c r="C275" s="148">
        <f t="shared" ref="C275:C338" si="38">IF(Pay_Num&lt;&gt;"",I274,"")</f>
        <v>104322.64228809268</v>
      </c>
      <c r="D275" s="148">
        <f t="shared" si="33"/>
        <v>1200.75587806059</v>
      </c>
      <c r="E275" s="149">
        <f t="shared" si="34"/>
        <v>0</v>
      </c>
      <c r="F275" s="148">
        <f t="shared" si="35"/>
        <v>1200.75587806059</v>
      </c>
      <c r="G275" s="148">
        <f t="shared" si="36"/>
        <v>848.66696033827725</v>
      </c>
      <c r="H275" s="148">
        <f t="shared" ref="H275:H338" si="39">IF(Pay_Num&lt;&gt;"",Beg_Bal*Interest_Rate/Num_Pmt_Per_Year,"")</f>
        <v>352.08891772231283</v>
      </c>
      <c r="I275" s="148">
        <f t="shared" si="37"/>
        <v>103473.97532775441</v>
      </c>
      <c r="J275" s="148">
        <f>SUM($H$18:$H275)</f>
        <v>163268.99186738682</v>
      </c>
    </row>
    <row r="276" spans="1:10" x14ac:dyDescent="0.2">
      <c r="A276" s="146">
        <f>IF(Values_Entered,A275+1,"")</f>
        <v>259</v>
      </c>
      <c r="B276" s="147">
        <f t="shared" si="32"/>
        <v>50192</v>
      </c>
      <c r="C276" s="148">
        <f t="shared" si="38"/>
        <v>103473.97532775441</v>
      </c>
      <c r="D276" s="148">
        <f t="shared" si="33"/>
        <v>1200.75587806059</v>
      </c>
      <c r="E276" s="149">
        <f t="shared" si="34"/>
        <v>0</v>
      </c>
      <c r="F276" s="148">
        <f t="shared" si="35"/>
        <v>1200.75587806059</v>
      </c>
      <c r="G276" s="148">
        <f t="shared" si="36"/>
        <v>851.53121132941897</v>
      </c>
      <c r="H276" s="148">
        <f t="shared" si="39"/>
        <v>349.22466673117111</v>
      </c>
      <c r="I276" s="148">
        <f t="shared" si="37"/>
        <v>102622.44411642499</v>
      </c>
      <c r="J276" s="148">
        <f>SUM($H$18:$H276)</f>
        <v>163618.21653411799</v>
      </c>
    </row>
    <row r="277" spans="1:10" x14ac:dyDescent="0.2">
      <c r="A277" s="146">
        <f>IF(Values_Entered,A276+1,"")</f>
        <v>260</v>
      </c>
      <c r="B277" s="147">
        <f t="shared" si="32"/>
        <v>50222</v>
      </c>
      <c r="C277" s="148">
        <f t="shared" si="38"/>
        <v>102622.44411642499</v>
      </c>
      <c r="D277" s="148">
        <f t="shared" si="33"/>
        <v>1200.75587806059</v>
      </c>
      <c r="E277" s="149">
        <f t="shared" si="34"/>
        <v>0</v>
      </c>
      <c r="F277" s="148">
        <f t="shared" si="35"/>
        <v>1200.75587806059</v>
      </c>
      <c r="G277" s="148">
        <f t="shared" si="36"/>
        <v>854.40512916765579</v>
      </c>
      <c r="H277" s="148">
        <f t="shared" si="39"/>
        <v>346.35074889293429</v>
      </c>
      <c r="I277" s="148">
        <f t="shared" si="37"/>
        <v>101768.03898725733</v>
      </c>
      <c r="J277" s="148">
        <f>SUM($H$18:$H277)</f>
        <v>163964.56728301093</v>
      </c>
    </row>
    <row r="278" spans="1:10" x14ac:dyDescent="0.2">
      <c r="A278" s="146">
        <f>IF(Values_Entered,A277+1,"")</f>
        <v>261</v>
      </c>
      <c r="B278" s="147">
        <f t="shared" si="32"/>
        <v>50253</v>
      </c>
      <c r="C278" s="148">
        <f t="shared" si="38"/>
        <v>101768.03898725733</v>
      </c>
      <c r="D278" s="148">
        <f t="shared" si="33"/>
        <v>1200.75587806059</v>
      </c>
      <c r="E278" s="149">
        <f t="shared" si="34"/>
        <v>0</v>
      </c>
      <c r="F278" s="148">
        <f t="shared" si="35"/>
        <v>1200.75587806059</v>
      </c>
      <c r="G278" s="148">
        <f t="shared" si="36"/>
        <v>857.28874647859652</v>
      </c>
      <c r="H278" s="148">
        <f t="shared" si="39"/>
        <v>343.4671315819935</v>
      </c>
      <c r="I278" s="148">
        <f t="shared" si="37"/>
        <v>100910.75024077873</v>
      </c>
      <c r="J278" s="148">
        <f>SUM($H$18:$H278)</f>
        <v>164308.03441459293</v>
      </c>
    </row>
    <row r="279" spans="1:10" x14ac:dyDescent="0.2">
      <c r="A279" s="146">
        <f>IF(Values_Entered,A278+1,"")</f>
        <v>262</v>
      </c>
      <c r="B279" s="147">
        <f t="shared" si="32"/>
        <v>50284</v>
      </c>
      <c r="C279" s="148">
        <f t="shared" si="38"/>
        <v>100910.75024077873</v>
      </c>
      <c r="D279" s="148">
        <f t="shared" si="33"/>
        <v>1200.75587806059</v>
      </c>
      <c r="E279" s="149">
        <f t="shared" si="34"/>
        <v>0</v>
      </c>
      <c r="F279" s="148">
        <f t="shared" si="35"/>
        <v>1200.75587806059</v>
      </c>
      <c r="G279" s="148">
        <f t="shared" si="36"/>
        <v>860.18209599796182</v>
      </c>
      <c r="H279" s="148">
        <f t="shared" si="39"/>
        <v>340.5737820626282</v>
      </c>
      <c r="I279" s="148">
        <f t="shared" si="37"/>
        <v>100050.56814478076</v>
      </c>
      <c r="J279" s="148">
        <f>SUM($H$18:$H279)</f>
        <v>164648.60819665555</v>
      </c>
    </row>
    <row r="280" spans="1:10" x14ac:dyDescent="0.2">
      <c r="A280" s="146">
        <f>IF(Values_Entered,A279+1,"")</f>
        <v>263</v>
      </c>
      <c r="B280" s="147">
        <f t="shared" si="32"/>
        <v>50314</v>
      </c>
      <c r="C280" s="148">
        <f t="shared" si="38"/>
        <v>100050.56814478076</v>
      </c>
      <c r="D280" s="148">
        <f t="shared" si="33"/>
        <v>1200.75587806059</v>
      </c>
      <c r="E280" s="149">
        <f t="shared" si="34"/>
        <v>0</v>
      </c>
      <c r="F280" s="148">
        <f t="shared" si="35"/>
        <v>1200.75587806059</v>
      </c>
      <c r="G280" s="148">
        <f t="shared" si="36"/>
        <v>863.08521057195503</v>
      </c>
      <c r="H280" s="148">
        <f t="shared" si="39"/>
        <v>337.67066748863505</v>
      </c>
      <c r="I280" s="148">
        <f t="shared" si="37"/>
        <v>99187.482934208805</v>
      </c>
      <c r="J280" s="148">
        <f>SUM($H$18:$H280)</f>
        <v>164986.27886414417</v>
      </c>
    </row>
    <row r="281" spans="1:10" x14ac:dyDescent="0.2">
      <c r="A281" s="146">
        <f>IF(Values_Entered,A280+1,"")</f>
        <v>264</v>
      </c>
      <c r="B281" s="147">
        <f t="shared" si="32"/>
        <v>50345</v>
      </c>
      <c r="C281" s="148">
        <f t="shared" si="38"/>
        <v>99187.482934208805</v>
      </c>
      <c r="D281" s="148">
        <f t="shared" si="33"/>
        <v>1200.75587806059</v>
      </c>
      <c r="E281" s="149">
        <f t="shared" si="34"/>
        <v>0</v>
      </c>
      <c r="F281" s="148">
        <f t="shared" si="35"/>
        <v>1200.75587806059</v>
      </c>
      <c r="G281" s="148">
        <f t="shared" si="36"/>
        <v>865.99812315763529</v>
      </c>
      <c r="H281" s="148">
        <f t="shared" si="39"/>
        <v>334.75775490295473</v>
      </c>
      <c r="I281" s="148">
        <f t="shared" si="37"/>
        <v>98321.484811051167</v>
      </c>
      <c r="J281" s="148">
        <f>SUM($H$18:$H281)</f>
        <v>165321.03661904714</v>
      </c>
    </row>
    <row r="282" spans="1:10" x14ac:dyDescent="0.2">
      <c r="A282" s="146">
        <f>IF(Values_Entered,A281+1,"")</f>
        <v>265</v>
      </c>
      <c r="B282" s="147">
        <f t="shared" si="32"/>
        <v>50375</v>
      </c>
      <c r="C282" s="148">
        <f t="shared" si="38"/>
        <v>98321.484811051167</v>
      </c>
      <c r="D282" s="148">
        <f t="shared" si="33"/>
        <v>1200.75587806059</v>
      </c>
      <c r="E282" s="149">
        <f t="shared" si="34"/>
        <v>0</v>
      </c>
      <c r="F282" s="148">
        <f t="shared" si="35"/>
        <v>1200.75587806059</v>
      </c>
      <c r="G282" s="148">
        <f t="shared" si="36"/>
        <v>868.92086682329227</v>
      </c>
      <c r="H282" s="148">
        <f t="shared" si="39"/>
        <v>331.83501123729769</v>
      </c>
      <c r="I282" s="148">
        <f t="shared" si="37"/>
        <v>97452.563944227877</v>
      </c>
      <c r="J282" s="148">
        <f>SUM($H$18:$H282)</f>
        <v>165652.87163028444</v>
      </c>
    </row>
    <row r="283" spans="1:10" x14ac:dyDescent="0.2">
      <c r="A283" s="146">
        <f>IF(Values_Entered,A282+1,"")</f>
        <v>266</v>
      </c>
      <c r="B283" s="147">
        <f t="shared" si="32"/>
        <v>50406</v>
      </c>
      <c r="C283" s="148">
        <f t="shared" si="38"/>
        <v>97452.563944227877</v>
      </c>
      <c r="D283" s="148">
        <f t="shared" si="33"/>
        <v>1200.75587806059</v>
      </c>
      <c r="E283" s="149">
        <f t="shared" si="34"/>
        <v>0</v>
      </c>
      <c r="F283" s="148">
        <f t="shared" si="35"/>
        <v>1200.75587806059</v>
      </c>
      <c r="G283" s="148">
        <f t="shared" si="36"/>
        <v>871.85347474882087</v>
      </c>
      <c r="H283" s="148">
        <f t="shared" si="39"/>
        <v>328.90240331176909</v>
      </c>
      <c r="I283" s="148">
        <f t="shared" si="37"/>
        <v>96580.710469479061</v>
      </c>
      <c r="J283" s="148">
        <f>SUM($H$18:$H283)</f>
        <v>165981.77403359622</v>
      </c>
    </row>
    <row r="284" spans="1:10" x14ac:dyDescent="0.2">
      <c r="A284" s="146">
        <f>IF(Values_Entered,A283+1,"")</f>
        <v>267</v>
      </c>
      <c r="B284" s="147">
        <f t="shared" si="32"/>
        <v>50437</v>
      </c>
      <c r="C284" s="148">
        <f t="shared" si="38"/>
        <v>96580.710469479061</v>
      </c>
      <c r="D284" s="148">
        <f t="shared" si="33"/>
        <v>1200.75587806059</v>
      </c>
      <c r="E284" s="149">
        <f t="shared" si="34"/>
        <v>0</v>
      </c>
      <c r="F284" s="148">
        <f t="shared" si="35"/>
        <v>1200.75587806059</v>
      </c>
      <c r="G284" s="148">
        <f t="shared" si="36"/>
        <v>874.79598022609821</v>
      </c>
      <c r="H284" s="148">
        <f t="shared" si="39"/>
        <v>325.95989783449187</v>
      </c>
      <c r="I284" s="148">
        <f t="shared" si="37"/>
        <v>95705.914489252958</v>
      </c>
      <c r="J284" s="148">
        <f>SUM($H$18:$H284)</f>
        <v>166307.7339314307</v>
      </c>
    </row>
    <row r="285" spans="1:10" x14ac:dyDescent="0.2">
      <c r="A285" s="146">
        <f>IF(Values_Entered,A284+1,"")</f>
        <v>268</v>
      </c>
      <c r="B285" s="147">
        <f t="shared" si="32"/>
        <v>50465</v>
      </c>
      <c r="C285" s="148">
        <f t="shared" si="38"/>
        <v>95705.914489252958</v>
      </c>
      <c r="D285" s="148">
        <f t="shared" si="33"/>
        <v>1200.75587806059</v>
      </c>
      <c r="E285" s="149">
        <f t="shared" si="34"/>
        <v>0</v>
      </c>
      <c r="F285" s="148">
        <f t="shared" si="35"/>
        <v>1200.75587806059</v>
      </c>
      <c r="G285" s="148">
        <f t="shared" si="36"/>
        <v>877.74841665936128</v>
      </c>
      <c r="H285" s="148">
        <f t="shared" si="39"/>
        <v>323.00746140122874</v>
      </c>
      <c r="I285" s="148">
        <f t="shared" si="37"/>
        <v>94828.166072593594</v>
      </c>
      <c r="J285" s="148">
        <f>SUM($H$18:$H285)</f>
        <v>166630.74139283193</v>
      </c>
    </row>
    <row r="286" spans="1:10" x14ac:dyDescent="0.2">
      <c r="A286" s="146">
        <f>IF(Values_Entered,A285+1,"")</f>
        <v>269</v>
      </c>
      <c r="B286" s="147">
        <f t="shared" si="32"/>
        <v>50496</v>
      </c>
      <c r="C286" s="148">
        <f t="shared" si="38"/>
        <v>94828.166072593594</v>
      </c>
      <c r="D286" s="148">
        <f t="shared" si="33"/>
        <v>1200.75587806059</v>
      </c>
      <c r="E286" s="149">
        <f t="shared" si="34"/>
        <v>0</v>
      </c>
      <c r="F286" s="148">
        <f t="shared" si="35"/>
        <v>1200.75587806059</v>
      </c>
      <c r="G286" s="148">
        <f t="shared" si="36"/>
        <v>880.71081756558669</v>
      </c>
      <c r="H286" s="148">
        <f t="shared" si="39"/>
        <v>320.04506049500338</v>
      </c>
      <c r="I286" s="148">
        <f t="shared" si="37"/>
        <v>93947.455255028006</v>
      </c>
      <c r="J286" s="148">
        <f>SUM($H$18:$H286)</f>
        <v>166950.78645332693</v>
      </c>
    </row>
    <row r="287" spans="1:10" x14ac:dyDescent="0.2">
      <c r="A287" s="146">
        <f>IF(Values_Entered,A286+1,"")</f>
        <v>270</v>
      </c>
      <c r="B287" s="147">
        <f t="shared" si="32"/>
        <v>50526</v>
      </c>
      <c r="C287" s="148">
        <f t="shared" si="38"/>
        <v>93947.455255028006</v>
      </c>
      <c r="D287" s="148">
        <f t="shared" si="33"/>
        <v>1200.75587806059</v>
      </c>
      <c r="E287" s="149">
        <f t="shared" si="34"/>
        <v>0</v>
      </c>
      <c r="F287" s="148">
        <f t="shared" si="35"/>
        <v>1200.75587806059</v>
      </c>
      <c r="G287" s="148">
        <f t="shared" si="36"/>
        <v>883.68321657487058</v>
      </c>
      <c r="H287" s="148">
        <f t="shared" si="39"/>
        <v>317.07266148571949</v>
      </c>
      <c r="I287" s="148">
        <f t="shared" si="37"/>
        <v>93063.772038453142</v>
      </c>
      <c r="J287" s="148">
        <f>SUM($H$18:$H287)</f>
        <v>167267.85911481266</v>
      </c>
    </row>
    <row r="288" spans="1:10" x14ac:dyDescent="0.2">
      <c r="A288" s="146">
        <f>IF(Values_Entered,A287+1,"")</f>
        <v>271</v>
      </c>
      <c r="B288" s="147">
        <f t="shared" si="32"/>
        <v>50557</v>
      </c>
      <c r="C288" s="148">
        <f t="shared" si="38"/>
        <v>93063.772038453142</v>
      </c>
      <c r="D288" s="148">
        <f t="shared" si="33"/>
        <v>1200.75587806059</v>
      </c>
      <c r="E288" s="149">
        <f t="shared" si="34"/>
        <v>0</v>
      </c>
      <c r="F288" s="148">
        <f t="shared" si="35"/>
        <v>1200.75587806059</v>
      </c>
      <c r="G288" s="148">
        <f t="shared" si="36"/>
        <v>886.66564743081062</v>
      </c>
      <c r="H288" s="148">
        <f t="shared" si="39"/>
        <v>314.09023062977934</v>
      </c>
      <c r="I288" s="148">
        <f t="shared" si="37"/>
        <v>92177.106391022331</v>
      </c>
      <c r="J288" s="148">
        <f>SUM($H$18:$H288)</f>
        <v>167581.94934544244</v>
      </c>
    </row>
    <row r="289" spans="1:10" x14ac:dyDescent="0.2">
      <c r="A289" s="146">
        <f>IF(Values_Entered,A288+1,"")</f>
        <v>272</v>
      </c>
      <c r="B289" s="147">
        <f t="shared" si="32"/>
        <v>50587</v>
      </c>
      <c r="C289" s="148">
        <f t="shared" si="38"/>
        <v>92177.106391022331</v>
      </c>
      <c r="D289" s="148">
        <f t="shared" si="33"/>
        <v>1200.75587806059</v>
      </c>
      <c r="E289" s="149">
        <f t="shared" si="34"/>
        <v>0</v>
      </c>
      <c r="F289" s="148">
        <f t="shared" si="35"/>
        <v>1200.75587806059</v>
      </c>
      <c r="G289" s="148">
        <f t="shared" si="36"/>
        <v>889.65814399088958</v>
      </c>
      <c r="H289" s="148">
        <f t="shared" si="39"/>
        <v>311.09773406970038</v>
      </c>
      <c r="I289" s="148">
        <f t="shared" si="37"/>
        <v>91287.44824703144</v>
      </c>
      <c r="J289" s="148">
        <f>SUM($H$18:$H289)</f>
        <v>167893.04707951215</v>
      </c>
    </row>
    <row r="290" spans="1:10" x14ac:dyDescent="0.2">
      <c r="A290" s="146">
        <f>IF(Values_Entered,A289+1,"")</f>
        <v>273</v>
      </c>
      <c r="B290" s="147">
        <f t="shared" si="32"/>
        <v>50618</v>
      </c>
      <c r="C290" s="148">
        <f t="shared" si="38"/>
        <v>91287.44824703144</v>
      </c>
      <c r="D290" s="148">
        <f t="shared" si="33"/>
        <v>1200.75587806059</v>
      </c>
      <c r="E290" s="149">
        <f t="shared" si="34"/>
        <v>0</v>
      </c>
      <c r="F290" s="148">
        <f t="shared" si="35"/>
        <v>1200.75587806059</v>
      </c>
      <c r="G290" s="148">
        <f t="shared" si="36"/>
        <v>892.66074022685893</v>
      </c>
      <c r="H290" s="148">
        <f t="shared" si="39"/>
        <v>308.09513783373114</v>
      </c>
      <c r="I290" s="148">
        <f t="shared" si="37"/>
        <v>90394.787506804583</v>
      </c>
      <c r="J290" s="148">
        <f>SUM($H$18:$H290)</f>
        <v>168201.14221734589</v>
      </c>
    </row>
    <row r="291" spans="1:10" x14ac:dyDescent="0.2">
      <c r="A291" s="146">
        <f>IF(Values_Entered,A290+1,"")</f>
        <v>274</v>
      </c>
      <c r="B291" s="147">
        <f t="shared" si="32"/>
        <v>50649</v>
      </c>
      <c r="C291" s="148">
        <f t="shared" si="38"/>
        <v>90394.787506804583</v>
      </c>
      <c r="D291" s="148">
        <f t="shared" si="33"/>
        <v>1200.75587806059</v>
      </c>
      <c r="E291" s="149">
        <f t="shared" si="34"/>
        <v>0</v>
      </c>
      <c r="F291" s="148">
        <f t="shared" si="35"/>
        <v>1200.75587806059</v>
      </c>
      <c r="G291" s="148">
        <f t="shared" si="36"/>
        <v>895.67347022512456</v>
      </c>
      <c r="H291" s="148">
        <f t="shared" si="39"/>
        <v>305.08240783546546</v>
      </c>
      <c r="I291" s="148">
        <f t="shared" si="37"/>
        <v>89499.114036579456</v>
      </c>
      <c r="J291" s="148">
        <f>SUM($H$18:$H291)</f>
        <v>168506.22462518135</v>
      </c>
    </row>
    <row r="292" spans="1:10" x14ac:dyDescent="0.2">
      <c r="A292" s="146">
        <f>IF(Values_Entered,A291+1,"")</f>
        <v>275</v>
      </c>
      <c r="B292" s="147">
        <f t="shared" si="32"/>
        <v>50679</v>
      </c>
      <c r="C292" s="148">
        <f t="shared" si="38"/>
        <v>89499.114036579456</v>
      </c>
      <c r="D292" s="148">
        <f t="shared" si="33"/>
        <v>1200.75587806059</v>
      </c>
      <c r="E292" s="149">
        <f t="shared" si="34"/>
        <v>0</v>
      </c>
      <c r="F292" s="148">
        <f t="shared" si="35"/>
        <v>1200.75587806059</v>
      </c>
      <c r="G292" s="148">
        <f t="shared" si="36"/>
        <v>898.69636818713434</v>
      </c>
      <c r="H292" s="148">
        <f t="shared" si="39"/>
        <v>302.05950987345568</v>
      </c>
      <c r="I292" s="148">
        <f t="shared" si="37"/>
        <v>88600.417668392329</v>
      </c>
      <c r="J292" s="148">
        <f>SUM($H$18:$H292)</f>
        <v>168808.2841350548</v>
      </c>
    </row>
    <row r="293" spans="1:10" x14ac:dyDescent="0.2">
      <c r="A293" s="146">
        <f>IF(Values_Entered,A292+1,"")</f>
        <v>276</v>
      </c>
      <c r="B293" s="147">
        <f t="shared" si="32"/>
        <v>50710</v>
      </c>
      <c r="C293" s="148">
        <f t="shared" si="38"/>
        <v>88600.417668392329</v>
      </c>
      <c r="D293" s="148">
        <f t="shared" si="33"/>
        <v>1200.75587806059</v>
      </c>
      <c r="E293" s="149">
        <f t="shared" si="34"/>
        <v>0</v>
      </c>
      <c r="F293" s="148">
        <f t="shared" si="35"/>
        <v>1200.75587806059</v>
      </c>
      <c r="G293" s="148">
        <f t="shared" si="36"/>
        <v>901.72946842976592</v>
      </c>
      <c r="H293" s="148">
        <f t="shared" si="39"/>
        <v>299.02640963082411</v>
      </c>
      <c r="I293" s="148">
        <f t="shared" si="37"/>
        <v>87698.688199962562</v>
      </c>
      <c r="J293" s="148">
        <f>SUM($H$18:$H293)</f>
        <v>169107.31054468564</v>
      </c>
    </row>
    <row r="294" spans="1:10" x14ac:dyDescent="0.2">
      <c r="A294" s="146">
        <f>IF(Values_Entered,A293+1,"")</f>
        <v>277</v>
      </c>
      <c r="B294" s="147">
        <f t="shared" si="32"/>
        <v>50740</v>
      </c>
      <c r="C294" s="148">
        <f t="shared" si="38"/>
        <v>87698.688199962562</v>
      </c>
      <c r="D294" s="148">
        <f t="shared" si="33"/>
        <v>1200.75587806059</v>
      </c>
      <c r="E294" s="149">
        <f t="shared" si="34"/>
        <v>0</v>
      </c>
      <c r="F294" s="148">
        <f t="shared" si="35"/>
        <v>1200.75587806059</v>
      </c>
      <c r="G294" s="148">
        <f t="shared" si="36"/>
        <v>904.77280538571631</v>
      </c>
      <c r="H294" s="148">
        <f t="shared" si="39"/>
        <v>295.98307267487365</v>
      </c>
      <c r="I294" s="148">
        <f t="shared" si="37"/>
        <v>86793.915394576848</v>
      </c>
      <c r="J294" s="148">
        <f>SUM($H$18:$H294)</f>
        <v>169403.2936173605</v>
      </c>
    </row>
    <row r="295" spans="1:10" x14ac:dyDescent="0.2">
      <c r="A295" s="146">
        <f>IF(Values_Entered,A294+1,"")</f>
        <v>278</v>
      </c>
      <c r="B295" s="147">
        <f t="shared" si="32"/>
        <v>50771</v>
      </c>
      <c r="C295" s="148">
        <f t="shared" si="38"/>
        <v>86793.915394576848</v>
      </c>
      <c r="D295" s="148">
        <f t="shared" si="33"/>
        <v>1200.75587806059</v>
      </c>
      <c r="E295" s="149">
        <f t="shared" si="34"/>
        <v>0</v>
      </c>
      <c r="F295" s="148">
        <f t="shared" si="35"/>
        <v>1200.75587806059</v>
      </c>
      <c r="G295" s="148">
        <f t="shared" si="36"/>
        <v>907.82641360389312</v>
      </c>
      <c r="H295" s="148">
        <f t="shared" si="39"/>
        <v>292.92946445669685</v>
      </c>
      <c r="I295" s="148">
        <f t="shared" si="37"/>
        <v>85886.088980972956</v>
      </c>
      <c r="J295" s="148">
        <f>SUM($H$18:$H295)</f>
        <v>169696.22308181718</v>
      </c>
    </row>
    <row r="296" spans="1:10" x14ac:dyDescent="0.2">
      <c r="A296" s="146">
        <f>IF(Values_Entered,A295+1,"")</f>
        <v>279</v>
      </c>
      <c r="B296" s="147">
        <f t="shared" si="32"/>
        <v>50802</v>
      </c>
      <c r="C296" s="148">
        <f t="shared" si="38"/>
        <v>85886.088980972956</v>
      </c>
      <c r="D296" s="148">
        <f t="shared" si="33"/>
        <v>1200.75587806059</v>
      </c>
      <c r="E296" s="149">
        <f t="shared" si="34"/>
        <v>0</v>
      </c>
      <c r="F296" s="148">
        <f t="shared" si="35"/>
        <v>1200.75587806059</v>
      </c>
      <c r="G296" s="148">
        <f t="shared" si="36"/>
        <v>910.89032774980637</v>
      </c>
      <c r="H296" s="148">
        <f t="shared" si="39"/>
        <v>289.8655503107837</v>
      </c>
      <c r="I296" s="148">
        <f t="shared" si="37"/>
        <v>84975.198653223153</v>
      </c>
      <c r="J296" s="148">
        <f>SUM($H$18:$H296)</f>
        <v>169986.08863212797</v>
      </c>
    </row>
    <row r="297" spans="1:10" x14ac:dyDescent="0.2">
      <c r="A297" s="146">
        <f>IF(Values_Entered,A296+1,"")</f>
        <v>280</v>
      </c>
      <c r="B297" s="147">
        <f t="shared" si="32"/>
        <v>50830</v>
      </c>
      <c r="C297" s="148">
        <f t="shared" si="38"/>
        <v>84975.198653223153</v>
      </c>
      <c r="D297" s="148">
        <f t="shared" si="33"/>
        <v>1200.75587806059</v>
      </c>
      <c r="E297" s="149">
        <f t="shared" si="34"/>
        <v>0</v>
      </c>
      <c r="F297" s="148">
        <f t="shared" si="35"/>
        <v>1200.75587806059</v>
      </c>
      <c r="G297" s="148">
        <f t="shared" si="36"/>
        <v>913.96458260596182</v>
      </c>
      <c r="H297" s="148">
        <f t="shared" si="39"/>
        <v>286.79129545462814</v>
      </c>
      <c r="I297" s="148">
        <f t="shared" si="37"/>
        <v>84061.234070617196</v>
      </c>
      <c r="J297" s="148">
        <f>SUM($H$18:$H297)</f>
        <v>170272.8799275826</v>
      </c>
    </row>
    <row r="298" spans="1:10" x14ac:dyDescent="0.2">
      <c r="A298" s="146">
        <f>IF(Values_Entered,A297+1,"")</f>
        <v>281</v>
      </c>
      <c r="B298" s="147">
        <f t="shared" si="32"/>
        <v>50861</v>
      </c>
      <c r="C298" s="148">
        <f t="shared" si="38"/>
        <v>84061.234070617196</v>
      </c>
      <c r="D298" s="148">
        <f t="shared" si="33"/>
        <v>1200.75587806059</v>
      </c>
      <c r="E298" s="149">
        <f t="shared" si="34"/>
        <v>0</v>
      </c>
      <c r="F298" s="148">
        <f t="shared" si="35"/>
        <v>1200.75587806059</v>
      </c>
      <c r="G298" s="148">
        <f t="shared" si="36"/>
        <v>917.04921307225698</v>
      </c>
      <c r="H298" s="148">
        <f t="shared" si="39"/>
        <v>283.70666498833305</v>
      </c>
      <c r="I298" s="148">
        <f t="shared" si="37"/>
        <v>83144.18485754494</v>
      </c>
      <c r="J298" s="148">
        <f>SUM($H$18:$H298)</f>
        <v>170556.58659257094</v>
      </c>
    </row>
    <row r="299" spans="1:10" x14ac:dyDescent="0.2">
      <c r="A299" s="146">
        <f>IF(Values_Entered,A298+1,"")</f>
        <v>282</v>
      </c>
      <c r="B299" s="147">
        <f t="shared" si="32"/>
        <v>50891</v>
      </c>
      <c r="C299" s="148">
        <f t="shared" si="38"/>
        <v>83144.18485754494</v>
      </c>
      <c r="D299" s="148">
        <f t="shared" si="33"/>
        <v>1200.75587806059</v>
      </c>
      <c r="E299" s="149">
        <f t="shared" si="34"/>
        <v>0</v>
      </c>
      <c r="F299" s="148">
        <f t="shared" si="35"/>
        <v>1200.75587806059</v>
      </c>
      <c r="G299" s="148">
        <f t="shared" si="36"/>
        <v>920.14425416637584</v>
      </c>
      <c r="H299" s="148">
        <f t="shared" si="39"/>
        <v>280.61162389421418</v>
      </c>
      <c r="I299" s="148">
        <f t="shared" si="37"/>
        <v>82224.040603378569</v>
      </c>
      <c r="J299" s="148">
        <f>SUM($H$18:$H299)</f>
        <v>170837.19821646516</v>
      </c>
    </row>
    <row r="300" spans="1:10" x14ac:dyDescent="0.2">
      <c r="A300" s="146">
        <f>IF(Values_Entered,A299+1,"")</f>
        <v>283</v>
      </c>
      <c r="B300" s="147">
        <f t="shared" si="32"/>
        <v>50922</v>
      </c>
      <c r="C300" s="148">
        <f t="shared" si="38"/>
        <v>82224.040603378569</v>
      </c>
      <c r="D300" s="148">
        <f t="shared" si="33"/>
        <v>1200.75587806059</v>
      </c>
      <c r="E300" s="149">
        <f t="shared" si="34"/>
        <v>0</v>
      </c>
      <c r="F300" s="148">
        <f t="shared" si="35"/>
        <v>1200.75587806059</v>
      </c>
      <c r="G300" s="148">
        <f t="shared" si="36"/>
        <v>923.24974102418741</v>
      </c>
      <c r="H300" s="148">
        <f t="shared" si="39"/>
        <v>277.50613703640266</v>
      </c>
      <c r="I300" s="148">
        <f t="shared" si="37"/>
        <v>81300.790862354377</v>
      </c>
      <c r="J300" s="148">
        <f>SUM($H$18:$H300)</f>
        <v>171114.70435350155</v>
      </c>
    </row>
    <row r="301" spans="1:10" x14ac:dyDescent="0.2">
      <c r="A301" s="146">
        <f>IF(Values_Entered,A300+1,"")</f>
        <v>284</v>
      </c>
      <c r="B301" s="147">
        <f t="shared" si="32"/>
        <v>50952</v>
      </c>
      <c r="C301" s="148">
        <f t="shared" si="38"/>
        <v>81300.790862354377</v>
      </c>
      <c r="D301" s="148">
        <f t="shared" si="33"/>
        <v>1200.75587806059</v>
      </c>
      <c r="E301" s="149">
        <f t="shared" si="34"/>
        <v>0</v>
      </c>
      <c r="F301" s="148">
        <f t="shared" si="35"/>
        <v>1200.75587806059</v>
      </c>
      <c r="G301" s="148">
        <f t="shared" si="36"/>
        <v>926.365708900144</v>
      </c>
      <c r="H301" s="148">
        <f t="shared" si="39"/>
        <v>274.39016916044602</v>
      </c>
      <c r="I301" s="148">
        <f t="shared" si="37"/>
        <v>80374.425153454227</v>
      </c>
      <c r="J301" s="148">
        <f>SUM($H$18:$H301)</f>
        <v>171389.094522662</v>
      </c>
    </row>
    <row r="302" spans="1:10" x14ac:dyDescent="0.2">
      <c r="A302" s="146">
        <f>IF(Values_Entered,A301+1,"")</f>
        <v>285</v>
      </c>
      <c r="B302" s="147">
        <f t="shared" si="32"/>
        <v>50983</v>
      </c>
      <c r="C302" s="148">
        <f t="shared" si="38"/>
        <v>80374.425153454227</v>
      </c>
      <c r="D302" s="148">
        <f t="shared" si="33"/>
        <v>1200.75587806059</v>
      </c>
      <c r="E302" s="149">
        <f t="shared" si="34"/>
        <v>0</v>
      </c>
      <c r="F302" s="148">
        <f t="shared" si="35"/>
        <v>1200.75587806059</v>
      </c>
      <c r="G302" s="148">
        <f t="shared" si="36"/>
        <v>929.49219316768199</v>
      </c>
      <c r="H302" s="148">
        <f t="shared" si="39"/>
        <v>271.26368489290803</v>
      </c>
      <c r="I302" s="148">
        <f t="shared" si="37"/>
        <v>79444.932960286547</v>
      </c>
      <c r="J302" s="148">
        <f>SUM($H$18:$H302)</f>
        <v>171660.35820755491</v>
      </c>
    </row>
    <row r="303" spans="1:10" x14ac:dyDescent="0.2">
      <c r="A303" s="146">
        <f>IF(Values_Entered,A302+1,"")</f>
        <v>286</v>
      </c>
      <c r="B303" s="147">
        <f t="shared" si="32"/>
        <v>51014</v>
      </c>
      <c r="C303" s="148">
        <f t="shared" si="38"/>
        <v>79444.932960286547</v>
      </c>
      <c r="D303" s="148">
        <f t="shared" si="33"/>
        <v>1200.75587806059</v>
      </c>
      <c r="E303" s="149">
        <f t="shared" si="34"/>
        <v>0</v>
      </c>
      <c r="F303" s="148">
        <f t="shared" si="35"/>
        <v>1200.75587806059</v>
      </c>
      <c r="G303" s="148">
        <f t="shared" si="36"/>
        <v>932.62922931962294</v>
      </c>
      <c r="H303" s="148">
        <f t="shared" si="39"/>
        <v>268.12664874096714</v>
      </c>
      <c r="I303" s="148">
        <f t="shared" si="37"/>
        <v>78512.303730966931</v>
      </c>
      <c r="J303" s="148">
        <f>SUM($H$18:$H303)</f>
        <v>171928.48485629587</v>
      </c>
    </row>
    <row r="304" spans="1:10" x14ac:dyDescent="0.2">
      <c r="A304" s="146">
        <f>IF(Values_Entered,A303+1,"")</f>
        <v>287</v>
      </c>
      <c r="B304" s="147">
        <f t="shared" si="32"/>
        <v>51044</v>
      </c>
      <c r="C304" s="148">
        <f t="shared" si="38"/>
        <v>78512.303730966931</v>
      </c>
      <c r="D304" s="148">
        <f t="shared" si="33"/>
        <v>1200.75587806059</v>
      </c>
      <c r="E304" s="149">
        <f t="shared" si="34"/>
        <v>0</v>
      </c>
      <c r="F304" s="148">
        <f t="shared" si="35"/>
        <v>1200.75587806059</v>
      </c>
      <c r="G304" s="148">
        <f t="shared" si="36"/>
        <v>935.77685296857658</v>
      </c>
      <c r="H304" s="148">
        <f t="shared" si="39"/>
        <v>264.97902509201339</v>
      </c>
      <c r="I304" s="148">
        <f t="shared" si="37"/>
        <v>77576.52687799836</v>
      </c>
      <c r="J304" s="148">
        <f>SUM($H$18:$H304)</f>
        <v>172193.46388138787</v>
      </c>
    </row>
    <row r="305" spans="1:10" x14ac:dyDescent="0.2">
      <c r="A305" s="146">
        <f>IF(Values_Entered,A304+1,"")</f>
        <v>288</v>
      </c>
      <c r="B305" s="147">
        <f t="shared" si="32"/>
        <v>51075</v>
      </c>
      <c r="C305" s="148">
        <f t="shared" si="38"/>
        <v>77576.52687799836</v>
      </c>
      <c r="D305" s="148">
        <f t="shared" si="33"/>
        <v>1200.75587806059</v>
      </c>
      <c r="E305" s="149">
        <f t="shared" si="34"/>
        <v>0</v>
      </c>
      <c r="F305" s="148">
        <f t="shared" si="35"/>
        <v>1200.75587806059</v>
      </c>
      <c r="G305" s="148">
        <f t="shared" si="36"/>
        <v>938.93509984734555</v>
      </c>
      <c r="H305" s="148">
        <f t="shared" si="39"/>
        <v>261.82077821324447</v>
      </c>
      <c r="I305" s="148">
        <f t="shared" si="37"/>
        <v>76637.591778151022</v>
      </c>
      <c r="J305" s="148">
        <f>SUM($H$18:$H305)</f>
        <v>172455.28465960111</v>
      </c>
    </row>
    <row r="306" spans="1:10" x14ac:dyDescent="0.2">
      <c r="A306" s="146">
        <f>IF(Values_Entered,A305+1,"")</f>
        <v>289</v>
      </c>
      <c r="B306" s="147">
        <f t="shared" si="32"/>
        <v>51105</v>
      </c>
      <c r="C306" s="148">
        <f t="shared" si="38"/>
        <v>76637.591778151022</v>
      </c>
      <c r="D306" s="148">
        <f t="shared" si="33"/>
        <v>1200.75587806059</v>
      </c>
      <c r="E306" s="149">
        <f t="shared" si="34"/>
        <v>0</v>
      </c>
      <c r="F306" s="148">
        <f t="shared" si="35"/>
        <v>1200.75587806059</v>
      </c>
      <c r="G306" s="148">
        <f t="shared" si="36"/>
        <v>942.10400580933037</v>
      </c>
      <c r="H306" s="148">
        <f t="shared" si="39"/>
        <v>258.6518722512597</v>
      </c>
      <c r="I306" s="148">
        <f t="shared" si="37"/>
        <v>75695.487772341687</v>
      </c>
      <c r="J306" s="148">
        <f>SUM($H$18:$H306)</f>
        <v>172713.93653185238</v>
      </c>
    </row>
    <row r="307" spans="1:10" x14ac:dyDescent="0.2">
      <c r="A307" s="146">
        <f>IF(Values_Entered,A306+1,"")</f>
        <v>290</v>
      </c>
      <c r="B307" s="147">
        <f t="shared" si="32"/>
        <v>51136</v>
      </c>
      <c r="C307" s="148">
        <f t="shared" si="38"/>
        <v>75695.487772341687</v>
      </c>
      <c r="D307" s="148">
        <f t="shared" si="33"/>
        <v>1200.75587806059</v>
      </c>
      <c r="E307" s="149">
        <f t="shared" si="34"/>
        <v>0</v>
      </c>
      <c r="F307" s="148">
        <f t="shared" si="35"/>
        <v>1200.75587806059</v>
      </c>
      <c r="G307" s="148">
        <f t="shared" si="36"/>
        <v>945.28360682893685</v>
      </c>
      <c r="H307" s="148">
        <f t="shared" si="39"/>
        <v>255.4722712316532</v>
      </c>
      <c r="I307" s="148">
        <f t="shared" si="37"/>
        <v>74750.204165512754</v>
      </c>
      <c r="J307" s="148">
        <f>SUM($H$18:$H307)</f>
        <v>172969.40880308402</v>
      </c>
    </row>
    <row r="308" spans="1:10" x14ac:dyDescent="0.2">
      <c r="A308" s="146">
        <f>IF(Values_Entered,A307+1,"")</f>
        <v>291</v>
      </c>
      <c r="B308" s="147">
        <f t="shared" si="32"/>
        <v>51167</v>
      </c>
      <c r="C308" s="148">
        <f t="shared" si="38"/>
        <v>74750.204165512754</v>
      </c>
      <c r="D308" s="148">
        <f t="shared" si="33"/>
        <v>1200.75587806059</v>
      </c>
      <c r="E308" s="149">
        <f t="shared" si="34"/>
        <v>0</v>
      </c>
      <c r="F308" s="148">
        <f t="shared" si="35"/>
        <v>1200.75587806059</v>
      </c>
      <c r="G308" s="148">
        <f t="shared" si="36"/>
        <v>948.47393900198449</v>
      </c>
      <c r="H308" s="148">
        <f t="shared" si="39"/>
        <v>252.28193905860556</v>
      </c>
      <c r="I308" s="148">
        <f t="shared" si="37"/>
        <v>73801.730226510772</v>
      </c>
      <c r="J308" s="148">
        <f>SUM($H$18:$H308)</f>
        <v>173221.69074214261</v>
      </c>
    </row>
    <row r="309" spans="1:10" x14ac:dyDescent="0.2">
      <c r="A309" s="146">
        <f>IF(Values_Entered,A308+1,"")</f>
        <v>292</v>
      </c>
      <c r="B309" s="147">
        <f t="shared" si="32"/>
        <v>51196</v>
      </c>
      <c r="C309" s="148">
        <f t="shared" si="38"/>
        <v>73801.730226510772</v>
      </c>
      <c r="D309" s="148">
        <f t="shared" si="33"/>
        <v>1200.75587806059</v>
      </c>
      <c r="E309" s="149">
        <f t="shared" si="34"/>
        <v>0</v>
      </c>
      <c r="F309" s="148">
        <f t="shared" si="35"/>
        <v>1200.75587806059</v>
      </c>
      <c r="G309" s="148">
        <f t="shared" si="36"/>
        <v>951.67503854611618</v>
      </c>
      <c r="H309" s="148">
        <f t="shared" si="39"/>
        <v>249.08083951447387</v>
      </c>
      <c r="I309" s="148">
        <f t="shared" si="37"/>
        <v>72850.055187964652</v>
      </c>
      <c r="J309" s="148">
        <f>SUM($H$18:$H309)</f>
        <v>173470.77158165709</v>
      </c>
    </row>
    <row r="310" spans="1:10" x14ac:dyDescent="0.2">
      <c r="A310" s="146">
        <f>IF(Values_Entered,A309+1,"")</f>
        <v>293</v>
      </c>
      <c r="B310" s="147">
        <f t="shared" si="32"/>
        <v>51227</v>
      </c>
      <c r="C310" s="148">
        <f t="shared" si="38"/>
        <v>72850.055187964652</v>
      </c>
      <c r="D310" s="148">
        <f t="shared" si="33"/>
        <v>1200.75587806059</v>
      </c>
      <c r="E310" s="149">
        <f t="shared" si="34"/>
        <v>0</v>
      </c>
      <c r="F310" s="148">
        <f t="shared" si="35"/>
        <v>1200.75587806059</v>
      </c>
      <c r="G310" s="148">
        <f t="shared" si="36"/>
        <v>954.88694180120933</v>
      </c>
      <c r="H310" s="148">
        <f t="shared" si="39"/>
        <v>245.86893625938069</v>
      </c>
      <c r="I310" s="148">
        <f t="shared" si="37"/>
        <v>71895.168246163448</v>
      </c>
      <c r="J310" s="148">
        <f>SUM($H$18:$H310)</f>
        <v>173716.64051791647</v>
      </c>
    </row>
    <row r="311" spans="1:10" x14ac:dyDescent="0.2">
      <c r="A311" s="146">
        <f>IF(Values_Entered,A310+1,"")</f>
        <v>294</v>
      </c>
      <c r="B311" s="147">
        <f t="shared" si="32"/>
        <v>51257</v>
      </c>
      <c r="C311" s="148">
        <f t="shared" si="38"/>
        <v>71895.168246163448</v>
      </c>
      <c r="D311" s="148">
        <f t="shared" si="33"/>
        <v>1200.75587806059</v>
      </c>
      <c r="E311" s="149">
        <f t="shared" si="34"/>
        <v>0</v>
      </c>
      <c r="F311" s="148">
        <f t="shared" si="35"/>
        <v>1200.75587806059</v>
      </c>
      <c r="G311" s="148">
        <f t="shared" si="36"/>
        <v>958.1096852297884</v>
      </c>
      <c r="H311" s="148">
        <f t="shared" si="39"/>
        <v>242.64619283080165</v>
      </c>
      <c r="I311" s="148">
        <f t="shared" si="37"/>
        <v>70937.058560933656</v>
      </c>
      <c r="J311" s="148">
        <f>SUM($H$18:$H311)</f>
        <v>173959.28671074728</v>
      </c>
    </row>
    <row r="312" spans="1:10" x14ac:dyDescent="0.2">
      <c r="A312" s="146">
        <f>IF(Values_Entered,A311+1,"")</f>
        <v>295</v>
      </c>
      <c r="B312" s="147">
        <f t="shared" si="32"/>
        <v>51288</v>
      </c>
      <c r="C312" s="148">
        <f t="shared" si="38"/>
        <v>70937.058560933656</v>
      </c>
      <c r="D312" s="148">
        <f t="shared" si="33"/>
        <v>1200.75587806059</v>
      </c>
      <c r="E312" s="149">
        <f t="shared" si="34"/>
        <v>0</v>
      </c>
      <c r="F312" s="148">
        <f t="shared" si="35"/>
        <v>1200.75587806059</v>
      </c>
      <c r="G312" s="148">
        <f t="shared" si="36"/>
        <v>961.34330541743896</v>
      </c>
      <c r="H312" s="148">
        <f t="shared" si="39"/>
        <v>239.41257264315109</v>
      </c>
      <c r="I312" s="148">
        <f t="shared" si="37"/>
        <v>69975.715255516217</v>
      </c>
      <c r="J312" s="148">
        <f>SUM($H$18:$H312)</f>
        <v>174198.69928339042</v>
      </c>
    </row>
    <row r="313" spans="1:10" x14ac:dyDescent="0.2">
      <c r="A313" s="146">
        <f>IF(Values_Entered,A312+1,"")</f>
        <v>296</v>
      </c>
      <c r="B313" s="147">
        <f t="shared" si="32"/>
        <v>51318</v>
      </c>
      <c r="C313" s="148">
        <f t="shared" si="38"/>
        <v>69975.715255516217</v>
      </c>
      <c r="D313" s="148">
        <f t="shared" si="33"/>
        <v>1200.75587806059</v>
      </c>
      <c r="E313" s="149">
        <f t="shared" si="34"/>
        <v>0</v>
      </c>
      <c r="F313" s="148">
        <f t="shared" si="35"/>
        <v>1200.75587806059</v>
      </c>
      <c r="G313" s="148">
        <f t="shared" si="36"/>
        <v>964.58783907322277</v>
      </c>
      <c r="H313" s="148">
        <f t="shared" si="39"/>
        <v>236.16803898736725</v>
      </c>
      <c r="I313" s="148">
        <f t="shared" si="37"/>
        <v>69011.127416442992</v>
      </c>
      <c r="J313" s="148">
        <f>SUM($H$18:$H313)</f>
        <v>174434.8673223778</v>
      </c>
    </row>
    <row r="314" spans="1:10" x14ac:dyDescent="0.2">
      <c r="A314" s="146">
        <f>IF(Values_Entered,A313+1,"")</f>
        <v>297</v>
      </c>
      <c r="B314" s="147">
        <f t="shared" si="32"/>
        <v>51349</v>
      </c>
      <c r="C314" s="148">
        <f t="shared" si="38"/>
        <v>69011.127416442992</v>
      </c>
      <c r="D314" s="148">
        <f t="shared" si="33"/>
        <v>1200.75587806059</v>
      </c>
      <c r="E314" s="149">
        <f t="shared" si="34"/>
        <v>0</v>
      </c>
      <c r="F314" s="148">
        <f t="shared" si="35"/>
        <v>1200.75587806059</v>
      </c>
      <c r="G314" s="148">
        <f t="shared" si="36"/>
        <v>967.84332303009489</v>
      </c>
      <c r="H314" s="148">
        <f t="shared" si="39"/>
        <v>232.9125550304951</v>
      </c>
      <c r="I314" s="148">
        <f t="shared" si="37"/>
        <v>68043.284093412891</v>
      </c>
      <c r="J314" s="148">
        <f>SUM($H$18:$H314)</f>
        <v>174667.77987740829</v>
      </c>
    </row>
    <row r="315" spans="1:10" x14ac:dyDescent="0.2">
      <c r="A315" s="146">
        <f>IF(Values_Entered,A314+1,"")</f>
        <v>298</v>
      </c>
      <c r="B315" s="147">
        <f t="shared" si="32"/>
        <v>51380</v>
      </c>
      <c r="C315" s="148">
        <f t="shared" si="38"/>
        <v>68043.284093412891</v>
      </c>
      <c r="D315" s="148">
        <f t="shared" si="33"/>
        <v>1200.75587806059</v>
      </c>
      <c r="E315" s="149">
        <f t="shared" si="34"/>
        <v>0</v>
      </c>
      <c r="F315" s="148">
        <f t="shared" si="35"/>
        <v>1200.75587806059</v>
      </c>
      <c r="G315" s="148">
        <f t="shared" si="36"/>
        <v>971.1097942453215</v>
      </c>
      <c r="H315" s="148">
        <f t="shared" si="39"/>
        <v>229.64608381526853</v>
      </c>
      <c r="I315" s="148">
        <f t="shared" si="37"/>
        <v>67072.174299167571</v>
      </c>
      <c r="J315" s="148">
        <f>SUM($H$18:$H315)</f>
        <v>174897.42596122355</v>
      </c>
    </row>
    <row r="316" spans="1:10" x14ac:dyDescent="0.2">
      <c r="A316" s="146">
        <f>IF(Values_Entered,A315+1,"")</f>
        <v>299</v>
      </c>
      <c r="B316" s="147">
        <f t="shared" si="32"/>
        <v>51410</v>
      </c>
      <c r="C316" s="148">
        <f t="shared" si="38"/>
        <v>67072.174299167571</v>
      </c>
      <c r="D316" s="148">
        <f t="shared" si="33"/>
        <v>1200.75587806059</v>
      </c>
      <c r="E316" s="149">
        <f t="shared" si="34"/>
        <v>0</v>
      </c>
      <c r="F316" s="148">
        <f t="shared" si="35"/>
        <v>1200.75587806059</v>
      </c>
      <c r="G316" s="148">
        <f t="shared" si="36"/>
        <v>974.38728980089945</v>
      </c>
      <c r="H316" s="148">
        <f t="shared" si="39"/>
        <v>226.36858825969057</v>
      </c>
      <c r="I316" s="148">
        <f t="shared" si="37"/>
        <v>66097.787009366672</v>
      </c>
      <c r="J316" s="148">
        <f>SUM($H$18:$H316)</f>
        <v>175123.79454948322</v>
      </c>
    </row>
    <row r="317" spans="1:10" x14ac:dyDescent="0.2">
      <c r="A317" s="146">
        <f>IF(Values_Entered,A316+1,"")</f>
        <v>300</v>
      </c>
      <c r="B317" s="147">
        <f t="shared" si="32"/>
        <v>51441</v>
      </c>
      <c r="C317" s="148">
        <f t="shared" si="38"/>
        <v>66097.787009366672</v>
      </c>
      <c r="D317" s="148">
        <f t="shared" si="33"/>
        <v>1200.75587806059</v>
      </c>
      <c r="E317" s="149">
        <f t="shared" si="34"/>
        <v>0</v>
      </c>
      <c r="F317" s="148">
        <f t="shared" si="35"/>
        <v>1200.75587806059</v>
      </c>
      <c r="G317" s="148">
        <f t="shared" si="36"/>
        <v>977.67584690397746</v>
      </c>
      <c r="H317" s="148">
        <f t="shared" si="39"/>
        <v>223.08003115661253</v>
      </c>
      <c r="I317" s="148">
        <f t="shared" si="37"/>
        <v>65120.111162462694</v>
      </c>
      <c r="J317" s="148">
        <f>SUM($H$18:$H317)</f>
        <v>175346.87458063982</v>
      </c>
    </row>
    <row r="318" spans="1:10" x14ac:dyDescent="0.2">
      <c r="A318" s="146">
        <f>IF(Values_Entered,A317+1,"")</f>
        <v>301</v>
      </c>
      <c r="B318" s="147">
        <f t="shared" si="32"/>
        <v>51471</v>
      </c>
      <c r="C318" s="148">
        <f t="shared" si="38"/>
        <v>65120.111162462694</v>
      </c>
      <c r="D318" s="148">
        <f t="shared" si="33"/>
        <v>1200.75587806059</v>
      </c>
      <c r="E318" s="149">
        <f t="shared" si="34"/>
        <v>0</v>
      </c>
      <c r="F318" s="148">
        <f t="shared" si="35"/>
        <v>1200.75587806059</v>
      </c>
      <c r="G318" s="148">
        <f t="shared" si="36"/>
        <v>980.97550288727837</v>
      </c>
      <c r="H318" s="148">
        <f t="shared" si="39"/>
        <v>219.78037517331163</v>
      </c>
      <c r="I318" s="148">
        <f t="shared" si="37"/>
        <v>64139.135659575419</v>
      </c>
      <c r="J318" s="148">
        <f>SUM($H$18:$H318)</f>
        <v>175566.65495581314</v>
      </c>
    </row>
    <row r="319" spans="1:10" x14ac:dyDescent="0.2">
      <c r="A319" s="146">
        <f>IF(Values_Entered,A318+1,"")</f>
        <v>302</v>
      </c>
      <c r="B319" s="147">
        <f t="shared" si="32"/>
        <v>51502</v>
      </c>
      <c r="C319" s="148">
        <f t="shared" si="38"/>
        <v>64139.135659575419</v>
      </c>
      <c r="D319" s="148">
        <f t="shared" si="33"/>
        <v>1200.75587806059</v>
      </c>
      <c r="E319" s="149">
        <f t="shared" si="34"/>
        <v>0</v>
      </c>
      <c r="F319" s="148">
        <f t="shared" si="35"/>
        <v>1200.75587806059</v>
      </c>
      <c r="G319" s="148">
        <f t="shared" si="36"/>
        <v>984.28629520952302</v>
      </c>
      <c r="H319" s="148">
        <f t="shared" si="39"/>
        <v>216.46958285106703</v>
      </c>
      <c r="I319" s="148">
        <f t="shared" si="37"/>
        <v>63154.849364365895</v>
      </c>
      <c r="J319" s="148">
        <f>SUM($H$18:$H319)</f>
        <v>175783.12453866421</v>
      </c>
    </row>
    <row r="320" spans="1:10" x14ac:dyDescent="0.2">
      <c r="A320" s="146">
        <f>IF(Values_Entered,A319+1,"")</f>
        <v>303</v>
      </c>
      <c r="B320" s="147">
        <f t="shared" si="32"/>
        <v>51533</v>
      </c>
      <c r="C320" s="148">
        <f t="shared" si="38"/>
        <v>63154.849364365895</v>
      </c>
      <c r="D320" s="148">
        <f t="shared" si="33"/>
        <v>1200.75587806059</v>
      </c>
      <c r="E320" s="149">
        <f t="shared" si="34"/>
        <v>0</v>
      </c>
      <c r="F320" s="148">
        <f t="shared" si="35"/>
        <v>1200.75587806059</v>
      </c>
      <c r="G320" s="148">
        <f t="shared" si="36"/>
        <v>987.60826145585509</v>
      </c>
      <c r="H320" s="148">
        <f t="shared" si="39"/>
        <v>213.14761660473491</v>
      </c>
      <c r="I320" s="148">
        <f t="shared" si="37"/>
        <v>62167.24110291004</v>
      </c>
      <c r="J320" s="148">
        <f>SUM($H$18:$H320)</f>
        <v>175996.27215526893</v>
      </c>
    </row>
    <row r="321" spans="1:10" x14ac:dyDescent="0.2">
      <c r="A321" s="146">
        <f>IF(Values_Entered,A320+1,"")</f>
        <v>304</v>
      </c>
      <c r="B321" s="147">
        <f t="shared" si="32"/>
        <v>51561</v>
      </c>
      <c r="C321" s="148">
        <f t="shared" si="38"/>
        <v>62167.24110291004</v>
      </c>
      <c r="D321" s="148">
        <f t="shared" si="33"/>
        <v>1200.75587806059</v>
      </c>
      <c r="E321" s="149">
        <f t="shared" si="34"/>
        <v>0</v>
      </c>
      <c r="F321" s="148">
        <f t="shared" si="35"/>
        <v>1200.75587806059</v>
      </c>
      <c r="G321" s="148">
        <f t="shared" si="36"/>
        <v>990.94143933826865</v>
      </c>
      <c r="H321" s="148">
        <f t="shared" si="39"/>
        <v>209.8144387223214</v>
      </c>
      <c r="I321" s="148">
        <f t="shared" si="37"/>
        <v>61176.299663571772</v>
      </c>
      <c r="J321" s="148">
        <f>SUM($H$18:$H321)</f>
        <v>176206.08659399126</v>
      </c>
    </row>
    <row r="322" spans="1:10" x14ac:dyDescent="0.2">
      <c r="A322" s="146">
        <f>IF(Values_Entered,A321+1,"")</f>
        <v>305</v>
      </c>
      <c r="B322" s="147">
        <f t="shared" si="32"/>
        <v>51592</v>
      </c>
      <c r="C322" s="148">
        <f t="shared" si="38"/>
        <v>61176.299663571772</v>
      </c>
      <c r="D322" s="148">
        <f t="shared" si="33"/>
        <v>1200.75587806059</v>
      </c>
      <c r="E322" s="149">
        <f t="shared" si="34"/>
        <v>0</v>
      </c>
      <c r="F322" s="148">
        <f t="shared" si="35"/>
        <v>1200.75587806059</v>
      </c>
      <c r="G322" s="148">
        <f t="shared" si="36"/>
        <v>994.28586669603533</v>
      </c>
      <c r="H322" s="148">
        <f t="shared" si="39"/>
        <v>206.47001136455472</v>
      </c>
      <c r="I322" s="148">
        <f t="shared" si="37"/>
        <v>60182.013796875734</v>
      </c>
      <c r="J322" s="148">
        <f>SUM($H$18:$H322)</f>
        <v>176412.55660535581</v>
      </c>
    </row>
    <row r="323" spans="1:10" x14ac:dyDescent="0.2">
      <c r="A323" s="146">
        <f>IF(Values_Entered,A322+1,"")</f>
        <v>306</v>
      </c>
      <c r="B323" s="147">
        <f t="shared" si="32"/>
        <v>51622</v>
      </c>
      <c r="C323" s="148">
        <f t="shared" si="38"/>
        <v>60182.013796875734</v>
      </c>
      <c r="D323" s="148">
        <f t="shared" si="33"/>
        <v>1200.75587806059</v>
      </c>
      <c r="E323" s="149">
        <f t="shared" si="34"/>
        <v>0</v>
      </c>
      <c r="F323" s="148">
        <f t="shared" si="35"/>
        <v>1200.75587806059</v>
      </c>
      <c r="G323" s="148">
        <f t="shared" si="36"/>
        <v>997.64158149613445</v>
      </c>
      <c r="H323" s="148">
        <f t="shared" si="39"/>
        <v>203.1142965644556</v>
      </c>
      <c r="I323" s="148">
        <f t="shared" si="37"/>
        <v>59184.372215379597</v>
      </c>
      <c r="J323" s="148">
        <f>SUM($H$18:$H323)</f>
        <v>176615.67090192027</v>
      </c>
    </row>
    <row r="324" spans="1:10" x14ac:dyDescent="0.2">
      <c r="A324" s="146">
        <f>IF(Values_Entered,A323+1,"")</f>
        <v>307</v>
      </c>
      <c r="B324" s="147">
        <f t="shared" si="32"/>
        <v>51653</v>
      </c>
      <c r="C324" s="148">
        <f t="shared" si="38"/>
        <v>59184.372215379597</v>
      </c>
      <c r="D324" s="148">
        <f t="shared" si="33"/>
        <v>1200.75587806059</v>
      </c>
      <c r="E324" s="149">
        <f t="shared" si="34"/>
        <v>0</v>
      </c>
      <c r="F324" s="148">
        <f t="shared" si="35"/>
        <v>1200.75587806059</v>
      </c>
      <c r="G324" s="148">
        <f t="shared" si="36"/>
        <v>1001.0086218336838</v>
      </c>
      <c r="H324" s="148">
        <f t="shared" si="39"/>
        <v>199.74725622690616</v>
      </c>
      <c r="I324" s="148">
        <f t="shared" si="37"/>
        <v>58183.36359354591</v>
      </c>
      <c r="J324" s="148">
        <f>SUM($H$18:$H324)</f>
        <v>176815.41815814716</v>
      </c>
    </row>
    <row r="325" spans="1:10" x14ac:dyDescent="0.2">
      <c r="A325" s="146">
        <f>IF(Values_Entered,A324+1,"")</f>
        <v>308</v>
      </c>
      <c r="B325" s="147">
        <f t="shared" si="32"/>
        <v>51683</v>
      </c>
      <c r="C325" s="148">
        <f t="shared" si="38"/>
        <v>58183.36359354591</v>
      </c>
      <c r="D325" s="148">
        <f t="shared" si="33"/>
        <v>1200.75587806059</v>
      </c>
      <c r="E325" s="149">
        <f t="shared" si="34"/>
        <v>0</v>
      </c>
      <c r="F325" s="148">
        <f t="shared" si="35"/>
        <v>1200.75587806059</v>
      </c>
      <c r="G325" s="148">
        <f t="shared" si="36"/>
        <v>1004.3870259323726</v>
      </c>
      <c r="H325" s="148">
        <f t="shared" si="39"/>
        <v>196.36885212821744</v>
      </c>
      <c r="I325" s="148">
        <f t="shared" si="37"/>
        <v>57178.976567613536</v>
      </c>
      <c r="J325" s="148">
        <f>SUM($H$18:$H325)</f>
        <v>177011.78701027538</v>
      </c>
    </row>
    <row r="326" spans="1:10" x14ac:dyDescent="0.2">
      <c r="A326" s="146">
        <f>IF(Values_Entered,A325+1,"")</f>
        <v>309</v>
      </c>
      <c r="B326" s="147">
        <f t="shared" si="32"/>
        <v>51714</v>
      </c>
      <c r="C326" s="148">
        <f t="shared" si="38"/>
        <v>57178.976567613536</v>
      </c>
      <c r="D326" s="148">
        <f t="shared" si="33"/>
        <v>1200.75587806059</v>
      </c>
      <c r="E326" s="149">
        <f t="shared" si="34"/>
        <v>0</v>
      </c>
      <c r="F326" s="148">
        <f t="shared" si="35"/>
        <v>1200.75587806059</v>
      </c>
      <c r="G326" s="148">
        <f t="shared" si="36"/>
        <v>1007.7768321448943</v>
      </c>
      <c r="H326" s="148">
        <f t="shared" si="39"/>
        <v>192.97904591569568</v>
      </c>
      <c r="I326" s="148">
        <f t="shared" si="37"/>
        <v>56171.199735468639</v>
      </c>
      <c r="J326" s="148">
        <f>SUM($H$18:$H326)</f>
        <v>177204.76605619109</v>
      </c>
    </row>
    <row r="327" spans="1:10" x14ac:dyDescent="0.2">
      <c r="A327" s="146">
        <f>IF(Values_Entered,A326+1,"")</f>
        <v>310</v>
      </c>
      <c r="B327" s="147">
        <f t="shared" si="32"/>
        <v>51745</v>
      </c>
      <c r="C327" s="148">
        <f t="shared" si="38"/>
        <v>56171.199735468639</v>
      </c>
      <c r="D327" s="148">
        <f t="shared" si="33"/>
        <v>1200.75587806059</v>
      </c>
      <c r="E327" s="149">
        <f t="shared" si="34"/>
        <v>0</v>
      </c>
      <c r="F327" s="148">
        <f t="shared" si="35"/>
        <v>1200.75587806059</v>
      </c>
      <c r="G327" s="148">
        <f t="shared" si="36"/>
        <v>1011.1780789533833</v>
      </c>
      <c r="H327" s="148">
        <f t="shared" si="39"/>
        <v>189.57779910720669</v>
      </c>
      <c r="I327" s="148">
        <f t="shared" si="37"/>
        <v>55160.021656515259</v>
      </c>
      <c r="J327" s="148">
        <f>SUM($H$18:$H327)</f>
        <v>177394.3438552983</v>
      </c>
    </row>
    <row r="328" spans="1:10" x14ac:dyDescent="0.2">
      <c r="A328" s="146">
        <f>IF(Values_Entered,A327+1,"")</f>
        <v>311</v>
      </c>
      <c r="B328" s="147">
        <f t="shared" si="32"/>
        <v>51775</v>
      </c>
      <c r="C328" s="148">
        <f t="shared" si="38"/>
        <v>55160.021656515259</v>
      </c>
      <c r="D328" s="148">
        <f t="shared" si="33"/>
        <v>1200.75587806059</v>
      </c>
      <c r="E328" s="149">
        <f t="shared" si="34"/>
        <v>0</v>
      </c>
      <c r="F328" s="148">
        <f t="shared" si="35"/>
        <v>1200.75587806059</v>
      </c>
      <c r="G328" s="148">
        <f t="shared" si="36"/>
        <v>1014.590804969851</v>
      </c>
      <c r="H328" s="148">
        <f t="shared" si="39"/>
        <v>186.16507309073901</v>
      </c>
      <c r="I328" s="148">
        <f t="shared" si="37"/>
        <v>54145.43085154541</v>
      </c>
      <c r="J328" s="148">
        <f>SUM($H$18:$H328)</f>
        <v>177580.50892838903</v>
      </c>
    </row>
    <row r="329" spans="1:10" x14ac:dyDescent="0.2">
      <c r="A329" s="146">
        <f>IF(Values_Entered,A328+1,"")</f>
        <v>312</v>
      </c>
      <c r="B329" s="147">
        <f t="shared" si="32"/>
        <v>51806</v>
      </c>
      <c r="C329" s="148">
        <f t="shared" si="38"/>
        <v>54145.43085154541</v>
      </c>
      <c r="D329" s="148">
        <f t="shared" si="33"/>
        <v>1200.75587806059</v>
      </c>
      <c r="E329" s="149">
        <f t="shared" si="34"/>
        <v>0</v>
      </c>
      <c r="F329" s="148">
        <f t="shared" si="35"/>
        <v>1200.75587806059</v>
      </c>
      <c r="G329" s="148">
        <f t="shared" si="36"/>
        <v>1018.0150489366242</v>
      </c>
      <c r="H329" s="148">
        <f t="shared" si="39"/>
        <v>182.74082912396577</v>
      </c>
      <c r="I329" s="148">
        <f t="shared" si="37"/>
        <v>53127.415802608783</v>
      </c>
      <c r="J329" s="148">
        <f>SUM($H$18:$H329)</f>
        <v>177763.249757513</v>
      </c>
    </row>
    <row r="330" spans="1:10" x14ac:dyDescent="0.2">
      <c r="A330" s="146">
        <f>IF(Values_Entered,A329+1,"")</f>
        <v>313</v>
      </c>
      <c r="B330" s="147">
        <f t="shared" si="32"/>
        <v>51836</v>
      </c>
      <c r="C330" s="148">
        <f t="shared" si="38"/>
        <v>53127.415802608783</v>
      </c>
      <c r="D330" s="148">
        <f t="shared" si="33"/>
        <v>1200.75587806059</v>
      </c>
      <c r="E330" s="149">
        <f t="shared" si="34"/>
        <v>0</v>
      </c>
      <c r="F330" s="148">
        <f t="shared" si="35"/>
        <v>1200.75587806059</v>
      </c>
      <c r="G330" s="148">
        <f t="shared" si="36"/>
        <v>1021.4508497267853</v>
      </c>
      <c r="H330" s="148">
        <f t="shared" si="39"/>
        <v>179.30502833380464</v>
      </c>
      <c r="I330" s="148">
        <f t="shared" si="37"/>
        <v>52105.964952881994</v>
      </c>
      <c r="J330" s="148">
        <f>SUM($H$18:$H330)</f>
        <v>177942.55478584679</v>
      </c>
    </row>
    <row r="331" spans="1:10" x14ac:dyDescent="0.2">
      <c r="A331" s="146">
        <f>IF(Values_Entered,A330+1,"")</f>
        <v>314</v>
      </c>
      <c r="B331" s="147">
        <f t="shared" si="32"/>
        <v>51867</v>
      </c>
      <c r="C331" s="148">
        <f t="shared" si="38"/>
        <v>52105.964952881994</v>
      </c>
      <c r="D331" s="148">
        <f t="shared" si="33"/>
        <v>1200.75587806059</v>
      </c>
      <c r="E331" s="149">
        <f t="shared" si="34"/>
        <v>0</v>
      </c>
      <c r="F331" s="148">
        <f t="shared" si="35"/>
        <v>1200.75587806059</v>
      </c>
      <c r="G331" s="148">
        <f t="shared" si="36"/>
        <v>1024.8982463446132</v>
      </c>
      <c r="H331" s="148">
        <f t="shared" si="39"/>
        <v>175.85763171597674</v>
      </c>
      <c r="I331" s="148">
        <f t="shared" si="37"/>
        <v>51081.066706537378</v>
      </c>
      <c r="J331" s="148">
        <f>SUM($H$18:$H331)</f>
        <v>178118.41241756277</v>
      </c>
    </row>
    <row r="332" spans="1:10" x14ac:dyDescent="0.2">
      <c r="A332" s="146">
        <f>IF(Values_Entered,A331+1,"")</f>
        <v>315</v>
      </c>
      <c r="B332" s="147">
        <f t="shared" si="32"/>
        <v>51898</v>
      </c>
      <c r="C332" s="148">
        <f t="shared" si="38"/>
        <v>51081.066706537378</v>
      </c>
      <c r="D332" s="148">
        <f t="shared" si="33"/>
        <v>1200.75587806059</v>
      </c>
      <c r="E332" s="149">
        <f t="shared" si="34"/>
        <v>0</v>
      </c>
      <c r="F332" s="148">
        <f t="shared" si="35"/>
        <v>1200.75587806059</v>
      </c>
      <c r="G332" s="148">
        <f t="shared" si="36"/>
        <v>1028.3572779260264</v>
      </c>
      <c r="H332" s="148">
        <f t="shared" si="39"/>
        <v>172.39860013456368</v>
      </c>
      <c r="I332" s="148">
        <f t="shared" si="37"/>
        <v>50052.70942861135</v>
      </c>
      <c r="J332" s="148">
        <f>SUM($H$18:$H332)</f>
        <v>178290.81101769733</v>
      </c>
    </row>
    <row r="333" spans="1:10" x14ac:dyDescent="0.2">
      <c r="A333" s="146">
        <f>IF(Values_Entered,A332+1,"")</f>
        <v>316</v>
      </c>
      <c r="B333" s="147">
        <f t="shared" si="32"/>
        <v>51926</v>
      </c>
      <c r="C333" s="148">
        <f t="shared" si="38"/>
        <v>50052.70942861135</v>
      </c>
      <c r="D333" s="148">
        <f t="shared" si="33"/>
        <v>1200.75587806059</v>
      </c>
      <c r="E333" s="149">
        <f t="shared" si="34"/>
        <v>0</v>
      </c>
      <c r="F333" s="148">
        <f t="shared" si="35"/>
        <v>1200.75587806059</v>
      </c>
      <c r="G333" s="148">
        <f t="shared" si="36"/>
        <v>1031.8279837390266</v>
      </c>
      <c r="H333" s="148">
        <f t="shared" si="39"/>
        <v>168.92789432156331</v>
      </c>
      <c r="I333" s="148">
        <f t="shared" si="37"/>
        <v>49020.881444872321</v>
      </c>
      <c r="J333" s="148">
        <f>SUM($H$18:$H333)</f>
        <v>178459.73891201889</v>
      </c>
    </row>
    <row r="334" spans="1:10" x14ac:dyDescent="0.2">
      <c r="A334" s="146">
        <f>IF(Values_Entered,A333+1,"")</f>
        <v>317</v>
      </c>
      <c r="B334" s="147">
        <f t="shared" si="32"/>
        <v>51957</v>
      </c>
      <c r="C334" s="148">
        <f t="shared" si="38"/>
        <v>49020.881444872321</v>
      </c>
      <c r="D334" s="148">
        <f t="shared" si="33"/>
        <v>1200.75587806059</v>
      </c>
      <c r="E334" s="149">
        <f t="shared" si="34"/>
        <v>0</v>
      </c>
      <c r="F334" s="148">
        <f t="shared" si="35"/>
        <v>1200.75587806059</v>
      </c>
      <c r="G334" s="148">
        <f t="shared" si="36"/>
        <v>1035.310403184146</v>
      </c>
      <c r="H334" s="148">
        <f t="shared" si="39"/>
        <v>165.44547487644408</v>
      </c>
      <c r="I334" s="148">
        <f t="shared" si="37"/>
        <v>47985.571041688178</v>
      </c>
      <c r="J334" s="148">
        <f>SUM($H$18:$H334)</f>
        <v>178625.18438689533</v>
      </c>
    </row>
    <row r="335" spans="1:10" x14ac:dyDescent="0.2">
      <c r="A335" s="146">
        <f>IF(Values_Entered,A334+1,"")</f>
        <v>318</v>
      </c>
      <c r="B335" s="147">
        <f t="shared" si="32"/>
        <v>51987</v>
      </c>
      <c r="C335" s="148">
        <f t="shared" si="38"/>
        <v>47985.571041688178</v>
      </c>
      <c r="D335" s="148">
        <f t="shared" si="33"/>
        <v>1200.75587806059</v>
      </c>
      <c r="E335" s="149">
        <f t="shared" si="34"/>
        <v>0</v>
      </c>
      <c r="F335" s="148">
        <f t="shared" si="35"/>
        <v>1200.75587806059</v>
      </c>
      <c r="G335" s="148">
        <f t="shared" si="36"/>
        <v>1038.8045757948923</v>
      </c>
      <c r="H335" s="148">
        <f t="shared" si="39"/>
        <v>161.95130226569759</v>
      </c>
      <c r="I335" s="148">
        <f t="shared" si="37"/>
        <v>46946.766465893284</v>
      </c>
      <c r="J335" s="148">
        <f>SUM($H$18:$H335)</f>
        <v>178787.13568916102</v>
      </c>
    </row>
    <row r="336" spans="1:10" x14ac:dyDescent="0.2">
      <c r="A336" s="146">
        <f>IF(Values_Entered,A335+1,"")</f>
        <v>319</v>
      </c>
      <c r="B336" s="147">
        <f t="shared" si="32"/>
        <v>52018</v>
      </c>
      <c r="C336" s="148">
        <f t="shared" si="38"/>
        <v>46946.766465893284</v>
      </c>
      <c r="D336" s="148">
        <f t="shared" si="33"/>
        <v>1200.75587806059</v>
      </c>
      <c r="E336" s="149">
        <f t="shared" si="34"/>
        <v>0</v>
      </c>
      <c r="F336" s="148">
        <f t="shared" si="35"/>
        <v>1200.75587806059</v>
      </c>
      <c r="G336" s="148">
        <f t="shared" si="36"/>
        <v>1042.3105412382001</v>
      </c>
      <c r="H336" s="148">
        <f t="shared" si="39"/>
        <v>158.44533682238983</v>
      </c>
      <c r="I336" s="148">
        <f t="shared" si="37"/>
        <v>45904.455924655085</v>
      </c>
      <c r="J336" s="148">
        <f>SUM($H$18:$H336)</f>
        <v>178945.58102598341</v>
      </c>
    </row>
    <row r="337" spans="1:10" x14ac:dyDescent="0.2">
      <c r="A337" s="146">
        <f>IF(Values_Entered,A336+1,"")</f>
        <v>320</v>
      </c>
      <c r="B337" s="147">
        <f t="shared" si="32"/>
        <v>52048</v>
      </c>
      <c r="C337" s="148">
        <f t="shared" si="38"/>
        <v>45904.455924655085</v>
      </c>
      <c r="D337" s="148">
        <f t="shared" si="33"/>
        <v>1200.75587806059</v>
      </c>
      <c r="E337" s="149">
        <f t="shared" si="34"/>
        <v>0</v>
      </c>
      <c r="F337" s="148">
        <f t="shared" si="35"/>
        <v>1200.75587806059</v>
      </c>
      <c r="G337" s="148">
        <f t="shared" si="36"/>
        <v>1045.828339314879</v>
      </c>
      <c r="H337" s="148">
        <f t="shared" si="39"/>
        <v>154.9275387457109</v>
      </c>
      <c r="I337" s="148">
        <f t="shared" si="37"/>
        <v>44858.627585340204</v>
      </c>
      <c r="J337" s="148">
        <f>SUM($H$18:$H337)</f>
        <v>179100.50856472913</v>
      </c>
    </row>
    <row r="338" spans="1:10" x14ac:dyDescent="0.2">
      <c r="A338" s="146">
        <f>IF(Values_Entered,A337+1,"")</f>
        <v>321</v>
      </c>
      <c r="B338" s="147">
        <f t="shared" ref="B338:B401" si="40">IF(Pay_Num&lt;&gt;"",DATE(YEAR(Loan_Start),MONTH(Loan_Start)+(Pay_Num)*12/Num_Pmt_Per_Year,DAY(Loan_Start)),"")</f>
        <v>52079</v>
      </c>
      <c r="C338" s="148">
        <f t="shared" si="38"/>
        <v>44858.627585340204</v>
      </c>
      <c r="D338" s="148">
        <f t="shared" ref="D338:D401" si="41">IF(Pay_Num&lt;&gt;"",Scheduled_Monthly_Payment,"")</f>
        <v>1200.75587806059</v>
      </c>
      <c r="E338" s="149">
        <f t="shared" ref="E338:E401" si="42">IF(AND(Pay_Num&lt;&gt;"",Sched_Pay+Scheduled_Extra_Payments&lt;Beg_Bal),Scheduled_Extra_Payments,IF(AND(Pay_Num&lt;&gt;"",Beg_Bal-Sched_Pay&gt;0),Beg_Bal-Sched_Pay,IF(Pay_Num&lt;&gt;"",0,"")))</f>
        <v>0</v>
      </c>
      <c r="F338" s="148">
        <f t="shared" ref="F338:F401" si="43">IF(AND(Pay_Num&lt;&gt;"",Sched_Pay+Extra_Pay&lt;Beg_Bal),Sched_Pay+Extra_Pay,IF(Pay_Num&lt;&gt;"",Beg_Bal,""))</f>
        <v>1200.75587806059</v>
      </c>
      <c r="G338" s="148">
        <f t="shared" ref="G338:G401" si="44">IF(Pay_Num&lt;&gt;"",Total_Pay-Int,"")</f>
        <v>1049.3580099600667</v>
      </c>
      <c r="H338" s="148">
        <f t="shared" si="39"/>
        <v>151.3978681005232</v>
      </c>
      <c r="I338" s="148">
        <f t="shared" ref="I338:I401" si="45">IF(AND(Pay_Num&lt;&gt;"",Sched_Pay+Extra_Pay&lt;Beg_Bal),Beg_Bal-Princ,IF(Pay_Num&lt;&gt;"",0,""))</f>
        <v>43809.269575380138</v>
      </c>
      <c r="J338" s="148">
        <f>SUM($H$18:$H338)</f>
        <v>179251.90643282965</v>
      </c>
    </row>
    <row r="339" spans="1:10" x14ac:dyDescent="0.2">
      <c r="A339" s="146">
        <f>IF(Values_Entered,A338+1,"")</f>
        <v>322</v>
      </c>
      <c r="B339" s="147">
        <f t="shared" si="40"/>
        <v>52110</v>
      </c>
      <c r="C339" s="148">
        <f t="shared" ref="C339:C402" si="46">IF(Pay_Num&lt;&gt;"",I338,"")</f>
        <v>43809.269575380138</v>
      </c>
      <c r="D339" s="148">
        <f t="shared" si="41"/>
        <v>1200.75587806059</v>
      </c>
      <c r="E339" s="149">
        <f t="shared" si="42"/>
        <v>0</v>
      </c>
      <c r="F339" s="148">
        <f t="shared" si="43"/>
        <v>1200.75587806059</v>
      </c>
      <c r="G339" s="148">
        <f t="shared" si="44"/>
        <v>1052.8995932436821</v>
      </c>
      <c r="H339" s="148">
        <f t="shared" ref="H339:H402" si="47">IF(Pay_Num&lt;&gt;"",Beg_Bal*Interest_Rate/Num_Pmt_Per_Year,"")</f>
        <v>147.85628481690796</v>
      </c>
      <c r="I339" s="148">
        <f t="shared" si="45"/>
        <v>42756.369982136457</v>
      </c>
      <c r="J339" s="148">
        <f>SUM($H$18:$H339)</f>
        <v>179399.76271764655</v>
      </c>
    </row>
    <row r="340" spans="1:10" x14ac:dyDescent="0.2">
      <c r="A340" s="146">
        <f>IF(Values_Entered,A339+1,"")</f>
        <v>323</v>
      </c>
      <c r="B340" s="147">
        <f t="shared" si="40"/>
        <v>52140</v>
      </c>
      <c r="C340" s="148">
        <f t="shared" si="46"/>
        <v>42756.369982136457</v>
      </c>
      <c r="D340" s="148">
        <f t="shared" si="41"/>
        <v>1200.75587806059</v>
      </c>
      <c r="E340" s="149">
        <f t="shared" si="42"/>
        <v>0</v>
      </c>
      <c r="F340" s="148">
        <f t="shared" si="43"/>
        <v>1200.75587806059</v>
      </c>
      <c r="G340" s="148">
        <f t="shared" si="44"/>
        <v>1056.4531293708794</v>
      </c>
      <c r="H340" s="148">
        <f t="shared" si="47"/>
        <v>144.30274868971054</v>
      </c>
      <c r="I340" s="148">
        <f t="shared" si="45"/>
        <v>41699.916852765578</v>
      </c>
      <c r="J340" s="148">
        <f>SUM($H$18:$H340)</f>
        <v>179544.06546633627</v>
      </c>
    </row>
    <row r="341" spans="1:10" x14ac:dyDescent="0.2">
      <c r="A341" s="146">
        <f>IF(Values_Entered,A340+1,"")</f>
        <v>324</v>
      </c>
      <c r="B341" s="147">
        <f t="shared" si="40"/>
        <v>52171</v>
      </c>
      <c r="C341" s="148">
        <f t="shared" si="46"/>
        <v>41699.916852765578</v>
      </c>
      <c r="D341" s="148">
        <f t="shared" si="41"/>
        <v>1200.75587806059</v>
      </c>
      <c r="E341" s="149">
        <f t="shared" si="42"/>
        <v>0</v>
      </c>
      <c r="F341" s="148">
        <f t="shared" si="43"/>
        <v>1200.75587806059</v>
      </c>
      <c r="G341" s="148">
        <f t="shared" si="44"/>
        <v>1060.0186586825062</v>
      </c>
      <c r="H341" s="148">
        <f t="shared" si="47"/>
        <v>140.73721937808384</v>
      </c>
      <c r="I341" s="148">
        <f t="shared" si="45"/>
        <v>40639.898194083071</v>
      </c>
      <c r="J341" s="148">
        <f>SUM($H$18:$H341)</f>
        <v>179684.80268571436</v>
      </c>
    </row>
    <row r="342" spans="1:10" x14ac:dyDescent="0.2">
      <c r="A342" s="146">
        <f>IF(Values_Entered,A341+1,"")</f>
        <v>325</v>
      </c>
      <c r="B342" s="147">
        <f t="shared" si="40"/>
        <v>52201</v>
      </c>
      <c r="C342" s="148">
        <f t="shared" si="46"/>
        <v>40639.898194083071</v>
      </c>
      <c r="D342" s="148">
        <f t="shared" si="41"/>
        <v>1200.75587806059</v>
      </c>
      <c r="E342" s="149">
        <f t="shared" si="42"/>
        <v>0</v>
      </c>
      <c r="F342" s="148">
        <f t="shared" si="43"/>
        <v>1200.75587806059</v>
      </c>
      <c r="G342" s="148">
        <f t="shared" si="44"/>
        <v>1063.5962216555597</v>
      </c>
      <c r="H342" s="148">
        <f t="shared" si="47"/>
        <v>137.15965640503038</v>
      </c>
      <c r="I342" s="148">
        <f t="shared" si="45"/>
        <v>39576.301972427515</v>
      </c>
      <c r="J342" s="148">
        <f>SUM($H$18:$H342)</f>
        <v>179821.9623421194</v>
      </c>
    </row>
    <row r="343" spans="1:10" x14ac:dyDescent="0.2">
      <c r="A343" s="146">
        <f>IF(Values_Entered,A342+1,"")</f>
        <v>326</v>
      </c>
      <c r="B343" s="147">
        <f t="shared" si="40"/>
        <v>52232</v>
      </c>
      <c r="C343" s="148">
        <f t="shared" si="46"/>
        <v>39576.301972427515</v>
      </c>
      <c r="D343" s="148">
        <f t="shared" si="41"/>
        <v>1200.75587806059</v>
      </c>
      <c r="E343" s="149">
        <f t="shared" si="42"/>
        <v>0</v>
      </c>
      <c r="F343" s="148">
        <f t="shared" si="43"/>
        <v>1200.75587806059</v>
      </c>
      <c r="G343" s="148">
        <f t="shared" si="44"/>
        <v>1067.1858589036472</v>
      </c>
      <c r="H343" s="148">
        <f t="shared" si="47"/>
        <v>133.57001915694286</v>
      </c>
      <c r="I343" s="148">
        <f t="shared" si="45"/>
        <v>38509.116113523865</v>
      </c>
      <c r="J343" s="148">
        <f>SUM($H$18:$H343)</f>
        <v>179955.53236127633</v>
      </c>
    </row>
    <row r="344" spans="1:10" x14ac:dyDescent="0.2">
      <c r="A344" s="146">
        <f>IF(Values_Entered,A343+1,"")</f>
        <v>327</v>
      </c>
      <c r="B344" s="147">
        <f t="shared" si="40"/>
        <v>52263</v>
      </c>
      <c r="C344" s="148">
        <f t="shared" si="46"/>
        <v>38509.116113523865</v>
      </c>
      <c r="D344" s="148">
        <f t="shared" si="41"/>
        <v>1200.75587806059</v>
      </c>
      <c r="E344" s="149">
        <f t="shared" si="42"/>
        <v>0</v>
      </c>
      <c r="F344" s="148">
        <f t="shared" si="43"/>
        <v>1200.75587806059</v>
      </c>
      <c r="G344" s="148">
        <f t="shared" si="44"/>
        <v>1070.7876111774469</v>
      </c>
      <c r="H344" s="148">
        <f t="shared" si="47"/>
        <v>129.96826688314306</v>
      </c>
      <c r="I344" s="148">
        <f t="shared" si="45"/>
        <v>37438.32850234642</v>
      </c>
      <c r="J344" s="148">
        <f>SUM($H$18:$H344)</f>
        <v>180085.50062815947</v>
      </c>
    </row>
    <row r="345" spans="1:10" x14ac:dyDescent="0.2">
      <c r="A345" s="146">
        <f>IF(Values_Entered,A344+1,"")</f>
        <v>328</v>
      </c>
      <c r="B345" s="147">
        <f t="shared" si="40"/>
        <v>52291</v>
      </c>
      <c r="C345" s="148">
        <f t="shared" si="46"/>
        <v>37438.32850234642</v>
      </c>
      <c r="D345" s="148">
        <f t="shared" si="41"/>
        <v>1200.75587806059</v>
      </c>
      <c r="E345" s="149">
        <f t="shared" si="42"/>
        <v>0</v>
      </c>
      <c r="F345" s="148">
        <f t="shared" si="43"/>
        <v>1200.75587806059</v>
      </c>
      <c r="G345" s="148">
        <f t="shared" si="44"/>
        <v>1074.4015193651708</v>
      </c>
      <c r="H345" s="148">
        <f t="shared" si="47"/>
        <v>126.35435869541918</v>
      </c>
      <c r="I345" s="148">
        <f t="shared" si="45"/>
        <v>36363.926982981247</v>
      </c>
      <c r="J345" s="148">
        <f>SUM($H$18:$H345)</f>
        <v>180211.85498685489</v>
      </c>
    </row>
    <row r="346" spans="1:10" x14ac:dyDescent="0.2">
      <c r="A346" s="146">
        <f>IF(Values_Entered,A345+1,"")</f>
        <v>329</v>
      </c>
      <c r="B346" s="147">
        <f t="shared" si="40"/>
        <v>52322</v>
      </c>
      <c r="C346" s="148">
        <f t="shared" si="46"/>
        <v>36363.926982981247</v>
      </c>
      <c r="D346" s="148">
        <f t="shared" si="41"/>
        <v>1200.75587806059</v>
      </c>
      <c r="E346" s="149">
        <f t="shared" si="42"/>
        <v>0</v>
      </c>
      <c r="F346" s="148">
        <f t="shared" si="43"/>
        <v>1200.75587806059</v>
      </c>
      <c r="G346" s="148">
        <f t="shared" si="44"/>
        <v>1078.0276244930283</v>
      </c>
      <c r="H346" s="148">
        <f t="shared" si="47"/>
        <v>122.72825356756171</v>
      </c>
      <c r="I346" s="148">
        <f t="shared" si="45"/>
        <v>35285.899358488219</v>
      </c>
      <c r="J346" s="148">
        <f>SUM($H$18:$H346)</f>
        <v>180334.58324042245</v>
      </c>
    </row>
    <row r="347" spans="1:10" x14ac:dyDescent="0.2">
      <c r="A347" s="146">
        <f>IF(Values_Entered,A346+1,"")</f>
        <v>330</v>
      </c>
      <c r="B347" s="147">
        <f t="shared" si="40"/>
        <v>52352</v>
      </c>
      <c r="C347" s="148">
        <f t="shared" si="46"/>
        <v>35285.899358488219</v>
      </c>
      <c r="D347" s="148">
        <f t="shared" si="41"/>
        <v>1200.75587806059</v>
      </c>
      <c r="E347" s="149">
        <f t="shared" si="42"/>
        <v>0</v>
      </c>
      <c r="F347" s="148">
        <f t="shared" si="43"/>
        <v>1200.75587806059</v>
      </c>
      <c r="G347" s="148">
        <f t="shared" si="44"/>
        <v>1081.6659677256923</v>
      </c>
      <c r="H347" s="148">
        <f t="shared" si="47"/>
        <v>119.08991033489775</v>
      </c>
      <c r="I347" s="148">
        <f t="shared" si="45"/>
        <v>34204.233390762529</v>
      </c>
      <c r="J347" s="148">
        <f>SUM($H$18:$H347)</f>
        <v>180453.67315075736</v>
      </c>
    </row>
    <row r="348" spans="1:10" x14ac:dyDescent="0.2">
      <c r="A348" s="146">
        <f>IF(Values_Entered,A347+1,"")</f>
        <v>331</v>
      </c>
      <c r="B348" s="147">
        <f t="shared" si="40"/>
        <v>52383</v>
      </c>
      <c r="C348" s="148">
        <f t="shared" si="46"/>
        <v>34204.233390762529</v>
      </c>
      <c r="D348" s="148">
        <f t="shared" si="41"/>
        <v>1200.75587806059</v>
      </c>
      <c r="E348" s="149">
        <f t="shared" si="42"/>
        <v>0</v>
      </c>
      <c r="F348" s="148">
        <f t="shared" si="43"/>
        <v>1200.75587806059</v>
      </c>
      <c r="G348" s="148">
        <f t="shared" si="44"/>
        <v>1085.3165903667664</v>
      </c>
      <c r="H348" s="148">
        <f t="shared" si="47"/>
        <v>115.43928769382353</v>
      </c>
      <c r="I348" s="148">
        <f t="shared" si="45"/>
        <v>33118.91680039576</v>
      </c>
      <c r="J348" s="148">
        <f>SUM($H$18:$H348)</f>
        <v>180569.11243845118</v>
      </c>
    </row>
    <row r="349" spans="1:10" x14ac:dyDescent="0.2">
      <c r="A349" s="146">
        <f>IF(Values_Entered,A348+1,"")</f>
        <v>332</v>
      </c>
      <c r="B349" s="147">
        <f t="shared" si="40"/>
        <v>52413</v>
      </c>
      <c r="C349" s="148">
        <f t="shared" si="46"/>
        <v>33118.91680039576</v>
      </c>
      <c r="D349" s="148">
        <f t="shared" si="41"/>
        <v>1200.75587806059</v>
      </c>
      <c r="E349" s="149">
        <f t="shared" si="42"/>
        <v>0</v>
      </c>
      <c r="F349" s="148">
        <f t="shared" si="43"/>
        <v>1200.75587806059</v>
      </c>
      <c r="G349" s="148">
        <f t="shared" si="44"/>
        <v>1088.9795338592544</v>
      </c>
      <c r="H349" s="148">
        <f t="shared" si="47"/>
        <v>111.77634420133569</v>
      </c>
      <c r="I349" s="148">
        <f t="shared" si="45"/>
        <v>32029.937266536504</v>
      </c>
      <c r="J349" s="148">
        <f>SUM($H$18:$H349)</f>
        <v>180680.8887826525</v>
      </c>
    </row>
    <row r="350" spans="1:10" x14ac:dyDescent="0.2">
      <c r="A350" s="146">
        <f>IF(Values_Entered,A349+1,"")</f>
        <v>333</v>
      </c>
      <c r="B350" s="147">
        <f t="shared" si="40"/>
        <v>52444</v>
      </c>
      <c r="C350" s="148">
        <f t="shared" si="46"/>
        <v>32029.937266536504</v>
      </c>
      <c r="D350" s="148">
        <f t="shared" si="41"/>
        <v>1200.75587806059</v>
      </c>
      <c r="E350" s="149">
        <f t="shared" si="42"/>
        <v>0</v>
      </c>
      <c r="F350" s="148">
        <f t="shared" si="43"/>
        <v>1200.75587806059</v>
      </c>
      <c r="G350" s="148">
        <f t="shared" si="44"/>
        <v>1092.6548397860292</v>
      </c>
      <c r="H350" s="148">
        <f t="shared" si="47"/>
        <v>108.10103827456071</v>
      </c>
      <c r="I350" s="148">
        <f t="shared" si="45"/>
        <v>30937.282426750477</v>
      </c>
      <c r="J350" s="148">
        <f>SUM($H$18:$H350)</f>
        <v>180788.98982092706</v>
      </c>
    </row>
    <row r="351" spans="1:10" x14ac:dyDescent="0.2">
      <c r="A351" s="146">
        <f>IF(Values_Entered,A350+1,"")</f>
        <v>334</v>
      </c>
      <c r="B351" s="147">
        <f t="shared" si="40"/>
        <v>52475</v>
      </c>
      <c r="C351" s="148">
        <f t="shared" si="46"/>
        <v>30937.282426750477</v>
      </c>
      <c r="D351" s="148">
        <f t="shared" si="41"/>
        <v>1200.75587806059</v>
      </c>
      <c r="E351" s="149">
        <f t="shared" si="42"/>
        <v>0</v>
      </c>
      <c r="F351" s="148">
        <f t="shared" si="43"/>
        <v>1200.75587806059</v>
      </c>
      <c r="G351" s="148">
        <f t="shared" si="44"/>
        <v>1096.3425498703073</v>
      </c>
      <c r="H351" s="148">
        <f t="shared" si="47"/>
        <v>104.41332819028287</v>
      </c>
      <c r="I351" s="148">
        <f t="shared" si="45"/>
        <v>29840.939876880169</v>
      </c>
      <c r="J351" s="148">
        <f>SUM($H$18:$H351)</f>
        <v>180893.40314911734</v>
      </c>
    </row>
    <row r="352" spans="1:10" x14ac:dyDescent="0.2">
      <c r="A352" s="146">
        <f>IF(Values_Entered,A351+1,"")</f>
        <v>335</v>
      </c>
      <c r="B352" s="147">
        <f t="shared" si="40"/>
        <v>52505</v>
      </c>
      <c r="C352" s="148">
        <f t="shared" si="46"/>
        <v>29840.939876880169</v>
      </c>
      <c r="D352" s="148">
        <f t="shared" si="41"/>
        <v>1200.75587806059</v>
      </c>
      <c r="E352" s="149">
        <f t="shared" si="42"/>
        <v>0</v>
      </c>
      <c r="F352" s="148">
        <f t="shared" si="43"/>
        <v>1200.75587806059</v>
      </c>
      <c r="G352" s="148">
        <f t="shared" si="44"/>
        <v>1100.0427059761194</v>
      </c>
      <c r="H352" s="148">
        <f t="shared" si="47"/>
        <v>100.71317208447057</v>
      </c>
      <c r="I352" s="148">
        <f t="shared" si="45"/>
        <v>28740.897170904049</v>
      </c>
      <c r="J352" s="148">
        <f>SUM($H$18:$H352)</f>
        <v>180994.11632120181</v>
      </c>
    </row>
    <row r="353" spans="1:10" x14ac:dyDescent="0.2">
      <c r="A353" s="146">
        <f>IF(Values_Entered,A352+1,"")</f>
        <v>336</v>
      </c>
      <c r="B353" s="147">
        <f t="shared" si="40"/>
        <v>52536</v>
      </c>
      <c r="C353" s="148">
        <f t="shared" si="46"/>
        <v>28740.897170904049</v>
      </c>
      <c r="D353" s="148">
        <f t="shared" si="41"/>
        <v>1200.75587806059</v>
      </c>
      <c r="E353" s="149">
        <f t="shared" si="42"/>
        <v>0</v>
      </c>
      <c r="F353" s="148">
        <f t="shared" si="43"/>
        <v>1200.75587806059</v>
      </c>
      <c r="G353" s="148">
        <f t="shared" si="44"/>
        <v>1103.7553501087889</v>
      </c>
      <c r="H353" s="148">
        <f t="shared" si="47"/>
        <v>97.000527951801175</v>
      </c>
      <c r="I353" s="148">
        <f t="shared" si="45"/>
        <v>27637.141820795259</v>
      </c>
      <c r="J353" s="148">
        <f>SUM($H$18:$H353)</f>
        <v>181091.11684915362</v>
      </c>
    </row>
    <row r="354" spans="1:10" x14ac:dyDescent="0.2">
      <c r="A354" s="146">
        <f>IF(Values_Entered,A353+1,"")</f>
        <v>337</v>
      </c>
      <c r="B354" s="147">
        <f t="shared" si="40"/>
        <v>52566</v>
      </c>
      <c r="C354" s="148">
        <f t="shared" si="46"/>
        <v>27637.141820795259</v>
      </c>
      <c r="D354" s="148">
        <f t="shared" si="41"/>
        <v>1200.75587806059</v>
      </c>
      <c r="E354" s="149">
        <f t="shared" si="42"/>
        <v>0</v>
      </c>
      <c r="F354" s="148">
        <f t="shared" si="43"/>
        <v>1200.75587806059</v>
      </c>
      <c r="G354" s="148">
        <f t="shared" si="44"/>
        <v>1107.4805244154061</v>
      </c>
      <c r="H354" s="148">
        <f t="shared" si="47"/>
        <v>93.275353645183998</v>
      </c>
      <c r="I354" s="148">
        <f t="shared" si="45"/>
        <v>26529.661296379854</v>
      </c>
      <c r="J354" s="148">
        <f>SUM($H$18:$H354)</f>
        <v>181184.3922027988</v>
      </c>
    </row>
    <row r="355" spans="1:10" x14ac:dyDescent="0.2">
      <c r="A355" s="146">
        <f>IF(Values_Entered,A354+1,"")</f>
        <v>338</v>
      </c>
      <c r="B355" s="147">
        <f t="shared" si="40"/>
        <v>52597</v>
      </c>
      <c r="C355" s="148">
        <f t="shared" si="46"/>
        <v>26529.661296379854</v>
      </c>
      <c r="D355" s="148">
        <f t="shared" si="41"/>
        <v>1200.75587806059</v>
      </c>
      <c r="E355" s="149">
        <f t="shared" si="42"/>
        <v>0</v>
      </c>
      <c r="F355" s="148">
        <f t="shared" si="43"/>
        <v>1200.75587806059</v>
      </c>
      <c r="G355" s="148">
        <f t="shared" si="44"/>
        <v>1111.2182711853079</v>
      </c>
      <c r="H355" s="148">
        <f t="shared" si="47"/>
        <v>89.537606875282009</v>
      </c>
      <c r="I355" s="148">
        <f t="shared" si="45"/>
        <v>25418.443025194545</v>
      </c>
      <c r="J355" s="148">
        <f>SUM($H$18:$H355)</f>
        <v>181273.9298096741</v>
      </c>
    </row>
    <row r="356" spans="1:10" x14ac:dyDescent="0.2">
      <c r="A356" s="146">
        <f>IF(Values_Entered,A355+1,"")</f>
        <v>339</v>
      </c>
      <c r="B356" s="147">
        <f t="shared" si="40"/>
        <v>52628</v>
      </c>
      <c r="C356" s="148">
        <f t="shared" si="46"/>
        <v>25418.443025194545</v>
      </c>
      <c r="D356" s="148">
        <f t="shared" si="41"/>
        <v>1200.75587806059</v>
      </c>
      <c r="E356" s="149">
        <f t="shared" si="42"/>
        <v>0</v>
      </c>
      <c r="F356" s="148">
        <f t="shared" si="43"/>
        <v>1200.75587806059</v>
      </c>
      <c r="G356" s="148">
        <f t="shared" si="44"/>
        <v>1114.9686328505584</v>
      </c>
      <c r="H356" s="148">
        <f t="shared" si="47"/>
        <v>85.787245210031585</v>
      </c>
      <c r="I356" s="148">
        <f t="shared" si="45"/>
        <v>24303.474392343986</v>
      </c>
      <c r="J356" s="148">
        <f>SUM($H$18:$H356)</f>
        <v>181359.71705488412</v>
      </c>
    </row>
    <row r="357" spans="1:10" x14ac:dyDescent="0.2">
      <c r="A357" s="146">
        <f>IF(Values_Entered,A356+1,"")</f>
        <v>340</v>
      </c>
      <c r="B357" s="147">
        <f t="shared" si="40"/>
        <v>52657</v>
      </c>
      <c r="C357" s="148">
        <f t="shared" si="46"/>
        <v>24303.474392343986</v>
      </c>
      <c r="D357" s="148">
        <f t="shared" si="41"/>
        <v>1200.75587806059</v>
      </c>
      <c r="E357" s="149">
        <f t="shared" si="42"/>
        <v>0</v>
      </c>
      <c r="F357" s="148">
        <f t="shared" si="43"/>
        <v>1200.75587806059</v>
      </c>
      <c r="G357" s="148">
        <f t="shared" si="44"/>
        <v>1118.7316519864291</v>
      </c>
      <c r="H357" s="148">
        <f t="shared" si="47"/>
        <v>82.02422607416095</v>
      </c>
      <c r="I357" s="148">
        <f t="shared" si="45"/>
        <v>23184.742740357557</v>
      </c>
      <c r="J357" s="148">
        <f>SUM($H$18:$H357)</f>
        <v>181441.74128095829</v>
      </c>
    </row>
    <row r="358" spans="1:10" x14ac:dyDescent="0.2">
      <c r="A358" s="146">
        <f>IF(Values_Entered,A357+1,"")</f>
        <v>341</v>
      </c>
      <c r="B358" s="147">
        <f t="shared" si="40"/>
        <v>52688</v>
      </c>
      <c r="C358" s="148">
        <f t="shared" si="46"/>
        <v>23184.742740357557</v>
      </c>
      <c r="D358" s="148">
        <f t="shared" si="41"/>
        <v>1200.75587806059</v>
      </c>
      <c r="E358" s="149">
        <f t="shared" si="42"/>
        <v>0</v>
      </c>
      <c r="F358" s="148">
        <f t="shared" si="43"/>
        <v>1200.75587806059</v>
      </c>
      <c r="G358" s="148">
        <f t="shared" si="44"/>
        <v>1122.5073713118832</v>
      </c>
      <c r="H358" s="148">
        <f t="shared" si="47"/>
        <v>78.24850674870676</v>
      </c>
      <c r="I358" s="148">
        <f t="shared" si="45"/>
        <v>22062.235369045673</v>
      </c>
      <c r="J358" s="148">
        <f>SUM($H$18:$H358)</f>
        <v>181519.98978770699</v>
      </c>
    </row>
    <row r="359" spans="1:10" x14ac:dyDescent="0.2">
      <c r="A359" s="146">
        <f>IF(Values_Entered,A358+1,"")</f>
        <v>342</v>
      </c>
      <c r="B359" s="147">
        <f t="shared" si="40"/>
        <v>52718</v>
      </c>
      <c r="C359" s="148">
        <f t="shared" si="46"/>
        <v>22062.235369045673</v>
      </c>
      <c r="D359" s="148">
        <f t="shared" si="41"/>
        <v>1200.75587806059</v>
      </c>
      <c r="E359" s="149">
        <f t="shared" si="42"/>
        <v>0</v>
      </c>
      <c r="F359" s="148">
        <f t="shared" si="43"/>
        <v>1200.75587806059</v>
      </c>
      <c r="G359" s="148">
        <f t="shared" si="44"/>
        <v>1126.2958336900608</v>
      </c>
      <c r="H359" s="148">
        <f t="shared" si="47"/>
        <v>74.460044370529147</v>
      </c>
      <c r="I359" s="148">
        <f t="shared" si="45"/>
        <v>20935.939535355614</v>
      </c>
      <c r="J359" s="148">
        <f>SUM($H$18:$H359)</f>
        <v>181594.44983207752</v>
      </c>
    </row>
    <row r="360" spans="1:10" x14ac:dyDescent="0.2">
      <c r="A360" s="146">
        <f>IF(Values_Entered,A359+1,"")</f>
        <v>343</v>
      </c>
      <c r="B360" s="147">
        <f t="shared" si="40"/>
        <v>52749</v>
      </c>
      <c r="C360" s="148">
        <f t="shared" si="46"/>
        <v>20935.939535355614</v>
      </c>
      <c r="D360" s="148">
        <f t="shared" si="41"/>
        <v>1200.75587806059</v>
      </c>
      <c r="E360" s="149">
        <f t="shared" si="42"/>
        <v>0</v>
      </c>
      <c r="F360" s="148">
        <f t="shared" si="43"/>
        <v>1200.75587806059</v>
      </c>
      <c r="G360" s="148">
        <f t="shared" si="44"/>
        <v>1130.0970821287649</v>
      </c>
      <c r="H360" s="148">
        <f t="shared" si="47"/>
        <v>70.658795931825196</v>
      </c>
      <c r="I360" s="148">
        <f t="shared" si="45"/>
        <v>19805.842453226847</v>
      </c>
      <c r="J360" s="148">
        <f>SUM($H$18:$H360)</f>
        <v>181665.10862800933</v>
      </c>
    </row>
    <row r="361" spans="1:10" x14ac:dyDescent="0.2">
      <c r="A361" s="146">
        <f>IF(Values_Entered,A360+1,"")</f>
        <v>344</v>
      </c>
      <c r="B361" s="147">
        <f t="shared" si="40"/>
        <v>52779</v>
      </c>
      <c r="C361" s="148">
        <f t="shared" si="46"/>
        <v>19805.842453226847</v>
      </c>
      <c r="D361" s="148">
        <f t="shared" si="41"/>
        <v>1200.75587806059</v>
      </c>
      <c r="E361" s="149">
        <f t="shared" si="42"/>
        <v>0</v>
      </c>
      <c r="F361" s="148">
        <f t="shared" si="43"/>
        <v>1200.75587806059</v>
      </c>
      <c r="G361" s="148">
        <f t="shared" si="44"/>
        <v>1133.9111597809494</v>
      </c>
      <c r="H361" s="148">
        <f t="shared" si="47"/>
        <v>66.844718279640617</v>
      </c>
      <c r="I361" s="148">
        <f t="shared" si="45"/>
        <v>18671.931293445898</v>
      </c>
      <c r="J361" s="148">
        <f>SUM($H$18:$H361)</f>
        <v>181731.95334628897</v>
      </c>
    </row>
    <row r="362" spans="1:10" x14ac:dyDescent="0.2">
      <c r="A362" s="146">
        <f>IF(Values_Entered,A361+1,"")</f>
        <v>345</v>
      </c>
      <c r="B362" s="147">
        <f t="shared" si="40"/>
        <v>52810</v>
      </c>
      <c r="C362" s="148">
        <f t="shared" si="46"/>
        <v>18671.931293445898</v>
      </c>
      <c r="D362" s="148">
        <f t="shared" si="41"/>
        <v>1200.75587806059</v>
      </c>
      <c r="E362" s="149">
        <f t="shared" si="42"/>
        <v>0</v>
      </c>
      <c r="F362" s="148">
        <f t="shared" si="43"/>
        <v>1200.75587806059</v>
      </c>
      <c r="G362" s="148">
        <f t="shared" si="44"/>
        <v>1137.73810994521</v>
      </c>
      <c r="H362" s="148">
        <f t="shared" si="47"/>
        <v>63.017768115379909</v>
      </c>
      <c r="I362" s="148">
        <f t="shared" si="45"/>
        <v>17534.193183500687</v>
      </c>
      <c r="J362" s="148">
        <f>SUM($H$18:$H362)</f>
        <v>181794.97111440435</v>
      </c>
    </row>
    <row r="363" spans="1:10" x14ac:dyDescent="0.2">
      <c r="A363" s="146">
        <f>IF(Values_Entered,A362+1,"")</f>
        <v>346</v>
      </c>
      <c r="B363" s="147">
        <f t="shared" si="40"/>
        <v>52841</v>
      </c>
      <c r="C363" s="148">
        <f t="shared" si="46"/>
        <v>17534.193183500687</v>
      </c>
      <c r="D363" s="148">
        <f t="shared" si="41"/>
        <v>1200.75587806059</v>
      </c>
      <c r="E363" s="149">
        <f t="shared" si="42"/>
        <v>0</v>
      </c>
      <c r="F363" s="148">
        <f t="shared" si="43"/>
        <v>1200.75587806059</v>
      </c>
      <c r="G363" s="148">
        <f t="shared" si="44"/>
        <v>1141.5779760662751</v>
      </c>
      <c r="H363" s="148">
        <f t="shared" si="47"/>
        <v>59.177901994314823</v>
      </c>
      <c r="I363" s="148">
        <f t="shared" si="45"/>
        <v>16392.615207434414</v>
      </c>
      <c r="J363" s="148">
        <f>SUM($H$18:$H363)</f>
        <v>181854.14901639867</v>
      </c>
    </row>
    <row r="364" spans="1:10" x14ac:dyDescent="0.2">
      <c r="A364" s="146">
        <f>IF(Values_Entered,A363+1,"")</f>
        <v>347</v>
      </c>
      <c r="B364" s="147">
        <f t="shared" si="40"/>
        <v>52871</v>
      </c>
      <c r="C364" s="148">
        <f t="shared" si="46"/>
        <v>16392.615207434414</v>
      </c>
      <c r="D364" s="148">
        <f t="shared" si="41"/>
        <v>1200.75587806059</v>
      </c>
      <c r="E364" s="149">
        <f t="shared" si="42"/>
        <v>0</v>
      </c>
      <c r="F364" s="148">
        <f t="shared" si="43"/>
        <v>1200.75587806059</v>
      </c>
      <c r="G364" s="148">
        <f t="shared" si="44"/>
        <v>1145.4308017354988</v>
      </c>
      <c r="H364" s="148">
        <f t="shared" si="47"/>
        <v>55.325076325091146</v>
      </c>
      <c r="I364" s="148">
        <f t="shared" si="45"/>
        <v>15247.184405698914</v>
      </c>
      <c r="J364" s="148">
        <f>SUM($H$18:$H364)</f>
        <v>181909.47409272377</v>
      </c>
    </row>
    <row r="365" spans="1:10" x14ac:dyDescent="0.2">
      <c r="A365" s="146">
        <f>IF(Values_Entered,A364+1,"")</f>
        <v>348</v>
      </c>
      <c r="B365" s="147">
        <f t="shared" si="40"/>
        <v>52902</v>
      </c>
      <c r="C365" s="148">
        <f t="shared" si="46"/>
        <v>15247.184405698914</v>
      </c>
      <c r="D365" s="148">
        <f t="shared" si="41"/>
        <v>1200.75587806059</v>
      </c>
      <c r="E365" s="149">
        <f t="shared" si="42"/>
        <v>0</v>
      </c>
      <c r="F365" s="148">
        <f t="shared" si="43"/>
        <v>1200.75587806059</v>
      </c>
      <c r="G365" s="148">
        <f t="shared" si="44"/>
        <v>1149.2966306913561</v>
      </c>
      <c r="H365" s="148">
        <f t="shared" si="47"/>
        <v>51.459247369233843</v>
      </c>
      <c r="I365" s="148">
        <f t="shared" si="45"/>
        <v>14097.887775007557</v>
      </c>
      <c r="J365" s="148">
        <f>SUM($H$18:$H365)</f>
        <v>181960.933340093</v>
      </c>
    </row>
    <row r="366" spans="1:10" x14ac:dyDescent="0.2">
      <c r="A366" s="146">
        <f>IF(Values_Entered,A365+1,"")</f>
        <v>349</v>
      </c>
      <c r="B366" s="147">
        <f t="shared" si="40"/>
        <v>52932</v>
      </c>
      <c r="C366" s="148">
        <f t="shared" si="46"/>
        <v>14097.887775007557</v>
      </c>
      <c r="D366" s="148">
        <f t="shared" si="41"/>
        <v>1200.75587806059</v>
      </c>
      <c r="E366" s="149">
        <f t="shared" si="42"/>
        <v>0</v>
      </c>
      <c r="F366" s="148">
        <f t="shared" si="43"/>
        <v>1200.75587806059</v>
      </c>
      <c r="G366" s="148">
        <f t="shared" si="44"/>
        <v>1153.1755068199395</v>
      </c>
      <c r="H366" s="148">
        <f t="shared" si="47"/>
        <v>47.5803712406505</v>
      </c>
      <c r="I366" s="148">
        <f t="shared" si="45"/>
        <v>12944.712268187617</v>
      </c>
      <c r="J366" s="148">
        <f>SUM($H$18:$H366)</f>
        <v>182008.51371133365</v>
      </c>
    </row>
    <row r="367" spans="1:10" x14ac:dyDescent="0.2">
      <c r="A367" s="146">
        <f>IF(Values_Entered,A366+1,"")</f>
        <v>350</v>
      </c>
      <c r="B367" s="147">
        <f t="shared" si="40"/>
        <v>52963</v>
      </c>
      <c r="C367" s="148">
        <f t="shared" si="46"/>
        <v>12944.712268187617</v>
      </c>
      <c r="D367" s="148">
        <f t="shared" si="41"/>
        <v>1200.75587806059</v>
      </c>
      <c r="E367" s="149">
        <f t="shared" si="42"/>
        <v>0</v>
      </c>
      <c r="F367" s="148">
        <f t="shared" si="43"/>
        <v>1200.75587806059</v>
      </c>
      <c r="G367" s="148">
        <f t="shared" si="44"/>
        <v>1157.0674741554567</v>
      </c>
      <c r="H367" s="148">
        <f t="shared" si="47"/>
        <v>43.688403905133214</v>
      </c>
      <c r="I367" s="148">
        <f t="shared" si="45"/>
        <v>11787.64479403216</v>
      </c>
      <c r="J367" s="148">
        <f>SUM($H$18:$H367)</f>
        <v>182052.20211523879</v>
      </c>
    </row>
    <row r="368" spans="1:10" x14ac:dyDescent="0.2">
      <c r="A368" s="146">
        <f>IF(Values_Entered,A367+1,"")</f>
        <v>351</v>
      </c>
      <c r="B368" s="147">
        <f t="shared" si="40"/>
        <v>52994</v>
      </c>
      <c r="C368" s="148">
        <f t="shared" si="46"/>
        <v>11787.64479403216</v>
      </c>
      <c r="D368" s="148">
        <f t="shared" si="41"/>
        <v>1200.75587806059</v>
      </c>
      <c r="E368" s="149">
        <f t="shared" si="42"/>
        <v>0</v>
      </c>
      <c r="F368" s="148">
        <f t="shared" si="43"/>
        <v>1200.75587806059</v>
      </c>
      <c r="G368" s="148">
        <f t="shared" si="44"/>
        <v>1160.9725768807316</v>
      </c>
      <c r="H368" s="148">
        <f t="shared" si="47"/>
        <v>39.78330117985854</v>
      </c>
      <c r="I368" s="148">
        <f t="shared" si="45"/>
        <v>10626.672217151428</v>
      </c>
      <c r="J368" s="148">
        <f>SUM($H$18:$H368)</f>
        <v>182091.98541641864</v>
      </c>
    </row>
    <row r="369" spans="1:10" x14ac:dyDescent="0.2">
      <c r="A369" s="146">
        <f>IF(Values_Entered,A368+1,"")</f>
        <v>352</v>
      </c>
      <c r="B369" s="147">
        <f t="shared" si="40"/>
        <v>53022</v>
      </c>
      <c r="C369" s="148">
        <f t="shared" si="46"/>
        <v>10626.672217151428</v>
      </c>
      <c r="D369" s="148">
        <f t="shared" si="41"/>
        <v>1200.75587806059</v>
      </c>
      <c r="E369" s="149">
        <f t="shared" si="42"/>
        <v>0</v>
      </c>
      <c r="F369" s="148">
        <f t="shared" si="43"/>
        <v>1200.75587806059</v>
      </c>
      <c r="G369" s="148">
        <f t="shared" si="44"/>
        <v>1164.890859327704</v>
      </c>
      <c r="H369" s="148">
        <f t="shared" si="47"/>
        <v>35.865018732886071</v>
      </c>
      <c r="I369" s="148">
        <f t="shared" si="45"/>
        <v>9461.7813578237237</v>
      </c>
      <c r="J369" s="148">
        <f>SUM($H$18:$H369)</f>
        <v>182127.85043515151</v>
      </c>
    </row>
    <row r="370" spans="1:10" x14ac:dyDescent="0.2">
      <c r="A370" s="146">
        <f>IF(Values_Entered,A369+1,"")</f>
        <v>353</v>
      </c>
      <c r="B370" s="147">
        <f t="shared" si="40"/>
        <v>53053</v>
      </c>
      <c r="C370" s="148">
        <f t="shared" si="46"/>
        <v>9461.7813578237237</v>
      </c>
      <c r="D370" s="148">
        <f t="shared" si="41"/>
        <v>1200.75587806059</v>
      </c>
      <c r="E370" s="149">
        <f t="shared" si="42"/>
        <v>0</v>
      </c>
      <c r="F370" s="148">
        <f t="shared" si="43"/>
        <v>1200.75587806059</v>
      </c>
      <c r="G370" s="148">
        <f t="shared" si="44"/>
        <v>1168.8223659779349</v>
      </c>
      <c r="H370" s="148">
        <f t="shared" si="47"/>
        <v>31.933512082655071</v>
      </c>
      <c r="I370" s="148">
        <f t="shared" si="45"/>
        <v>8292.9589918457896</v>
      </c>
      <c r="J370" s="148">
        <f>SUM($H$18:$H370)</f>
        <v>182159.78394723416</v>
      </c>
    </row>
    <row r="371" spans="1:10" x14ac:dyDescent="0.2">
      <c r="A371" s="146">
        <f>IF(Values_Entered,A370+1,"")</f>
        <v>354</v>
      </c>
      <c r="B371" s="147">
        <f t="shared" si="40"/>
        <v>53083</v>
      </c>
      <c r="C371" s="148">
        <f t="shared" si="46"/>
        <v>8292.9589918457896</v>
      </c>
      <c r="D371" s="148">
        <f t="shared" si="41"/>
        <v>1200.75587806059</v>
      </c>
      <c r="E371" s="149">
        <f t="shared" si="42"/>
        <v>0</v>
      </c>
      <c r="F371" s="148">
        <f t="shared" si="43"/>
        <v>1200.75587806059</v>
      </c>
      <c r="G371" s="148">
        <f t="shared" si="44"/>
        <v>1172.7671414631104</v>
      </c>
      <c r="H371" s="148">
        <f t="shared" si="47"/>
        <v>27.988736597479541</v>
      </c>
      <c r="I371" s="148">
        <f t="shared" si="45"/>
        <v>7120.1918503826791</v>
      </c>
      <c r="J371" s="148">
        <f>SUM($H$18:$H371)</f>
        <v>182187.77268383163</v>
      </c>
    </row>
    <row r="372" spans="1:10" x14ac:dyDescent="0.2">
      <c r="A372" s="146">
        <f>IF(Values_Entered,A371+1,"")</f>
        <v>355</v>
      </c>
      <c r="B372" s="147">
        <f t="shared" si="40"/>
        <v>53114</v>
      </c>
      <c r="C372" s="148">
        <f t="shared" si="46"/>
        <v>7120.1918503826791</v>
      </c>
      <c r="D372" s="148">
        <f t="shared" si="41"/>
        <v>1200.75587806059</v>
      </c>
      <c r="E372" s="149">
        <f t="shared" si="42"/>
        <v>0</v>
      </c>
      <c r="F372" s="148">
        <f t="shared" si="43"/>
        <v>1200.75587806059</v>
      </c>
      <c r="G372" s="148">
        <f t="shared" si="44"/>
        <v>1176.7252305655484</v>
      </c>
      <c r="H372" s="148">
        <f t="shared" si="47"/>
        <v>24.030647495041546</v>
      </c>
      <c r="I372" s="148">
        <f t="shared" si="45"/>
        <v>5943.4666198171308</v>
      </c>
      <c r="J372" s="148">
        <f>SUM($H$18:$H372)</f>
        <v>182211.80333132666</v>
      </c>
    </row>
    <row r="373" spans="1:10" x14ac:dyDescent="0.2">
      <c r="A373" s="146">
        <f>IF(Values_Entered,A372+1,"")</f>
        <v>356</v>
      </c>
      <c r="B373" s="147">
        <f t="shared" si="40"/>
        <v>53144</v>
      </c>
      <c r="C373" s="148">
        <f t="shared" si="46"/>
        <v>5943.4666198171308</v>
      </c>
      <c r="D373" s="148">
        <f t="shared" si="41"/>
        <v>1200.75587806059</v>
      </c>
      <c r="E373" s="149">
        <f t="shared" si="42"/>
        <v>0</v>
      </c>
      <c r="F373" s="148">
        <f t="shared" si="43"/>
        <v>1200.75587806059</v>
      </c>
      <c r="G373" s="148">
        <f t="shared" si="44"/>
        <v>1180.6966782187071</v>
      </c>
      <c r="H373" s="148">
        <f t="shared" si="47"/>
        <v>20.059199841882819</v>
      </c>
      <c r="I373" s="148">
        <f t="shared" si="45"/>
        <v>4762.7699415984234</v>
      </c>
      <c r="J373" s="148">
        <f>SUM($H$18:$H373)</f>
        <v>182231.86253116856</v>
      </c>
    </row>
    <row r="374" spans="1:10" x14ac:dyDescent="0.2">
      <c r="A374" s="146">
        <f>IF(Values_Entered,A373+1,"")</f>
        <v>357</v>
      </c>
      <c r="B374" s="147">
        <f t="shared" si="40"/>
        <v>53175</v>
      </c>
      <c r="C374" s="148">
        <f t="shared" si="46"/>
        <v>4762.7699415984234</v>
      </c>
      <c r="D374" s="148">
        <f t="shared" si="41"/>
        <v>1200.75587806059</v>
      </c>
      <c r="E374" s="149">
        <f t="shared" si="42"/>
        <v>0</v>
      </c>
      <c r="F374" s="148">
        <f t="shared" si="43"/>
        <v>1200.75587806059</v>
      </c>
      <c r="G374" s="148">
        <f t="shared" si="44"/>
        <v>1184.6815295076954</v>
      </c>
      <c r="H374" s="148">
        <f t="shared" si="47"/>
        <v>16.07434855289468</v>
      </c>
      <c r="I374" s="148">
        <f t="shared" si="45"/>
        <v>3578.0884120907281</v>
      </c>
      <c r="J374" s="148">
        <f>SUM($H$18:$H374)</f>
        <v>182247.93687972147</v>
      </c>
    </row>
    <row r="375" spans="1:10" x14ac:dyDescent="0.2">
      <c r="A375" s="146">
        <f>IF(Values_Entered,A374+1,"")</f>
        <v>358</v>
      </c>
      <c r="B375" s="147">
        <f t="shared" si="40"/>
        <v>53206</v>
      </c>
      <c r="C375" s="148">
        <f t="shared" si="46"/>
        <v>3578.0884120907281</v>
      </c>
      <c r="D375" s="148">
        <f t="shared" si="41"/>
        <v>1200.75587806059</v>
      </c>
      <c r="E375" s="149">
        <f t="shared" si="42"/>
        <v>0</v>
      </c>
      <c r="F375" s="148">
        <f t="shared" si="43"/>
        <v>1200.75587806059</v>
      </c>
      <c r="G375" s="148">
        <f t="shared" si="44"/>
        <v>1188.6798296697839</v>
      </c>
      <c r="H375" s="148">
        <f t="shared" si="47"/>
        <v>12.076048390806207</v>
      </c>
      <c r="I375" s="148">
        <f t="shared" si="45"/>
        <v>2389.4085824209442</v>
      </c>
      <c r="J375" s="148">
        <f>SUM($H$18:$H375)</f>
        <v>182260.01292811226</v>
      </c>
    </row>
    <row r="376" spans="1:10" x14ac:dyDescent="0.2">
      <c r="A376" s="146">
        <f>IF(Values_Entered,A375+1,"")</f>
        <v>359</v>
      </c>
      <c r="B376" s="147">
        <f t="shared" si="40"/>
        <v>53236</v>
      </c>
      <c r="C376" s="148">
        <f t="shared" si="46"/>
        <v>2389.4085824209442</v>
      </c>
      <c r="D376" s="148">
        <f t="shared" si="41"/>
        <v>1200.75587806059</v>
      </c>
      <c r="E376" s="149">
        <f t="shared" si="42"/>
        <v>0</v>
      </c>
      <c r="F376" s="148">
        <f t="shared" si="43"/>
        <v>1200.75587806059</v>
      </c>
      <c r="G376" s="148">
        <f t="shared" si="44"/>
        <v>1192.6916240949192</v>
      </c>
      <c r="H376" s="148">
        <f t="shared" si="47"/>
        <v>8.0642539656706873</v>
      </c>
      <c r="I376" s="148">
        <f t="shared" si="45"/>
        <v>1196.716958326025</v>
      </c>
      <c r="J376" s="148">
        <f>SUM($H$18:$H376)</f>
        <v>182268.07718207795</v>
      </c>
    </row>
    <row r="377" spans="1:10" x14ac:dyDescent="0.2">
      <c r="A377" s="146">
        <f>IF(Values_Entered,A376+1,"")</f>
        <v>360</v>
      </c>
      <c r="B377" s="147">
        <f t="shared" si="40"/>
        <v>53267</v>
      </c>
      <c r="C377" s="148">
        <f t="shared" si="46"/>
        <v>1196.716958326025</v>
      </c>
      <c r="D377" s="148">
        <f t="shared" si="41"/>
        <v>1200.75587806059</v>
      </c>
      <c r="E377" s="149">
        <f t="shared" si="42"/>
        <v>0</v>
      </c>
      <c r="F377" s="148">
        <f t="shared" si="43"/>
        <v>1196.716958326025</v>
      </c>
      <c r="G377" s="148">
        <f t="shared" si="44"/>
        <v>1192.6780385916745</v>
      </c>
      <c r="H377" s="148">
        <f t="shared" si="47"/>
        <v>4.0389197343503342</v>
      </c>
      <c r="I377" s="148">
        <f t="shared" si="45"/>
        <v>0</v>
      </c>
      <c r="J377" s="148">
        <f>SUM($H$18:$H377)</f>
        <v>182272.11610181231</v>
      </c>
    </row>
    <row r="378" spans="1:10" x14ac:dyDescent="0.2">
      <c r="A378" s="146">
        <f>IF(Values_Entered,A377+1,"")</f>
        <v>361</v>
      </c>
      <c r="B378" s="147">
        <f t="shared" si="40"/>
        <v>53297</v>
      </c>
      <c r="C378" s="148">
        <f t="shared" si="46"/>
        <v>0</v>
      </c>
      <c r="D378" s="148">
        <f t="shared" si="41"/>
        <v>1200.75587806059</v>
      </c>
      <c r="E378" s="149">
        <f t="shared" si="42"/>
        <v>0</v>
      </c>
      <c r="F378" s="148">
        <f t="shared" si="43"/>
        <v>0</v>
      </c>
      <c r="G378" s="148">
        <f t="shared" si="44"/>
        <v>0</v>
      </c>
      <c r="H378" s="148">
        <f t="shared" si="47"/>
        <v>0</v>
      </c>
      <c r="I378" s="148">
        <f t="shared" si="45"/>
        <v>0</v>
      </c>
      <c r="J378" s="148">
        <f>SUM($H$18:$H378)</f>
        <v>182272.11610181231</v>
      </c>
    </row>
    <row r="379" spans="1:10" x14ac:dyDescent="0.2">
      <c r="A379" s="146">
        <f>IF(Values_Entered,A378+1,"")</f>
        <v>362</v>
      </c>
      <c r="B379" s="147">
        <f t="shared" si="40"/>
        <v>53328</v>
      </c>
      <c r="C379" s="148">
        <f t="shared" si="46"/>
        <v>0</v>
      </c>
      <c r="D379" s="148">
        <f t="shared" si="41"/>
        <v>1200.75587806059</v>
      </c>
      <c r="E379" s="149">
        <f t="shared" si="42"/>
        <v>0</v>
      </c>
      <c r="F379" s="148">
        <f t="shared" si="43"/>
        <v>0</v>
      </c>
      <c r="G379" s="148">
        <f t="shared" si="44"/>
        <v>0</v>
      </c>
      <c r="H379" s="148">
        <f t="shared" si="47"/>
        <v>0</v>
      </c>
      <c r="I379" s="148">
        <f t="shared" si="45"/>
        <v>0</v>
      </c>
      <c r="J379" s="148">
        <f>SUM($H$18:$H379)</f>
        <v>182272.11610181231</v>
      </c>
    </row>
    <row r="380" spans="1:10" x14ac:dyDescent="0.2">
      <c r="A380" s="146">
        <f>IF(Values_Entered,A379+1,"")</f>
        <v>363</v>
      </c>
      <c r="B380" s="147">
        <f t="shared" si="40"/>
        <v>53359</v>
      </c>
      <c r="C380" s="148">
        <f t="shared" si="46"/>
        <v>0</v>
      </c>
      <c r="D380" s="148">
        <f t="shared" si="41"/>
        <v>1200.75587806059</v>
      </c>
      <c r="E380" s="149">
        <f t="shared" si="42"/>
        <v>0</v>
      </c>
      <c r="F380" s="148">
        <f t="shared" si="43"/>
        <v>0</v>
      </c>
      <c r="G380" s="148">
        <f t="shared" si="44"/>
        <v>0</v>
      </c>
      <c r="H380" s="148">
        <f t="shared" si="47"/>
        <v>0</v>
      </c>
      <c r="I380" s="148">
        <f t="shared" si="45"/>
        <v>0</v>
      </c>
      <c r="J380" s="148">
        <f>SUM($H$18:$H380)</f>
        <v>182272.11610181231</v>
      </c>
    </row>
    <row r="381" spans="1:10" x14ac:dyDescent="0.2">
      <c r="A381" s="146">
        <f>IF(Values_Entered,A380+1,"")</f>
        <v>364</v>
      </c>
      <c r="B381" s="147">
        <f t="shared" si="40"/>
        <v>53387</v>
      </c>
      <c r="C381" s="148">
        <f t="shared" si="46"/>
        <v>0</v>
      </c>
      <c r="D381" s="148">
        <f t="shared" si="41"/>
        <v>1200.75587806059</v>
      </c>
      <c r="E381" s="149">
        <f t="shared" si="42"/>
        <v>0</v>
      </c>
      <c r="F381" s="148">
        <f t="shared" si="43"/>
        <v>0</v>
      </c>
      <c r="G381" s="148">
        <f t="shared" si="44"/>
        <v>0</v>
      </c>
      <c r="H381" s="148">
        <f t="shared" si="47"/>
        <v>0</v>
      </c>
      <c r="I381" s="148">
        <f t="shared" si="45"/>
        <v>0</v>
      </c>
      <c r="J381" s="148">
        <f>SUM($H$18:$H381)</f>
        <v>182272.11610181231</v>
      </c>
    </row>
    <row r="382" spans="1:10" x14ac:dyDescent="0.2">
      <c r="A382" s="146">
        <f>IF(Values_Entered,A381+1,"")</f>
        <v>365</v>
      </c>
      <c r="B382" s="147">
        <f t="shared" si="40"/>
        <v>53418</v>
      </c>
      <c r="C382" s="148">
        <f t="shared" si="46"/>
        <v>0</v>
      </c>
      <c r="D382" s="148">
        <f t="shared" si="41"/>
        <v>1200.75587806059</v>
      </c>
      <c r="E382" s="149">
        <f t="shared" si="42"/>
        <v>0</v>
      </c>
      <c r="F382" s="148">
        <f t="shared" si="43"/>
        <v>0</v>
      </c>
      <c r="G382" s="148">
        <f t="shared" si="44"/>
        <v>0</v>
      </c>
      <c r="H382" s="148">
        <f t="shared" si="47"/>
        <v>0</v>
      </c>
      <c r="I382" s="148">
        <f t="shared" si="45"/>
        <v>0</v>
      </c>
      <c r="J382" s="148">
        <f>SUM($H$18:$H382)</f>
        <v>182272.11610181231</v>
      </c>
    </row>
    <row r="383" spans="1:10" x14ac:dyDescent="0.2">
      <c r="A383" s="146">
        <f>IF(Values_Entered,A382+1,"")</f>
        <v>366</v>
      </c>
      <c r="B383" s="147">
        <f t="shared" si="40"/>
        <v>53448</v>
      </c>
      <c r="C383" s="148">
        <f t="shared" si="46"/>
        <v>0</v>
      </c>
      <c r="D383" s="148">
        <f t="shared" si="41"/>
        <v>1200.75587806059</v>
      </c>
      <c r="E383" s="149">
        <f t="shared" si="42"/>
        <v>0</v>
      </c>
      <c r="F383" s="148">
        <f t="shared" si="43"/>
        <v>0</v>
      </c>
      <c r="G383" s="148">
        <f t="shared" si="44"/>
        <v>0</v>
      </c>
      <c r="H383" s="148">
        <f t="shared" si="47"/>
        <v>0</v>
      </c>
      <c r="I383" s="148">
        <f t="shared" si="45"/>
        <v>0</v>
      </c>
      <c r="J383" s="148">
        <f>SUM($H$18:$H383)</f>
        <v>182272.11610181231</v>
      </c>
    </row>
    <row r="384" spans="1:10" x14ac:dyDescent="0.2">
      <c r="A384" s="146">
        <f>IF(Values_Entered,A383+1,"")</f>
        <v>367</v>
      </c>
      <c r="B384" s="147">
        <f t="shared" si="40"/>
        <v>53479</v>
      </c>
      <c r="C384" s="148">
        <f t="shared" si="46"/>
        <v>0</v>
      </c>
      <c r="D384" s="148">
        <f t="shared" si="41"/>
        <v>1200.75587806059</v>
      </c>
      <c r="E384" s="149">
        <f t="shared" si="42"/>
        <v>0</v>
      </c>
      <c r="F384" s="148">
        <f t="shared" si="43"/>
        <v>0</v>
      </c>
      <c r="G384" s="148">
        <f t="shared" si="44"/>
        <v>0</v>
      </c>
      <c r="H384" s="148">
        <f t="shared" si="47"/>
        <v>0</v>
      </c>
      <c r="I384" s="148">
        <f t="shared" si="45"/>
        <v>0</v>
      </c>
      <c r="J384" s="148">
        <f>SUM($H$18:$H384)</f>
        <v>182272.11610181231</v>
      </c>
    </row>
    <row r="385" spans="1:10" x14ac:dyDescent="0.2">
      <c r="A385" s="146">
        <f>IF(Values_Entered,A384+1,"")</f>
        <v>368</v>
      </c>
      <c r="B385" s="147">
        <f t="shared" si="40"/>
        <v>53509</v>
      </c>
      <c r="C385" s="148">
        <f t="shared" si="46"/>
        <v>0</v>
      </c>
      <c r="D385" s="148">
        <f t="shared" si="41"/>
        <v>1200.75587806059</v>
      </c>
      <c r="E385" s="149">
        <f t="shared" si="42"/>
        <v>0</v>
      </c>
      <c r="F385" s="148">
        <f t="shared" si="43"/>
        <v>0</v>
      </c>
      <c r="G385" s="148">
        <f t="shared" si="44"/>
        <v>0</v>
      </c>
      <c r="H385" s="148">
        <f t="shared" si="47"/>
        <v>0</v>
      </c>
      <c r="I385" s="148">
        <f t="shared" si="45"/>
        <v>0</v>
      </c>
      <c r="J385" s="148">
        <f>SUM($H$18:$H385)</f>
        <v>182272.11610181231</v>
      </c>
    </row>
    <row r="386" spans="1:10" x14ac:dyDescent="0.2">
      <c r="A386" s="146">
        <f>IF(Values_Entered,A385+1,"")</f>
        <v>369</v>
      </c>
      <c r="B386" s="147">
        <f t="shared" si="40"/>
        <v>53540</v>
      </c>
      <c r="C386" s="148">
        <f t="shared" si="46"/>
        <v>0</v>
      </c>
      <c r="D386" s="148">
        <f t="shared" si="41"/>
        <v>1200.75587806059</v>
      </c>
      <c r="E386" s="149">
        <f t="shared" si="42"/>
        <v>0</v>
      </c>
      <c r="F386" s="148">
        <f t="shared" si="43"/>
        <v>0</v>
      </c>
      <c r="G386" s="148">
        <f t="shared" si="44"/>
        <v>0</v>
      </c>
      <c r="H386" s="148">
        <f t="shared" si="47"/>
        <v>0</v>
      </c>
      <c r="I386" s="148">
        <f t="shared" si="45"/>
        <v>0</v>
      </c>
      <c r="J386" s="148">
        <f>SUM($H$18:$H386)</f>
        <v>182272.11610181231</v>
      </c>
    </row>
    <row r="387" spans="1:10" x14ac:dyDescent="0.2">
      <c r="A387" s="146">
        <f>IF(Values_Entered,A386+1,"")</f>
        <v>370</v>
      </c>
      <c r="B387" s="147">
        <f t="shared" si="40"/>
        <v>53571</v>
      </c>
      <c r="C387" s="148">
        <f t="shared" si="46"/>
        <v>0</v>
      </c>
      <c r="D387" s="148">
        <f t="shared" si="41"/>
        <v>1200.75587806059</v>
      </c>
      <c r="E387" s="149">
        <f t="shared" si="42"/>
        <v>0</v>
      </c>
      <c r="F387" s="148">
        <f t="shared" si="43"/>
        <v>0</v>
      </c>
      <c r="G387" s="148">
        <f t="shared" si="44"/>
        <v>0</v>
      </c>
      <c r="H387" s="148">
        <f t="shared" si="47"/>
        <v>0</v>
      </c>
      <c r="I387" s="148">
        <f t="shared" si="45"/>
        <v>0</v>
      </c>
      <c r="J387" s="148">
        <f>SUM($H$18:$H387)</f>
        <v>182272.11610181231</v>
      </c>
    </row>
    <row r="388" spans="1:10" x14ac:dyDescent="0.2">
      <c r="A388" s="146">
        <f>IF(Values_Entered,A387+1,"")</f>
        <v>371</v>
      </c>
      <c r="B388" s="147">
        <f t="shared" si="40"/>
        <v>53601</v>
      </c>
      <c r="C388" s="148">
        <f t="shared" si="46"/>
        <v>0</v>
      </c>
      <c r="D388" s="148">
        <f t="shared" si="41"/>
        <v>1200.75587806059</v>
      </c>
      <c r="E388" s="149">
        <f t="shared" si="42"/>
        <v>0</v>
      </c>
      <c r="F388" s="148">
        <f t="shared" si="43"/>
        <v>0</v>
      </c>
      <c r="G388" s="148">
        <f t="shared" si="44"/>
        <v>0</v>
      </c>
      <c r="H388" s="148">
        <f t="shared" si="47"/>
        <v>0</v>
      </c>
      <c r="I388" s="148">
        <f t="shared" si="45"/>
        <v>0</v>
      </c>
      <c r="J388" s="148">
        <f>SUM($H$18:$H388)</f>
        <v>182272.11610181231</v>
      </c>
    </row>
    <row r="389" spans="1:10" x14ac:dyDescent="0.2">
      <c r="A389" s="146">
        <f>IF(Values_Entered,A388+1,"")</f>
        <v>372</v>
      </c>
      <c r="B389" s="147">
        <f t="shared" si="40"/>
        <v>53632</v>
      </c>
      <c r="C389" s="148">
        <f t="shared" si="46"/>
        <v>0</v>
      </c>
      <c r="D389" s="148">
        <f t="shared" si="41"/>
        <v>1200.75587806059</v>
      </c>
      <c r="E389" s="149">
        <f t="shared" si="42"/>
        <v>0</v>
      </c>
      <c r="F389" s="148">
        <f t="shared" si="43"/>
        <v>0</v>
      </c>
      <c r="G389" s="148">
        <f t="shared" si="44"/>
        <v>0</v>
      </c>
      <c r="H389" s="148">
        <f t="shared" si="47"/>
        <v>0</v>
      </c>
      <c r="I389" s="148">
        <f t="shared" si="45"/>
        <v>0</v>
      </c>
      <c r="J389" s="148">
        <f>SUM($H$18:$H389)</f>
        <v>182272.11610181231</v>
      </c>
    </row>
    <row r="390" spans="1:10" x14ac:dyDescent="0.2">
      <c r="A390" s="146">
        <f>IF(Values_Entered,A389+1,"")</f>
        <v>373</v>
      </c>
      <c r="B390" s="147">
        <f t="shared" si="40"/>
        <v>53662</v>
      </c>
      <c r="C390" s="148">
        <f t="shared" si="46"/>
        <v>0</v>
      </c>
      <c r="D390" s="148">
        <f t="shared" si="41"/>
        <v>1200.75587806059</v>
      </c>
      <c r="E390" s="149">
        <f t="shared" si="42"/>
        <v>0</v>
      </c>
      <c r="F390" s="148">
        <f t="shared" si="43"/>
        <v>0</v>
      </c>
      <c r="G390" s="148">
        <f t="shared" si="44"/>
        <v>0</v>
      </c>
      <c r="H390" s="148">
        <f t="shared" si="47"/>
        <v>0</v>
      </c>
      <c r="I390" s="148">
        <f t="shared" si="45"/>
        <v>0</v>
      </c>
      <c r="J390" s="148">
        <f>SUM($H$18:$H390)</f>
        <v>182272.11610181231</v>
      </c>
    </row>
    <row r="391" spans="1:10" x14ac:dyDescent="0.2">
      <c r="A391" s="146">
        <f>IF(Values_Entered,A390+1,"")</f>
        <v>374</v>
      </c>
      <c r="B391" s="147">
        <f t="shared" si="40"/>
        <v>53693</v>
      </c>
      <c r="C391" s="148">
        <f t="shared" si="46"/>
        <v>0</v>
      </c>
      <c r="D391" s="148">
        <f t="shared" si="41"/>
        <v>1200.75587806059</v>
      </c>
      <c r="E391" s="149">
        <f t="shared" si="42"/>
        <v>0</v>
      </c>
      <c r="F391" s="148">
        <f t="shared" si="43"/>
        <v>0</v>
      </c>
      <c r="G391" s="148">
        <f t="shared" si="44"/>
        <v>0</v>
      </c>
      <c r="H391" s="148">
        <f t="shared" si="47"/>
        <v>0</v>
      </c>
      <c r="I391" s="148">
        <f t="shared" si="45"/>
        <v>0</v>
      </c>
      <c r="J391" s="148">
        <f>SUM($H$18:$H391)</f>
        <v>182272.11610181231</v>
      </c>
    </row>
    <row r="392" spans="1:10" x14ac:dyDescent="0.2">
      <c r="A392" s="146">
        <f>IF(Values_Entered,A391+1,"")</f>
        <v>375</v>
      </c>
      <c r="B392" s="147">
        <f t="shared" si="40"/>
        <v>53724</v>
      </c>
      <c r="C392" s="148">
        <f t="shared" si="46"/>
        <v>0</v>
      </c>
      <c r="D392" s="148">
        <f t="shared" si="41"/>
        <v>1200.75587806059</v>
      </c>
      <c r="E392" s="149">
        <f t="shared" si="42"/>
        <v>0</v>
      </c>
      <c r="F392" s="148">
        <f t="shared" si="43"/>
        <v>0</v>
      </c>
      <c r="G392" s="148">
        <f t="shared" si="44"/>
        <v>0</v>
      </c>
      <c r="H392" s="148">
        <f t="shared" si="47"/>
        <v>0</v>
      </c>
      <c r="I392" s="148">
        <f t="shared" si="45"/>
        <v>0</v>
      </c>
      <c r="J392" s="148">
        <f>SUM($H$18:$H392)</f>
        <v>182272.11610181231</v>
      </c>
    </row>
    <row r="393" spans="1:10" x14ac:dyDescent="0.2">
      <c r="A393" s="146">
        <f>IF(Values_Entered,A392+1,"")</f>
        <v>376</v>
      </c>
      <c r="B393" s="147">
        <f t="shared" si="40"/>
        <v>53752</v>
      </c>
      <c r="C393" s="148">
        <f t="shared" si="46"/>
        <v>0</v>
      </c>
      <c r="D393" s="148">
        <f t="shared" si="41"/>
        <v>1200.75587806059</v>
      </c>
      <c r="E393" s="149">
        <f t="shared" si="42"/>
        <v>0</v>
      </c>
      <c r="F393" s="148">
        <f t="shared" si="43"/>
        <v>0</v>
      </c>
      <c r="G393" s="148">
        <f t="shared" si="44"/>
        <v>0</v>
      </c>
      <c r="H393" s="148">
        <f t="shared" si="47"/>
        <v>0</v>
      </c>
      <c r="I393" s="148">
        <f t="shared" si="45"/>
        <v>0</v>
      </c>
      <c r="J393" s="148">
        <f>SUM($H$18:$H393)</f>
        <v>182272.11610181231</v>
      </c>
    </row>
    <row r="394" spans="1:10" x14ac:dyDescent="0.2">
      <c r="A394" s="146">
        <f>IF(Values_Entered,A393+1,"")</f>
        <v>377</v>
      </c>
      <c r="B394" s="147">
        <f t="shared" si="40"/>
        <v>53783</v>
      </c>
      <c r="C394" s="148">
        <f t="shared" si="46"/>
        <v>0</v>
      </c>
      <c r="D394" s="148">
        <f t="shared" si="41"/>
        <v>1200.75587806059</v>
      </c>
      <c r="E394" s="149">
        <f t="shared" si="42"/>
        <v>0</v>
      </c>
      <c r="F394" s="148">
        <f t="shared" si="43"/>
        <v>0</v>
      </c>
      <c r="G394" s="148">
        <f t="shared" si="44"/>
        <v>0</v>
      </c>
      <c r="H394" s="148">
        <f t="shared" si="47"/>
        <v>0</v>
      </c>
      <c r="I394" s="148">
        <f t="shared" si="45"/>
        <v>0</v>
      </c>
      <c r="J394" s="148">
        <f>SUM($H$18:$H394)</f>
        <v>182272.11610181231</v>
      </c>
    </row>
    <row r="395" spans="1:10" x14ac:dyDescent="0.2">
      <c r="A395" s="146">
        <f>IF(Values_Entered,A394+1,"")</f>
        <v>378</v>
      </c>
      <c r="B395" s="147">
        <f t="shared" si="40"/>
        <v>53813</v>
      </c>
      <c r="C395" s="148">
        <f t="shared" si="46"/>
        <v>0</v>
      </c>
      <c r="D395" s="148">
        <f t="shared" si="41"/>
        <v>1200.75587806059</v>
      </c>
      <c r="E395" s="149">
        <f t="shared" si="42"/>
        <v>0</v>
      </c>
      <c r="F395" s="148">
        <f t="shared" si="43"/>
        <v>0</v>
      </c>
      <c r="G395" s="148">
        <f t="shared" si="44"/>
        <v>0</v>
      </c>
      <c r="H395" s="148">
        <f t="shared" si="47"/>
        <v>0</v>
      </c>
      <c r="I395" s="148">
        <f t="shared" si="45"/>
        <v>0</v>
      </c>
      <c r="J395" s="148">
        <f>SUM($H$18:$H395)</f>
        <v>182272.11610181231</v>
      </c>
    </row>
    <row r="396" spans="1:10" x14ac:dyDescent="0.2">
      <c r="A396" s="146">
        <f>IF(Values_Entered,A395+1,"")</f>
        <v>379</v>
      </c>
      <c r="B396" s="147">
        <f t="shared" si="40"/>
        <v>53844</v>
      </c>
      <c r="C396" s="148">
        <f t="shared" si="46"/>
        <v>0</v>
      </c>
      <c r="D396" s="148">
        <f t="shared" si="41"/>
        <v>1200.75587806059</v>
      </c>
      <c r="E396" s="149">
        <f t="shared" si="42"/>
        <v>0</v>
      </c>
      <c r="F396" s="148">
        <f t="shared" si="43"/>
        <v>0</v>
      </c>
      <c r="G396" s="148">
        <f t="shared" si="44"/>
        <v>0</v>
      </c>
      <c r="H396" s="148">
        <f t="shared" si="47"/>
        <v>0</v>
      </c>
      <c r="I396" s="148">
        <f t="shared" si="45"/>
        <v>0</v>
      </c>
      <c r="J396" s="148">
        <f>SUM($H$18:$H396)</f>
        <v>182272.11610181231</v>
      </c>
    </row>
    <row r="397" spans="1:10" x14ac:dyDescent="0.2">
      <c r="A397" s="146">
        <f>IF(Values_Entered,A396+1,"")</f>
        <v>380</v>
      </c>
      <c r="B397" s="147">
        <f t="shared" si="40"/>
        <v>53874</v>
      </c>
      <c r="C397" s="148">
        <f t="shared" si="46"/>
        <v>0</v>
      </c>
      <c r="D397" s="148">
        <f t="shared" si="41"/>
        <v>1200.75587806059</v>
      </c>
      <c r="E397" s="149">
        <f t="shared" si="42"/>
        <v>0</v>
      </c>
      <c r="F397" s="148">
        <f t="shared" si="43"/>
        <v>0</v>
      </c>
      <c r="G397" s="148">
        <f t="shared" si="44"/>
        <v>0</v>
      </c>
      <c r="H397" s="148">
        <f t="shared" si="47"/>
        <v>0</v>
      </c>
      <c r="I397" s="148">
        <f t="shared" si="45"/>
        <v>0</v>
      </c>
      <c r="J397" s="148">
        <f>SUM($H$18:$H397)</f>
        <v>182272.11610181231</v>
      </c>
    </row>
    <row r="398" spans="1:10" x14ac:dyDescent="0.2">
      <c r="A398" s="146">
        <f>IF(Values_Entered,A397+1,"")</f>
        <v>381</v>
      </c>
      <c r="B398" s="147">
        <f t="shared" si="40"/>
        <v>53905</v>
      </c>
      <c r="C398" s="148">
        <f t="shared" si="46"/>
        <v>0</v>
      </c>
      <c r="D398" s="148">
        <f t="shared" si="41"/>
        <v>1200.75587806059</v>
      </c>
      <c r="E398" s="149">
        <f t="shared" si="42"/>
        <v>0</v>
      </c>
      <c r="F398" s="148">
        <f t="shared" si="43"/>
        <v>0</v>
      </c>
      <c r="G398" s="148">
        <f t="shared" si="44"/>
        <v>0</v>
      </c>
      <c r="H398" s="148">
        <f t="shared" si="47"/>
        <v>0</v>
      </c>
      <c r="I398" s="148">
        <f t="shared" si="45"/>
        <v>0</v>
      </c>
      <c r="J398" s="148">
        <f>SUM($H$18:$H398)</f>
        <v>182272.11610181231</v>
      </c>
    </row>
    <row r="399" spans="1:10" x14ac:dyDescent="0.2">
      <c r="A399" s="146">
        <f>IF(Values_Entered,A398+1,"")</f>
        <v>382</v>
      </c>
      <c r="B399" s="147">
        <f t="shared" si="40"/>
        <v>53936</v>
      </c>
      <c r="C399" s="148">
        <f t="shared" si="46"/>
        <v>0</v>
      </c>
      <c r="D399" s="148">
        <f t="shared" si="41"/>
        <v>1200.75587806059</v>
      </c>
      <c r="E399" s="149">
        <f t="shared" si="42"/>
        <v>0</v>
      </c>
      <c r="F399" s="148">
        <f t="shared" si="43"/>
        <v>0</v>
      </c>
      <c r="G399" s="148">
        <f t="shared" si="44"/>
        <v>0</v>
      </c>
      <c r="H399" s="148">
        <f t="shared" si="47"/>
        <v>0</v>
      </c>
      <c r="I399" s="148">
        <f t="shared" si="45"/>
        <v>0</v>
      </c>
      <c r="J399" s="148">
        <f>SUM($H$18:$H399)</f>
        <v>182272.11610181231</v>
      </c>
    </row>
    <row r="400" spans="1:10" x14ac:dyDescent="0.2">
      <c r="A400" s="146">
        <f>IF(Values_Entered,A399+1,"")</f>
        <v>383</v>
      </c>
      <c r="B400" s="147">
        <f t="shared" si="40"/>
        <v>53966</v>
      </c>
      <c r="C400" s="148">
        <f t="shared" si="46"/>
        <v>0</v>
      </c>
      <c r="D400" s="148">
        <f t="shared" si="41"/>
        <v>1200.75587806059</v>
      </c>
      <c r="E400" s="149">
        <f t="shared" si="42"/>
        <v>0</v>
      </c>
      <c r="F400" s="148">
        <f t="shared" si="43"/>
        <v>0</v>
      </c>
      <c r="G400" s="148">
        <f t="shared" si="44"/>
        <v>0</v>
      </c>
      <c r="H400" s="148">
        <f t="shared" si="47"/>
        <v>0</v>
      </c>
      <c r="I400" s="148">
        <f t="shared" si="45"/>
        <v>0</v>
      </c>
      <c r="J400" s="148">
        <f>SUM($H$18:$H400)</f>
        <v>182272.11610181231</v>
      </c>
    </row>
    <row r="401" spans="1:10" x14ac:dyDescent="0.2">
      <c r="A401" s="146">
        <f>IF(Values_Entered,A400+1,"")</f>
        <v>384</v>
      </c>
      <c r="B401" s="147">
        <f t="shared" si="40"/>
        <v>53997</v>
      </c>
      <c r="C401" s="148">
        <f t="shared" si="46"/>
        <v>0</v>
      </c>
      <c r="D401" s="148">
        <f t="shared" si="41"/>
        <v>1200.75587806059</v>
      </c>
      <c r="E401" s="149">
        <f t="shared" si="42"/>
        <v>0</v>
      </c>
      <c r="F401" s="148">
        <f t="shared" si="43"/>
        <v>0</v>
      </c>
      <c r="G401" s="148">
        <f t="shared" si="44"/>
        <v>0</v>
      </c>
      <c r="H401" s="148">
        <f t="shared" si="47"/>
        <v>0</v>
      </c>
      <c r="I401" s="148">
        <f t="shared" si="45"/>
        <v>0</v>
      </c>
      <c r="J401" s="148">
        <f>SUM($H$18:$H401)</f>
        <v>182272.11610181231</v>
      </c>
    </row>
    <row r="402" spans="1:10" x14ac:dyDescent="0.2">
      <c r="A402" s="146">
        <f>IF(Values_Entered,A401+1,"")</f>
        <v>385</v>
      </c>
      <c r="B402" s="147">
        <f t="shared" ref="B402:B465" si="48">IF(Pay_Num&lt;&gt;"",DATE(YEAR(Loan_Start),MONTH(Loan_Start)+(Pay_Num)*12/Num_Pmt_Per_Year,DAY(Loan_Start)),"")</f>
        <v>54027</v>
      </c>
      <c r="C402" s="148">
        <f t="shared" si="46"/>
        <v>0</v>
      </c>
      <c r="D402" s="148">
        <f t="shared" ref="D402:D465" si="49">IF(Pay_Num&lt;&gt;"",Scheduled_Monthly_Payment,"")</f>
        <v>1200.75587806059</v>
      </c>
      <c r="E402" s="149">
        <f t="shared" ref="E402:E465" si="50">IF(AND(Pay_Num&lt;&gt;"",Sched_Pay+Scheduled_Extra_Payments&lt;Beg_Bal),Scheduled_Extra_Payments,IF(AND(Pay_Num&lt;&gt;"",Beg_Bal-Sched_Pay&gt;0),Beg_Bal-Sched_Pay,IF(Pay_Num&lt;&gt;"",0,"")))</f>
        <v>0</v>
      </c>
      <c r="F402" s="148">
        <f t="shared" ref="F402:F465" si="51">IF(AND(Pay_Num&lt;&gt;"",Sched_Pay+Extra_Pay&lt;Beg_Bal),Sched_Pay+Extra_Pay,IF(Pay_Num&lt;&gt;"",Beg_Bal,""))</f>
        <v>0</v>
      </c>
      <c r="G402" s="148">
        <f t="shared" ref="G402:G465" si="52">IF(Pay_Num&lt;&gt;"",Total_Pay-Int,"")</f>
        <v>0</v>
      </c>
      <c r="H402" s="148">
        <f t="shared" si="47"/>
        <v>0</v>
      </c>
      <c r="I402" s="148">
        <f t="shared" ref="I402:I465" si="53">IF(AND(Pay_Num&lt;&gt;"",Sched_Pay+Extra_Pay&lt;Beg_Bal),Beg_Bal-Princ,IF(Pay_Num&lt;&gt;"",0,""))</f>
        <v>0</v>
      </c>
      <c r="J402" s="148">
        <f>SUM($H$18:$H402)</f>
        <v>182272.11610181231</v>
      </c>
    </row>
    <row r="403" spans="1:10" x14ac:dyDescent="0.2">
      <c r="A403" s="146">
        <f>IF(Values_Entered,A402+1,"")</f>
        <v>386</v>
      </c>
      <c r="B403" s="147">
        <f t="shared" si="48"/>
        <v>54058</v>
      </c>
      <c r="C403" s="148">
        <f t="shared" ref="C403:C466" si="54">IF(Pay_Num&lt;&gt;"",I402,"")</f>
        <v>0</v>
      </c>
      <c r="D403" s="148">
        <f t="shared" si="49"/>
        <v>1200.75587806059</v>
      </c>
      <c r="E403" s="149">
        <f t="shared" si="50"/>
        <v>0</v>
      </c>
      <c r="F403" s="148">
        <f t="shared" si="51"/>
        <v>0</v>
      </c>
      <c r="G403" s="148">
        <f t="shared" si="52"/>
        <v>0</v>
      </c>
      <c r="H403" s="148">
        <f t="shared" ref="H403:H466" si="55">IF(Pay_Num&lt;&gt;"",Beg_Bal*Interest_Rate/Num_Pmt_Per_Year,"")</f>
        <v>0</v>
      </c>
      <c r="I403" s="148">
        <f t="shared" si="53"/>
        <v>0</v>
      </c>
      <c r="J403" s="148">
        <f>SUM($H$18:$H403)</f>
        <v>182272.11610181231</v>
      </c>
    </row>
    <row r="404" spans="1:10" x14ac:dyDescent="0.2">
      <c r="A404" s="146">
        <f>IF(Values_Entered,A403+1,"")</f>
        <v>387</v>
      </c>
      <c r="B404" s="147">
        <f t="shared" si="48"/>
        <v>54089</v>
      </c>
      <c r="C404" s="148">
        <f t="shared" si="54"/>
        <v>0</v>
      </c>
      <c r="D404" s="148">
        <f t="shared" si="49"/>
        <v>1200.75587806059</v>
      </c>
      <c r="E404" s="149">
        <f t="shared" si="50"/>
        <v>0</v>
      </c>
      <c r="F404" s="148">
        <f t="shared" si="51"/>
        <v>0</v>
      </c>
      <c r="G404" s="148">
        <f t="shared" si="52"/>
        <v>0</v>
      </c>
      <c r="H404" s="148">
        <f t="shared" si="55"/>
        <v>0</v>
      </c>
      <c r="I404" s="148">
        <f t="shared" si="53"/>
        <v>0</v>
      </c>
      <c r="J404" s="148">
        <f>SUM($H$18:$H404)</f>
        <v>182272.11610181231</v>
      </c>
    </row>
    <row r="405" spans="1:10" x14ac:dyDescent="0.2">
      <c r="A405" s="146">
        <f>IF(Values_Entered,A404+1,"")</f>
        <v>388</v>
      </c>
      <c r="B405" s="147">
        <f t="shared" si="48"/>
        <v>54118</v>
      </c>
      <c r="C405" s="148">
        <f t="shared" si="54"/>
        <v>0</v>
      </c>
      <c r="D405" s="148">
        <f t="shared" si="49"/>
        <v>1200.75587806059</v>
      </c>
      <c r="E405" s="149">
        <f t="shared" si="50"/>
        <v>0</v>
      </c>
      <c r="F405" s="148">
        <f t="shared" si="51"/>
        <v>0</v>
      </c>
      <c r="G405" s="148">
        <f t="shared" si="52"/>
        <v>0</v>
      </c>
      <c r="H405" s="148">
        <f t="shared" si="55"/>
        <v>0</v>
      </c>
      <c r="I405" s="148">
        <f t="shared" si="53"/>
        <v>0</v>
      </c>
      <c r="J405" s="148">
        <f>SUM($H$18:$H405)</f>
        <v>182272.11610181231</v>
      </c>
    </row>
    <row r="406" spans="1:10" x14ac:dyDescent="0.2">
      <c r="A406" s="146">
        <f>IF(Values_Entered,A405+1,"")</f>
        <v>389</v>
      </c>
      <c r="B406" s="147">
        <f t="shared" si="48"/>
        <v>54149</v>
      </c>
      <c r="C406" s="148">
        <f t="shared" si="54"/>
        <v>0</v>
      </c>
      <c r="D406" s="148">
        <f t="shared" si="49"/>
        <v>1200.75587806059</v>
      </c>
      <c r="E406" s="149">
        <f t="shared" si="50"/>
        <v>0</v>
      </c>
      <c r="F406" s="148">
        <f t="shared" si="51"/>
        <v>0</v>
      </c>
      <c r="G406" s="148">
        <f t="shared" si="52"/>
        <v>0</v>
      </c>
      <c r="H406" s="148">
        <f t="shared" si="55"/>
        <v>0</v>
      </c>
      <c r="I406" s="148">
        <f t="shared" si="53"/>
        <v>0</v>
      </c>
      <c r="J406" s="148">
        <f>SUM($H$18:$H406)</f>
        <v>182272.11610181231</v>
      </c>
    </row>
    <row r="407" spans="1:10" x14ac:dyDescent="0.2">
      <c r="A407" s="146">
        <f>IF(Values_Entered,A406+1,"")</f>
        <v>390</v>
      </c>
      <c r="B407" s="147">
        <f t="shared" si="48"/>
        <v>54179</v>
      </c>
      <c r="C407" s="148">
        <f t="shared" si="54"/>
        <v>0</v>
      </c>
      <c r="D407" s="148">
        <f t="shared" si="49"/>
        <v>1200.75587806059</v>
      </c>
      <c r="E407" s="149">
        <f t="shared" si="50"/>
        <v>0</v>
      </c>
      <c r="F407" s="148">
        <f t="shared" si="51"/>
        <v>0</v>
      </c>
      <c r="G407" s="148">
        <f t="shared" si="52"/>
        <v>0</v>
      </c>
      <c r="H407" s="148">
        <f t="shared" si="55"/>
        <v>0</v>
      </c>
      <c r="I407" s="148">
        <f t="shared" si="53"/>
        <v>0</v>
      </c>
      <c r="J407" s="148">
        <f>SUM($H$18:$H407)</f>
        <v>182272.11610181231</v>
      </c>
    </row>
    <row r="408" spans="1:10" x14ac:dyDescent="0.2">
      <c r="A408" s="146">
        <f>IF(Values_Entered,A407+1,"")</f>
        <v>391</v>
      </c>
      <c r="B408" s="147">
        <f t="shared" si="48"/>
        <v>54210</v>
      </c>
      <c r="C408" s="148">
        <f t="shared" si="54"/>
        <v>0</v>
      </c>
      <c r="D408" s="148">
        <f t="shared" si="49"/>
        <v>1200.75587806059</v>
      </c>
      <c r="E408" s="149">
        <f t="shared" si="50"/>
        <v>0</v>
      </c>
      <c r="F408" s="148">
        <f t="shared" si="51"/>
        <v>0</v>
      </c>
      <c r="G408" s="148">
        <f t="shared" si="52"/>
        <v>0</v>
      </c>
      <c r="H408" s="148">
        <f t="shared" si="55"/>
        <v>0</v>
      </c>
      <c r="I408" s="148">
        <f t="shared" si="53"/>
        <v>0</v>
      </c>
      <c r="J408" s="148">
        <f>SUM($H$18:$H408)</f>
        <v>182272.11610181231</v>
      </c>
    </row>
    <row r="409" spans="1:10" x14ac:dyDescent="0.2">
      <c r="A409" s="146">
        <f>IF(Values_Entered,A408+1,"")</f>
        <v>392</v>
      </c>
      <c r="B409" s="147">
        <f t="shared" si="48"/>
        <v>54240</v>
      </c>
      <c r="C409" s="148">
        <f t="shared" si="54"/>
        <v>0</v>
      </c>
      <c r="D409" s="148">
        <f t="shared" si="49"/>
        <v>1200.75587806059</v>
      </c>
      <c r="E409" s="149">
        <f t="shared" si="50"/>
        <v>0</v>
      </c>
      <c r="F409" s="148">
        <f t="shared" si="51"/>
        <v>0</v>
      </c>
      <c r="G409" s="148">
        <f t="shared" si="52"/>
        <v>0</v>
      </c>
      <c r="H409" s="148">
        <f t="shared" si="55"/>
        <v>0</v>
      </c>
      <c r="I409" s="148">
        <f t="shared" si="53"/>
        <v>0</v>
      </c>
      <c r="J409" s="148">
        <f>SUM($H$18:$H409)</f>
        <v>182272.11610181231</v>
      </c>
    </row>
    <row r="410" spans="1:10" x14ac:dyDescent="0.2">
      <c r="A410" s="146">
        <f>IF(Values_Entered,A409+1,"")</f>
        <v>393</v>
      </c>
      <c r="B410" s="147">
        <f t="shared" si="48"/>
        <v>54271</v>
      </c>
      <c r="C410" s="148">
        <f t="shared" si="54"/>
        <v>0</v>
      </c>
      <c r="D410" s="148">
        <f t="shared" si="49"/>
        <v>1200.75587806059</v>
      </c>
      <c r="E410" s="149">
        <f t="shared" si="50"/>
        <v>0</v>
      </c>
      <c r="F410" s="148">
        <f t="shared" si="51"/>
        <v>0</v>
      </c>
      <c r="G410" s="148">
        <f t="shared" si="52"/>
        <v>0</v>
      </c>
      <c r="H410" s="148">
        <f t="shared" si="55"/>
        <v>0</v>
      </c>
      <c r="I410" s="148">
        <f t="shared" si="53"/>
        <v>0</v>
      </c>
      <c r="J410" s="148">
        <f>SUM($H$18:$H410)</f>
        <v>182272.11610181231</v>
      </c>
    </row>
    <row r="411" spans="1:10" x14ac:dyDescent="0.2">
      <c r="A411" s="146">
        <f>IF(Values_Entered,A410+1,"")</f>
        <v>394</v>
      </c>
      <c r="B411" s="147">
        <f t="shared" si="48"/>
        <v>54302</v>
      </c>
      <c r="C411" s="148">
        <f t="shared" si="54"/>
        <v>0</v>
      </c>
      <c r="D411" s="148">
        <f t="shared" si="49"/>
        <v>1200.75587806059</v>
      </c>
      <c r="E411" s="149">
        <f t="shared" si="50"/>
        <v>0</v>
      </c>
      <c r="F411" s="148">
        <f t="shared" si="51"/>
        <v>0</v>
      </c>
      <c r="G411" s="148">
        <f t="shared" si="52"/>
        <v>0</v>
      </c>
      <c r="H411" s="148">
        <f t="shared" si="55"/>
        <v>0</v>
      </c>
      <c r="I411" s="148">
        <f t="shared" si="53"/>
        <v>0</v>
      </c>
      <c r="J411" s="148">
        <f>SUM($H$18:$H411)</f>
        <v>182272.11610181231</v>
      </c>
    </row>
    <row r="412" spans="1:10" x14ac:dyDescent="0.2">
      <c r="A412" s="146">
        <f>IF(Values_Entered,A411+1,"")</f>
        <v>395</v>
      </c>
      <c r="B412" s="147">
        <f t="shared" si="48"/>
        <v>54332</v>
      </c>
      <c r="C412" s="148">
        <f t="shared" si="54"/>
        <v>0</v>
      </c>
      <c r="D412" s="148">
        <f t="shared" si="49"/>
        <v>1200.75587806059</v>
      </c>
      <c r="E412" s="149">
        <f t="shared" si="50"/>
        <v>0</v>
      </c>
      <c r="F412" s="148">
        <f t="shared" si="51"/>
        <v>0</v>
      </c>
      <c r="G412" s="148">
        <f t="shared" si="52"/>
        <v>0</v>
      </c>
      <c r="H412" s="148">
        <f t="shared" si="55"/>
        <v>0</v>
      </c>
      <c r="I412" s="148">
        <f t="shared" si="53"/>
        <v>0</v>
      </c>
      <c r="J412" s="148">
        <f>SUM($H$18:$H412)</f>
        <v>182272.11610181231</v>
      </c>
    </row>
    <row r="413" spans="1:10" x14ac:dyDescent="0.2">
      <c r="A413" s="146">
        <f>IF(Values_Entered,A412+1,"")</f>
        <v>396</v>
      </c>
      <c r="B413" s="147">
        <f t="shared" si="48"/>
        <v>54363</v>
      </c>
      <c r="C413" s="148">
        <f t="shared" si="54"/>
        <v>0</v>
      </c>
      <c r="D413" s="148">
        <f t="shared" si="49"/>
        <v>1200.75587806059</v>
      </c>
      <c r="E413" s="149">
        <f t="shared" si="50"/>
        <v>0</v>
      </c>
      <c r="F413" s="148">
        <f t="shared" si="51"/>
        <v>0</v>
      </c>
      <c r="G413" s="148">
        <f t="shared" si="52"/>
        <v>0</v>
      </c>
      <c r="H413" s="148">
        <f t="shared" si="55"/>
        <v>0</v>
      </c>
      <c r="I413" s="148">
        <f t="shared" si="53"/>
        <v>0</v>
      </c>
      <c r="J413" s="148">
        <f>SUM($H$18:$H413)</f>
        <v>182272.11610181231</v>
      </c>
    </row>
    <row r="414" spans="1:10" x14ac:dyDescent="0.2">
      <c r="A414" s="146">
        <f>IF(Values_Entered,A413+1,"")</f>
        <v>397</v>
      </c>
      <c r="B414" s="147">
        <f t="shared" si="48"/>
        <v>54393</v>
      </c>
      <c r="C414" s="148">
        <f t="shared" si="54"/>
        <v>0</v>
      </c>
      <c r="D414" s="148">
        <f t="shared" si="49"/>
        <v>1200.75587806059</v>
      </c>
      <c r="E414" s="149">
        <f t="shared" si="50"/>
        <v>0</v>
      </c>
      <c r="F414" s="148">
        <f t="shared" si="51"/>
        <v>0</v>
      </c>
      <c r="G414" s="148">
        <f t="shared" si="52"/>
        <v>0</v>
      </c>
      <c r="H414" s="148">
        <f t="shared" si="55"/>
        <v>0</v>
      </c>
      <c r="I414" s="148">
        <f t="shared" si="53"/>
        <v>0</v>
      </c>
      <c r="J414" s="148">
        <f>SUM($H$18:$H414)</f>
        <v>182272.11610181231</v>
      </c>
    </row>
    <row r="415" spans="1:10" x14ac:dyDescent="0.2">
      <c r="A415" s="146">
        <f>IF(Values_Entered,A414+1,"")</f>
        <v>398</v>
      </c>
      <c r="B415" s="147">
        <f t="shared" si="48"/>
        <v>54424</v>
      </c>
      <c r="C415" s="148">
        <f t="shared" si="54"/>
        <v>0</v>
      </c>
      <c r="D415" s="148">
        <f t="shared" si="49"/>
        <v>1200.75587806059</v>
      </c>
      <c r="E415" s="149">
        <f t="shared" si="50"/>
        <v>0</v>
      </c>
      <c r="F415" s="148">
        <f t="shared" si="51"/>
        <v>0</v>
      </c>
      <c r="G415" s="148">
        <f t="shared" si="52"/>
        <v>0</v>
      </c>
      <c r="H415" s="148">
        <f t="shared" si="55"/>
        <v>0</v>
      </c>
      <c r="I415" s="148">
        <f t="shared" si="53"/>
        <v>0</v>
      </c>
      <c r="J415" s="148">
        <f>SUM($H$18:$H415)</f>
        <v>182272.11610181231</v>
      </c>
    </row>
    <row r="416" spans="1:10" x14ac:dyDescent="0.2">
      <c r="A416" s="146">
        <f>IF(Values_Entered,A415+1,"")</f>
        <v>399</v>
      </c>
      <c r="B416" s="147">
        <f t="shared" si="48"/>
        <v>54455</v>
      </c>
      <c r="C416" s="148">
        <f t="shared" si="54"/>
        <v>0</v>
      </c>
      <c r="D416" s="148">
        <f t="shared" si="49"/>
        <v>1200.75587806059</v>
      </c>
      <c r="E416" s="149">
        <f t="shared" si="50"/>
        <v>0</v>
      </c>
      <c r="F416" s="148">
        <f t="shared" si="51"/>
        <v>0</v>
      </c>
      <c r="G416" s="148">
        <f t="shared" si="52"/>
        <v>0</v>
      </c>
      <c r="H416" s="148">
        <f t="shared" si="55"/>
        <v>0</v>
      </c>
      <c r="I416" s="148">
        <f t="shared" si="53"/>
        <v>0</v>
      </c>
      <c r="J416" s="148">
        <f>SUM($H$18:$H416)</f>
        <v>182272.11610181231</v>
      </c>
    </row>
    <row r="417" spans="1:10" x14ac:dyDescent="0.2">
      <c r="A417" s="146">
        <f>IF(Values_Entered,A416+1,"")</f>
        <v>400</v>
      </c>
      <c r="B417" s="147">
        <f t="shared" si="48"/>
        <v>54483</v>
      </c>
      <c r="C417" s="148">
        <f t="shared" si="54"/>
        <v>0</v>
      </c>
      <c r="D417" s="148">
        <f t="shared" si="49"/>
        <v>1200.75587806059</v>
      </c>
      <c r="E417" s="149">
        <f t="shared" si="50"/>
        <v>0</v>
      </c>
      <c r="F417" s="148">
        <f t="shared" si="51"/>
        <v>0</v>
      </c>
      <c r="G417" s="148">
        <f t="shared" si="52"/>
        <v>0</v>
      </c>
      <c r="H417" s="148">
        <f t="shared" si="55"/>
        <v>0</v>
      </c>
      <c r="I417" s="148">
        <f t="shared" si="53"/>
        <v>0</v>
      </c>
      <c r="J417" s="148">
        <f>SUM($H$18:$H417)</f>
        <v>182272.11610181231</v>
      </c>
    </row>
    <row r="418" spans="1:10" x14ac:dyDescent="0.2">
      <c r="A418" s="146">
        <f>IF(Values_Entered,A417+1,"")</f>
        <v>401</v>
      </c>
      <c r="B418" s="147">
        <f t="shared" si="48"/>
        <v>54514</v>
      </c>
      <c r="C418" s="148">
        <f t="shared" si="54"/>
        <v>0</v>
      </c>
      <c r="D418" s="148">
        <f t="shared" si="49"/>
        <v>1200.75587806059</v>
      </c>
      <c r="E418" s="149">
        <f t="shared" si="50"/>
        <v>0</v>
      </c>
      <c r="F418" s="148">
        <f t="shared" si="51"/>
        <v>0</v>
      </c>
      <c r="G418" s="148">
        <f t="shared" si="52"/>
        <v>0</v>
      </c>
      <c r="H418" s="148">
        <f t="shared" si="55"/>
        <v>0</v>
      </c>
      <c r="I418" s="148">
        <f t="shared" si="53"/>
        <v>0</v>
      </c>
      <c r="J418" s="148">
        <f>SUM($H$18:$H418)</f>
        <v>182272.11610181231</v>
      </c>
    </row>
    <row r="419" spans="1:10" x14ac:dyDescent="0.2">
      <c r="A419" s="146">
        <f>IF(Values_Entered,A418+1,"")</f>
        <v>402</v>
      </c>
      <c r="B419" s="147">
        <f t="shared" si="48"/>
        <v>54544</v>
      </c>
      <c r="C419" s="148">
        <f t="shared" si="54"/>
        <v>0</v>
      </c>
      <c r="D419" s="148">
        <f t="shared" si="49"/>
        <v>1200.75587806059</v>
      </c>
      <c r="E419" s="149">
        <f t="shared" si="50"/>
        <v>0</v>
      </c>
      <c r="F419" s="148">
        <f t="shared" si="51"/>
        <v>0</v>
      </c>
      <c r="G419" s="148">
        <f t="shared" si="52"/>
        <v>0</v>
      </c>
      <c r="H419" s="148">
        <f t="shared" si="55"/>
        <v>0</v>
      </c>
      <c r="I419" s="148">
        <f t="shared" si="53"/>
        <v>0</v>
      </c>
      <c r="J419" s="148">
        <f>SUM($H$18:$H419)</f>
        <v>182272.11610181231</v>
      </c>
    </row>
    <row r="420" spans="1:10" x14ac:dyDescent="0.2">
      <c r="A420" s="146">
        <f>IF(Values_Entered,A419+1,"")</f>
        <v>403</v>
      </c>
      <c r="B420" s="147">
        <f t="shared" si="48"/>
        <v>54575</v>
      </c>
      <c r="C420" s="148">
        <f t="shared" si="54"/>
        <v>0</v>
      </c>
      <c r="D420" s="148">
        <f t="shared" si="49"/>
        <v>1200.75587806059</v>
      </c>
      <c r="E420" s="149">
        <f t="shared" si="50"/>
        <v>0</v>
      </c>
      <c r="F420" s="148">
        <f t="shared" si="51"/>
        <v>0</v>
      </c>
      <c r="G420" s="148">
        <f t="shared" si="52"/>
        <v>0</v>
      </c>
      <c r="H420" s="148">
        <f t="shared" si="55"/>
        <v>0</v>
      </c>
      <c r="I420" s="148">
        <f t="shared" si="53"/>
        <v>0</v>
      </c>
      <c r="J420" s="148">
        <f>SUM($H$18:$H420)</f>
        <v>182272.11610181231</v>
      </c>
    </row>
    <row r="421" spans="1:10" x14ac:dyDescent="0.2">
      <c r="A421" s="146">
        <f>IF(Values_Entered,A420+1,"")</f>
        <v>404</v>
      </c>
      <c r="B421" s="147">
        <f t="shared" si="48"/>
        <v>54605</v>
      </c>
      <c r="C421" s="148">
        <f t="shared" si="54"/>
        <v>0</v>
      </c>
      <c r="D421" s="148">
        <f t="shared" si="49"/>
        <v>1200.75587806059</v>
      </c>
      <c r="E421" s="149">
        <f t="shared" si="50"/>
        <v>0</v>
      </c>
      <c r="F421" s="148">
        <f t="shared" si="51"/>
        <v>0</v>
      </c>
      <c r="G421" s="148">
        <f t="shared" si="52"/>
        <v>0</v>
      </c>
      <c r="H421" s="148">
        <f t="shared" si="55"/>
        <v>0</v>
      </c>
      <c r="I421" s="148">
        <f t="shared" si="53"/>
        <v>0</v>
      </c>
      <c r="J421" s="148">
        <f>SUM($H$18:$H421)</f>
        <v>182272.11610181231</v>
      </c>
    </row>
    <row r="422" spans="1:10" x14ac:dyDescent="0.2">
      <c r="A422" s="146">
        <f>IF(Values_Entered,A421+1,"")</f>
        <v>405</v>
      </c>
      <c r="B422" s="147">
        <f t="shared" si="48"/>
        <v>54636</v>
      </c>
      <c r="C422" s="148">
        <f t="shared" si="54"/>
        <v>0</v>
      </c>
      <c r="D422" s="148">
        <f t="shared" si="49"/>
        <v>1200.75587806059</v>
      </c>
      <c r="E422" s="149">
        <f t="shared" si="50"/>
        <v>0</v>
      </c>
      <c r="F422" s="148">
        <f t="shared" si="51"/>
        <v>0</v>
      </c>
      <c r="G422" s="148">
        <f t="shared" si="52"/>
        <v>0</v>
      </c>
      <c r="H422" s="148">
        <f t="shared" si="55"/>
        <v>0</v>
      </c>
      <c r="I422" s="148">
        <f t="shared" si="53"/>
        <v>0</v>
      </c>
      <c r="J422" s="148">
        <f>SUM($H$18:$H422)</f>
        <v>182272.11610181231</v>
      </c>
    </row>
    <row r="423" spans="1:10" x14ac:dyDescent="0.2">
      <c r="A423" s="146">
        <f>IF(Values_Entered,A422+1,"")</f>
        <v>406</v>
      </c>
      <c r="B423" s="147">
        <f t="shared" si="48"/>
        <v>54667</v>
      </c>
      <c r="C423" s="148">
        <f t="shared" si="54"/>
        <v>0</v>
      </c>
      <c r="D423" s="148">
        <f t="shared" si="49"/>
        <v>1200.75587806059</v>
      </c>
      <c r="E423" s="149">
        <f t="shared" si="50"/>
        <v>0</v>
      </c>
      <c r="F423" s="148">
        <f t="shared" si="51"/>
        <v>0</v>
      </c>
      <c r="G423" s="148">
        <f t="shared" si="52"/>
        <v>0</v>
      </c>
      <c r="H423" s="148">
        <f t="shared" si="55"/>
        <v>0</v>
      </c>
      <c r="I423" s="148">
        <f t="shared" si="53"/>
        <v>0</v>
      </c>
      <c r="J423" s="148">
        <f>SUM($H$18:$H423)</f>
        <v>182272.11610181231</v>
      </c>
    </row>
    <row r="424" spans="1:10" x14ac:dyDescent="0.2">
      <c r="A424" s="146">
        <f>IF(Values_Entered,A423+1,"")</f>
        <v>407</v>
      </c>
      <c r="B424" s="147">
        <f t="shared" si="48"/>
        <v>54697</v>
      </c>
      <c r="C424" s="148">
        <f t="shared" si="54"/>
        <v>0</v>
      </c>
      <c r="D424" s="148">
        <f t="shared" si="49"/>
        <v>1200.75587806059</v>
      </c>
      <c r="E424" s="149">
        <f t="shared" si="50"/>
        <v>0</v>
      </c>
      <c r="F424" s="148">
        <f t="shared" si="51"/>
        <v>0</v>
      </c>
      <c r="G424" s="148">
        <f t="shared" si="52"/>
        <v>0</v>
      </c>
      <c r="H424" s="148">
        <f t="shared" si="55"/>
        <v>0</v>
      </c>
      <c r="I424" s="148">
        <f t="shared" si="53"/>
        <v>0</v>
      </c>
      <c r="J424" s="148">
        <f>SUM($H$18:$H424)</f>
        <v>182272.11610181231</v>
      </c>
    </row>
    <row r="425" spans="1:10" x14ac:dyDescent="0.2">
      <c r="A425" s="146">
        <f>IF(Values_Entered,A424+1,"")</f>
        <v>408</v>
      </c>
      <c r="B425" s="147">
        <f t="shared" si="48"/>
        <v>54728</v>
      </c>
      <c r="C425" s="148">
        <f t="shared" si="54"/>
        <v>0</v>
      </c>
      <c r="D425" s="148">
        <f t="shared" si="49"/>
        <v>1200.75587806059</v>
      </c>
      <c r="E425" s="149">
        <f t="shared" si="50"/>
        <v>0</v>
      </c>
      <c r="F425" s="148">
        <f t="shared" si="51"/>
        <v>0</v>
      </c>
      <c r="G425" s="148">
        <f t="shared" si="52"/>
        <v>0</v>
      </c>
      <c r="H425" s="148">
        <f t="shared" si="55"/>
        <v>0</v>
      </c>
      <c r="I425" s="148">
        <f t="shared" si="53"/>
        <v>0</v>
      </c>
      <c r="J425" s="148">
        <f>SUM($H$18:$H425)</f>
        <v>182272.11610181231</v>
      </c>
    </row>
    <row r="426" spans="1:10" x14ac:dyDescent="0.2">
      <c r="A426" s="146">
        <f>IF(Values_Entered,A425+1,"")</f>
        <v>409</v>
      </c>
      <c r="B426" s="147">
        <f t="shared" si="48"/>
        <v>54758</v>
      </c>
      <c r="C426" s="148">
        <f t="shared" si="54"/>
        <v>0</v>
      </c>
      <c r="D426" s="148">
        <f t="shared" si="49"/>
        <v>1200.75587806059</v>
      </c>
      <c r="E426" s="149">
        <f t="shared" si="50"/>
        <v>0</v>
      </c>
      <c r="F426" s="148">
        <f t="shared" si="51"/>
        <v>0</v>
      </c>
      <c r="G426" s="148">
        <f t="shared" si="52"/>
        <v>0</v>
      </c>
      <c r="H426" s="148">
        <f t="shared" si="55"/>
        <v>0</v>
      </c>
      <c r="I426" s="148">
        <f t="shared" si="53"/>
        <v>0</v>
      </c>
      <c r="J426" s="148">
        <f>SUM($H$18:$H426)</f>
        <v>182272.11610181231</v>
      </c>
    </row>
    <row r="427" spans="1:10" x14ac:dyDescent="0.2">
      <c r="A427" s="146">
        <f>IF(Values_Entered,A426+1,"")</f>
        <v>410</v>
      </c>
      <c r="B427" s="147">
        <f t="shared" si="48"/>
        <v>54789</v>
      </c>
      <c r="C427" s="148">
        <f t="shared" si="54"/>
        <v>0</v>
      </c>
      <c r="D427" s="148">
        <f t="shared" si="49"/>
        <v>1200.75587806059</v>
      </c>
      <c r="E427" s="149">
        <f t="shared" si="50"/>
        <v>0</v>
      </c>
      <c r="F427" s="148">
        <f t="shared" si="51"/>
        <v>0</v>
      </c>
      <c r="G427" s="148">
        <f t="shared" si="52"/>
        <v>0</v>
      </c>
      <c r="H427" s="148">
        <f t="shared" si="55"/>
        <v>0</v>
      </c>
      <c r="I427" s="148">
        <f t="shared" si="53"/>
        <v>0</v>
      </c>
      <c r="J427" s="148">
        <f>SUM($H$18:$H427)</f>
        <v>182272.11610181231</v>
      </c>
    </row>
    <row r="428" spans="1:10" x14ac:dyDescent="0.2">
      <c r="A428" s="146">
        <f>IF(Values_Entered,A427+1,"")</f>
        <v>411</v>
      </c>
      <c r="B428" s="147">
        <f t="shared" si="48"/>
        <v>54820</v>
      </c>
      <c r="C428" s="148">
        <f t="shared" si="54"/>
        <v>0</v>
      </c>
      <c r="D428" s="148">
        <f t="shared" si="49"/>
        <v>1200.75587806059</v>
      </c>
      <c r="E428" s="149">
        <f t="shared" si="50"/>
        <v>0</v>
      </c>
      <c r="F428" s="148">
        <f t="shared" si="51"/>
        <v>0</v>
      </c>
      <c r="G428" s="148">
        <f t="shared" si="52"/>
        <v>0</v>
      </c>
      <c r="H428" s="148">
        <f t="shared" si="55"/>
        <v>0</v>
      </c>
      <c r="I428" s="148">
        <f t="shared" si="53"/>
        <v>0</v>
      </c>
      <c r="J428" s="148">
        <f>SUM($H$18:$H428)</f>
        <v>182272.11610181231</v>
      </c>
    </row>
    <row r="429" spans="1:10" x14ac:dyDescent="0.2">
      <c r="A429" s="146">
        <f>IF(Values_Entered,A428+1,"")</f>
        <v>412</v>
      </c>
      <c r="B429" s="147">
        <f t="shared" si="48"/>
        <v>54848</v>
      </c>
      <c r="C429" s="148">
        <f t="shared" si="54"/>
        <v>0</v>
      </c>
      <c r="D429" s="148">
        <f t="shared" si="49"/>
        <v>1200.75587806059</v>
      </c>
      <c r="E429" s="149">
        <f t="shared" si="50"/>
        <v>0</v>
      </c>
      <c r="F429" s="148">
        <f t="shared" si="51"/>
        <v>0</v>
      </c>
      <c r="G429" s="148">
        <f t="shared" si="52"/>
        <v>0</v>
      </c>
      <c r="H429" s="148">
        <f t="shared" si="55"/>
        <v>0</v>
      </c>
      <c r="I429" s="148">
        <f t="shared" si="53"/>
        <v>0</v>
      </c>
      <c r="J429" s="148">
        <f>SUM($H$18:$H429)</f>
        <v>182272.11610181231</v>
      </c>
    </row>
    <row r="430" spans="1:10" x14ac:dyDescent="0.2">
      <c r="A430" s="146">
        <f>IF(Values_Entered,A429+1,"")</f>
        <v>413</v>
      </c>
      <c r="B430" s="147">
        <f t="shared" si="48"/>
        <v>54879</v>
      </c>
      <c r="C430" s="148">
        <f t="shared" si="54"/>
        <v>0</v>
      </c>
      <c r="D430" s="148">
        <f t="shared" si="49"/>
        <v>1200.75587806059</v>
      </c>
      <c r="E430" s="149">
        <f t="shared" si="50"/>
        <v>0</v>
      </c>
      <c r="F430" s="148">
        <f t="shared" si="51"/>
        <v>0</v>
      </c>
      <c r="G430" s="148">
        <f t="shared" si="52"/>
        <v>0</v>
      </c>
      <c r="H430" s="148">
        <f t="shared" si="55"/>
        <v>0</v>
      </c>
      <c r="I430" s="148">
        <f t="shared" si="53"/>
        <v>0</v>
      </c>
      <c r="J430" s="148">
        <f>SUM($H$18:$H430)</f>
        <v>182272.11610181231</v>
      </c>
    </row>
    <row r="431" spans="1:10" x14ac:dyDescent="0.2">
      <c r="A431" s="146">
        <f>IF(Values_Entered,A430+1,"")</f>
        <v>414</v>
      </c>
      <c r="B431" s="147">
        <f t="shared" si="48"/>
        <v>54909</v>
      </c>
      <c r="C431" s="148">
        <f t="shared" si="54"/>
        <v>0</v>
      </c>
      <c r="D431" s="148">
        <f t="shared" si="49"/>
        <v>1200.75587806059</v>
      </c>
      <c r="E431" s="149">
        <f t="shared" si="50"/>
        <v>0</v>
      </c>
      <c r="F431" s="148">
        <f t="shared" si="51"/>
        <v>0</v>
      </c>
      <c r="G431" s="148">
        <f t="shared" si="52"/>
        <v>0</v>
      </c>
      <c r="H431" s="148">
        <f t="shared" si="55"/>
        <v>0</v>
      </c>
      <c r="I431" s="148">
        <f t="shared" si="53"/>
        <v>0</v>
      </c>
      <c r="J431" s="148">
        <f>SUM($H$18:$H431)</f>
        <v>182272.11610181231</v>
      </c>
    </row>
    <row r="432" spans="1:10" x14ac:dyDescent="0.2">
      <c r="A432" s="146">
        <f>IF(Values_Entered,A431+1,"")</f>
        <v>415</v>
      </c>
      <c r="B432" s="147">
        <f t="shared" si="48"/>
        <v>54940</v>
      </c>
      <c r="C432" s="148">
        <f t="shared" si="54"/>
        <v>0</v>
      </c>
      <c r="D432" s="148">
        <f t="shared" si="49"/>
        <v>1200.75587806059</v>
      </c>
      <c r="E432" s="149">
        <f t="shared" si="50"/>
        <v>0</v>
      </c>
      <c r="F432" s="148">
        <f t="shared" si="51"/>
        <v>0</v>
      </c>
      <c r="G432" s="148">
        <f t="shared" si="52"/>
        <v>0</v>
      </c>
      <c r="H432" s="148">
        <f t="shared" si="55"/>
        <v>0</v>
      </c>
      <c r="I432" s="148">
        <f t="shared" si="53"/>
        <v>0</v>
      </c>
      <c r="J432" s="148">
        <f>SUM($H$18:$H432)</f>
        <v>182272.11610181231</v>
      </c>
    </row>
    <row r="433" spans="1:10" x14ac:dyDescent="0.2">
      <c r="A433" s="146">
        <f>IF(Values_Entered,A432+1,"")</f>
        <v>416</v>
      </c>
      <c r="B433" s="147">
        <f t="shared" si="48"/>
        <v>54970</v>
      </c>
      <c r="C433" s="148">
        <f t="shared" si="54"/>
        <v>0</v>
      </c>
      <c r="D433" s="148">
        <f t="shared" si="49"/>
        <v>1200.75587806059</v>
      </c>
      <c r="E433" s="149">
        <f t="shared" si="50"/>
        <v>0</v>
      </c>
      <c r="F433" s="148">
        <f t="shared" si="51"/>
        <v>0</v>
      </c>
      <c r="G433" s="148">
        <f t="shared" si="52"/>
        <v>0</v>
      </c>
      <c r="H433" s="148">
        <f t="shared" si="55"/>
        <v>0</v>
      </c>
      <c r="I433" s="148">
        <f t="shared" si="53"/>
        <v>0</v>
      </c>
      <c r="J433" s="148">
        <f>SUM($H$18:$H433)</f>
        <v>182272.11610181231</v>
      </c>
    </row>
    <row r="434" spans="1:10" x14ac:dyDescent="0.2">
      <c r="A434" s="146">
        <f>IF(Values_Entered,A433+1,"")</f>
        <v>417</v>
      </c>
      <c r="B434" s="147">
        <f t="shared" si="48"/>
        <v>55001</v>
      </c>
      <c r="C434" s="148">
        <f t="shared" si="54"/>
        <v>0</v>
      </c>
      <c r="D434" s="148">
        <f t="shared" si="49"/>
        <v>1200.75587806059</v>
      </c>
      <c r="E434" s="149">
        <f t="shared" si="50"/>
        <v>0</v>
      </c>
      <c r="F434" s="148">
        <f t="shared" si="51"/>
        <v>0</v>
      </c>
      <c r="G434" s="148">
        <f t="shared" si="52"/>
        <v>0</v>
      </c>
      <c r="H434" s="148">
        <f t="shared" si="55"/>
        <v>0</v>
      </c>
      <c r="I434" s="148">
        <f t="shared" si="53"/>
        <v>0</v>
      </c>
      <c r="J434" s="148">
        <f>SUM($H$18:$H434)</f>
        <v>182272.11610181231</v>
      </c>
    </row>
    <row r="435" spans="1:10" x14ac:dyDescent="0.2">
      <c r="A435" s="146">
        <f>IF(Values_Entered,A434+1,"")</f>
        <v>418</v>
      </c>
      <c r="B435" s="147">
        <f t="shared" si="48"/>
        <v>55032</v>
      </c>
      <c r="C435" s="148">
        <f t="shared" si="54"/>
        <v>0</v>
      </c>
      <c r="D435" s="148">
        <f t="shared" si="49"/>
        <v>1200.75587806059</v>
      </c>
      <c r="E435" s="149">
        <f t="shared" si="50"/>
        <v>0</v>
      </c>
      <c r="F435" s="148">
        <f t="shared" si="51"/>
        <v>0</v>
      </c>
      <c r="G435" s="148">
        <f t="shared" si="52"/>
        <v>0</v>
      </c>
      <c r="H435" s="148">
        <f t="shared" si="55"/>
        <v>0</v>
      </c>
      <c r="I435" s="148">
        <f t="shared" si="53"/>
        <v>0</v>
      </c>
      <c r="J435" s="148">
        <f>SUM($H$18:$H435)</f>
        <v>182272.11610181231</v>
      </c>
    </row>
    <row r="436" spans="1:10" x14ac:dyDescent="0.2">
      <c r="A436" s="146">
        <f>IF(Values_Entered,A435+1,"")</f>
        <v>419</v>
      </c>
      <c r="B436" s="147">
        <f t="shared" si="48"/>
        <v>55062</v>
      </c>
      <c r="C436" s="148">
        <f t="shared" si="54"/>
        <v>0</v>
      </c>
      <c r="D436" s="148">
        <f t="shared" si="49"/>
        <v>1200.75587806059</v>
      </c>
      <c r="E436" s="149">
        <f t="shared" si="50"/>
        <v>0</v>
      </c>
      <c r="F436" s="148">
        <f t="shared" si="51"/>
        <v>0</v>
      </c>
      <c r="G436" s="148">
        <f t="shared" si="52"/>
        <v>0</v>
      </c>
      <c r="H436" s="148">
        <f t="shared" si="55"/>
        <v>0</v>
      </c>
      <c r="I436" s="148">
        <f t="shared" si="53"/>
        <v>0</v>
      </c>
      <c r="J436" s="148">
        <f>SUM($H$18:$H436)</f>
        <v>182272.11610181231</v>
      </c>
    </row>
    <row r="437" spans="1:10" x14ac:dyDescent="0.2">
      <c r="A437" s="146">
        <f>IF(Values_Entered,A436+1,"")</f>
        <v>420</v>
      </c>
      <c r="B437" s="147">
        <f t="shared" si="48"/>
        <v>55093</v>
      </c>
      <c r="C437" s="148">
        <f t="shared" si="54"/>
        <v>0</v>
      </c>
      <c r="D437" s="148">
        <f t="shared" si="49"/>
        <v>1200.75587806059</v>
      </c>
      <c r="E437" s="149">
        <f t="shared" si="50"/>
        <v>0</v>
      </c>
      <c r="F437" s="148">
        <f t="shared" si="51"/>
        <v>0</v>
      </c>
      <c r="G437" s="148">
        <f t="shared" si="52"/>
        <v>0</v>
      </c>
      <c r="H437" s="148">
        <f t="shared" si="55"/>
        <v>0</v>
      </c>
      <c r="I437" s="148">
        <f t="shared" si="53"/>
        <v>0</v>
      </c>
      <c r="J437" s="148">
        <f>SUM($H$18:$H437)</f>
        <v>182272.11610181231</v>
      </c>
    </row>
    <row r="438" spans="1:10" x14ac:dyDescent="0.2">
      <c r="A438" s="146">
        <f>IF(Values_Entered,A437+1,"")</f>
        <v>421</v>
      </c>
      <c r="B438" s="147">
        <f t="shared" si="48"/>
        <v>55123</v>
      </c>
      <c r="C438" s="148">
        <f t="shared" si="54"/>
        <v>0</v>
      </c>
      <c r="D438" s="148">
        <f t="shared" si="49"/>
        <v>1200.75587806059</v>
      </c>
      <c r="E438" s="149">
        <f t="shared" si="50"/>
        <v>0</v>
      </c>
      <c r="F438" s="148">
        <f t="shared" si="51"/>
        <v>0</v>
      </c>
      <c r="G438" s="148">
        <f t="shared" si="52"/>
        <v>0</v>
      </c>
      <c r="H438" s="148">
        <f t="shared" si="55"/>
        <v>0</v>
      </c>
      <c r="I438" s="148">
        <f t="shared" si="53"/>
        <v>0</v>
      </c>
      <c r="J438" s="148">
        <f>SUM($H$18:$H438)</f>
        <v>182272.11610181231</v>
      </c>
    </row>
    <row r="439" spans="1:10" x14ac:dyDescent="0.2">
      <c r="A439" s="146">
        <f>IF(Values_Entered,A438+1,"")</f>
        <v>422</v>
      </c>
      <c r="B439" s="147">
        <f t="shared" si="48"/>
        <v>55154</v>
      </c>
      <c r="C439" s="148">
        <f t="shared" si="54"/>
        <v>0</v>
      </c>
      <c r="D439" s="148">
        <f t="shared" si="49"/>
        <v>1200.75587806059</v>
      </c>
      <c r="E439" s="149">
        <f t="shared" si="50"/>
        <v>0</v>
      </c>
      <c r="F439" s="148">
        <f t="shared" si="51"/>
        <v>0</v>
      </c>
      <c r="G439" s="148">
        <f t="shared" si="52"/>
        <v>0</v>
      </c>
      <c r="H439" s="148">
        <f t="shared" si="55"/>
        <v>0</v>
      </c>
      <c r="I439" s="148">
        <f t="shared" si="53"/>
        <v>0</v>
      </c>
      <c r="J439" s="148">
        <f>SUM($H$18:$H439)</f>
        <v>182272.11610181231</v>
      </c>
    </row>
    <row r="440" spans="1:10" x14ac:dyDescent="0.2">
      <c r="A440" s="146">
        <f>IF(Values_Entered,A439+1,"")</f>
        <v>423</v>
      </c>
      <c r="B440" s="147">
        <f t="shared" si="48"/>
        <v>55185</v>
      </c>
      <c r="C440" s="148">
        <f t="shared" si="54"/>
        <v>0</v>
      </c>
      <c r="D440" s="148">
        <f t="shared" si="49"/>
        <v>1200.75587806059</v>
      </c>
      <c r="E440" s="149">
        <f t="shared" si="50"/>
        <v>0</v>
      </c>
      <c r="F440" s="148">
        <f t="shared" si="51"/>
        <v>0</v>
      </c>
      <c r="G440" s="148">
        <f t="shared" si="52"/>
        <v>0</v>
      </c>
      <c r="H440" s="148">
        <f t="shared" si="55"/>
        <v>0</v>
      </c>
      <c r="I440" s="148">
        <f t="shared" si="53"/>
        <v>0</v>
      </c>
      <c r="J440" s="148">
        <f>SUM($H$18:$H440)</f>
        <v>182272.11610181231</v>
      </c>
    </row>
    <row r="441" spans="1:10" x14ac:dyDescent="0.2">
      <c r="A441" s="146">
        <f>IF(Values_Entered,A440+1,"")</f>
        <v>424</v>
      </c>
      <c r="B441" s="147">
        <f t="shared" si="48"/>
        <v>55213</v>
      </c>
      <c r="C441" s="148">
        <f t="shared" si="54"/>
        <v>0</v>
      </c>
      <c r="D441" s="148">
        <f t="shared" si="49"/>
        <v>1200.75587806059</v>
      </c>
      <c r="E441" s="149">
        <f t="shared" si="50"/>
        <v>0</v>
      </c>
      <c r="F441" s="148">
        <f t="shared" si="51"/>
        <v>0</v>
      </c>
      <c r="G441" s="148">
        <f t="shared" si="52"/>
        <v>0</v>
      </c>
      <c r="H441" s="148">
        <f t="shared" si="55"/>
        <v>0</v>
      </c>
      <c r="I441" s="148">
        <f t="shared" si="53"/>
        <v>0</v>
      </c>
      <c r="J441" s="148">
        <f>SUM($H$18:$H441)</f>
        <v>182272.11610181231</v>
      </c>
    </row>
    <row r="442" spans="1:10" x14ac:dyDescent="0.2">
      <c r="A442" s="146">
        <f>IF(Values_Entered,A441+1,"")</f>
        <v>425</v>
      </c>
      <c r="B442" s="147">
        <f t="shared" si="48"/>
        <v>55244</v>
      </c>
      <c r="C442" s="148">
        <f t="shared" si="54"/>
        <v>0</v>
      </c>
      <c r="D442" s="148">
        <f t="shared" si="49"/>
        <v>1200.75587806059</v>
      </c>
      <c r="E442" s="149">
        <f t="shared" si="50"/>
        <v>0</v>
      </c>
      <c r="F442" s="148">
        <f t="shared" si="51"/>
        <v>0</v>
      </c>
      <c r="G442" s="148">
        <f t="shared" si="52"/>
        <v>0</v>
      </c>
      <c r="H442" s="148">
        <f t="shared" si="55"/>
        <v>0</v>
      </c>
      <c r="I442" s="148">
        <f t="shared" si="53"/>
        <v>0</v>
      </c>
      <c r="J442" s="148">
        <f>SUM($H$18:$H442)</f>
        <v>182272.11610181231</v>
      </c>
    </row>
    <row r="443" spans="1:10" x14ac:dyDescent="0.2">
      <c r="A443" s="146">
        <f>IF(Values_Entered,A442+1,"")</f>
        <v>426</v>
      </c>
      <c r="B443" s="147">
        <f t="shared" si="48"/>
        <v>55274</v>
      </c>
      <c r="C443" s="148">
        <f t="shared" si="54"/>
        <v>0</v>
      </c>
      <c r="D443" s="148">
        <f t="shared" si="49"/>
        <v>1200.75587806059</v>
      </c>
      <c r="E443" s="149">
        <f t="shared" si="50"/>
        <v>0</v>
      </c>
      <c r="F443" s="148">
        <f t="shared" si="51"/>
        <v>0</v>
      </c>
      <c r="G443" s="148">
        <f t="shared" si="52"/>
        <v>0</v>
      </c>
      <c r="H443" s="148">
        <f t="shared" si="55"/>
        <v>0</v>
      </c>
      <c r="I443" s="148">
        <f t="shared" si="53"/>
        <v>0</v>
      </c>
      <c r="J443" s="148">
        <f>SUM($H$18:$H443)</f>
        <v>182272.11610181231</v>
      </c>
    </row>
    <row r="444" spans="1:10" x14ac:dyDescent="0.2">
      <c r="A444" s="146">
        <f>IF(Values_Entered,A443+1,"")</f>
        <v>427</v>
      </c>
      <c r="B444" s="147">
        <f t="shared" si="48"/>
        <v>55305</v>
      </c>
      <c r="C444" s="148">
        <f t="shared" si="54"/>
        <v>0</v>
      </c>
      <c r="D444" s="148">
        <f t="shared" si="49"/>
        <v>1200.75587806059</v>
      </c>
      <c r="E444" s="149">
        <f t="shared" si="50"/>
        <v>0</v>
      </c>
      <c r="F444" s="148">
        <f t="shared" si="51"/>
        <v>0</v>
      </c>
      <c r="G444" s="148">
        <f t="shared" si="52"/>
        <v>0</v>
      </c>
      <c r="H444" s="148">
        <f t="shared" si="55"/>
        <v>0</v>
      </c>
      <c r="I444" s="148">
        <f t="shared" si="53"/>
        <v>0</v>
      </c>
      <c r="J444" s="148">
        <f>SUM($H$18:$H444)</f>
        <v>182272.11610181231</v>
      </c>
    </row>
    <row r="445" spans="1:10" x14ac:dyDescent="0.2">
      <c r="A445" s="146">
        <f>IF(Values_Entered,A444+1,"")</f>
        <v>428</v>
      </c>
      <c r="B445" s="147">
        <f t="shared" si="48"/>
        <v>55335</v>
      </c>
      <c r="C445" s="148">
        <f t="shared" si="54"/>
        <v>0</v>
      </c>
      <c r="D445" s="148">
        <f t="shared" si="49"/>
        <v>1200.75587806059</v>
      </c>
      <c r="E445" s="149">
        <f t="shared" si="50"/>
        <v>0</v>
      </c>
      <c r="F445" s="148">
        <f t="shared" si="51"/>
        <v>0</v>
      </c>
      <c r="G445" s="148">
        <f t="shared" si="52"/>
        <v>0</v>
      </c>
      <c r="H445" s="148">
        <f t="shared" si="55"/>
        <v>0</v>
      </c>
      <c r="I445" s="148">
        <f t="shared" si="53"/>
        <v>0</v>
      </c>
      <c r="J445" s="148">
        <f>SUM($H$18:$H445)</f>
        <v>182272.11610181231</v>
      </c>
    </row>
    <row r="446" spans="1:10" x14ac:dyDescent="0.2">
      <c r="A446" s="146">
        <f>IF(Values_Entered,A445+1,"")</f>
        <v>429</v>
      </c>
      <c r="B446" s="147">
        <f t="shared" si="48"/>
        <v>55366</v>
      </c>
      <c r="C446" s="148">
        <f t="shared" si="54"/>
        <v>0</v>
      </c>
      <c r="D446" s="148">
        <f t="shared" si="49"/>
        <v>1200.75587806059</v>
      </c>
      <c r="E446" s="149">
        <f t="shared" si="50"/>
        <v>0</v>
      </c>
      <c r="F446" s="148">
        <f t="shared" si="51"/>
        <v>0</v>
      </c>
      <c r="G446" s="148">
        <f t="shared" si="52"/>
        <v>0</v>
      </c>
      <c r="H446" s="148">
        <f t="shared" si="55"/>
        <v>0</v>
      </c>
      <c r="I446" s="148">
        <f t="shared" si="53"/>
        <v>0</v>
      </c>
      <c r="J446" s="148">
        <f>SUM($H$18:$H446)</f>
        <v>182272.11610181231</v>
      </c>
    </row>
    <row r="447" spans="1:10" x14ac:dyDescent="0.2">
      <c r="A447" s="146">
        <f>IF(Values_Entered,A446+1,"")</f>
        <v>430</v>
      </c>
      <c r="B447" s="147">
        <f t="shared" si="48"/>
        <v>55397</v>
      </c>
      <c r="C447" s="148">
        <f t="shared" si="54"/>
        <v>0</v>
      </c>
      <c r="D447" s="148">
        <f t="shared" si="49"/>
        <v>1200.75587806059</v>
      </c>
      <c r="E447" s="149">
        <f t="shared" si="50"/>
        <v>0</v>
      </c>
      <c r="F447" s="148">
        <f t="shared" si="51"/>
        <v>0</v>
      </c>
      <c r="G447" s="148">
        <f t="shared" si="52"/>
        <v>0</v>
      </c>
      <c r="H447" s="148">
        <f t="shared" si="55"/>
        <v>0</v>
      </c>
      <c r="I447" s="148">
        <f t="shared" si="53"/>
        <v>0</v>
      </c>
      <c r="J447" s="148">
        <f>SUM($H$18:$H447)</f>
        <v>182272.11610181231</v>
      </c>
    </row>
    <row r="448" spans="1:10" x14ac:dyDescent="0.2">
      <c r="A448" s="146">
        <f>IF(Values_Entered,A447+1,"")</f>
        <v>431</v>
      </c>
      <c r="B448" s="147">
        <f t="shared" si="48"/>
        <v>55427</v>
      </c>
      <c r="C448" s="148">
        <f t="shared" si="54"/>
        <v>0</v>
      </c>
      <c r="D448" s="148">
        <f t="shared" si="49"/>
        <v>1200.75587806059</v>
      </c>
      <c r="E448" s="149">
        <f t="shared" si="50"/>
        <v>0</v>
      </c>
      <c r="F448" s="148">
        <f t="shared" si="51"/>
        <v>0</v>
      </c>
      <c r="G448" s="148">
        <f t="shared" si="52"/>
        <v>0</v>
      </c>
      <c r="H448" s="148">
        <f t="shared" si="55"/>
        <v>0</v>
      </c>
      <c r="I448" s="148">
        <f t="shared" si="53"/>
        <v>0</v>
      </c>
      <c r="J448" s="148">
        <f>SUM($H$18:$H448)</f>
        <v>182272.11610181231</v>
      </c>
    </row>
    <row r="449" spans="1:10" x14ac:dyDescent="0.2">
      <c r="A449" s="146">
        <f>IF(Values_Entered,A448+1,"")</f>
        <v>432</v>
      </c>
      <c r="B449" s="147">
        <f t="shared" si="48"/>
        <v>55458</v>
      </c>
      <c r="C449" s="148">
        <f t="shared" si="54"/>
        <v>0</v>
      </c>
      <c r="D449" s="148">
        <f t="shared" si="49"/>
        <v>1200.75587806059</v>
      </c>
      <c r="E449" s="149">
        <f t="shared" si="50"/>
        <v>0</v>
      </c>
      <c r="F449" s="148">
        <f t="shared" si="51"/>
        <v>0</v>
      </c>
      <c r="G449" s="148">
        <f t="shared" si="52"/>
        <v>0</v>
      </c>
      <c r="H449" s="148">
        <f t="shared" si="55"/>
        <v>0</v>
      </c>
      <c r="I449" s="148">
        <f t="shared" si="53"/>
        <v>0</v>
      </c>
      <c r="J449" s="148">
        <f>SUM($H$18:$H449)</f>
        <v>182272.11610181231</v>
      </c>
    </row>
    <row r="450" spans="1:10" x14ac:dyDescent="0.2">
      <c r="A450" s="146">
        <f>IF(Values_Entered,A449+1,"")</f>
        <v>433</v>
      </c>
      <c r="B450" s="147">
        <f t="shared" si="48"/>
        <v>55488</v>
      </c>
      <c r="C450" s="148">
        <f t="shared" si="54"/>
        <v>0</v>
      </c>
      <c r="D450" s="148">
        <f t="shared" si="49"/>
        <v>1200.75587806059</v>
      </c>
      <c r="E450" s="149">
        <f t="shared" si="50"/>
        <v>0</v>
      </c>
      <c r="F450" s="148">
        <f t="shared" si="51"/>
        <v>0</v>
      </c>
      <c r="G450" s="148">
        <f t="shared" si="52"/>
        <v>0</v>
      </c>
      <c r="H450" s="148">
        <f t="shared" si="55"/>
        <v>0</v>
      </c>
      <c r="I450" s="148">
        <f t="shared" si="53"/>
        <v>0</v>
      </c>
      <c r="J450" s="148">
        <f>SUM($H$18:$H450)</f>
        <v>182272.11610181231</v>
      </c>
    </row>
    <row r="451" spans="1:10" x14ac:dyDescent="0.2">
      <c r="A451" s="146">
        <f>IF(Values_Entered,A450+1,"")</f>
        <v>434</v>
      </c>
      <c r="B451" s="147">
        <f t="shared" si="48"/>
        <v>55519</v>
      </c>
      <c r="C451" s="148">
        <f t="shared" si="54"/>
        <v>0</v>
      </c>
      <c r="D451" s="148">
        <f t="shared" si="49"/>
        <v>1200.75587806059</v>
      </c>
      <c r="E451" s="149">
        <f t="shared" si="50"/>
        <v>0</v>
      </c>
      <c r="F451" s="148">
        <f t="shared" si="51"/>
        <v>0</v>
      </c>
      <c r="G451" s="148">
        <f t="shared" si="52"/>
        <v>0</v>
      </c>
      <c r="H451" s="148">
        <f t="shared" si="55"/>
        <v>0</v>
      </c>
      <c r="I451" s="148">
        <f t="shared" si="53"/>
        <v>0</v>
      </c>
      <c r="J451" s="148">
        <f>SUM($H$18:$H451)</f>
        <v>182272.11610181231</v>
      </c>
    </row>
    <row r="452" spans="1:10" x14ac:dyDescent="0.2">
      <c r="A452" s="146">
        <f>IF(Values_Entered,A451+1,"")</f>
        <v>435</v>
      </c>
      <c r="B452" s="147">
        <f t="shared" si="48"/>
        <v>55550</v>
      </c>
      <c r="C452" s="148">
        <f t="shared" si="54"/>
        <v>0</v>
      </c>
      <c r="D452" s="148">
        <f t="shared" si="49"/>
        <v>1200.75587806059</v>
      </c>
      <c r="E452" s="149">
        <f t="shared" si="50"/>
        <v>0</v>
      </c>
      <c r="F452" s="148">
        <f t="shared" si="51"/>
        <v>0</v>
      </c>
      <c r="G452" s="148">
        <f t="shared" si="52"/>
        <v>0</v>
      </c>
      <c r="H452" s="148">
        <f t="shared" si="55"/>
        <v>0</v>
      </c>
      <c r="I452" s="148">
        <f t="shared" si="53"/>
        <v>0</v>
      </c>
      <c r="J452" s="148">
        <f>SUM($H$18:$H452)</f>
        <v>182272.11610181231</v>
      </c>
    </row>
    <row r="453" spans="1:10" x14ac:dyDescent="0.2">
      <c r="A453" s="146">
        <f>IF(Values_Entered,A452+1,"")</f>
        <v>436</v>
      </c>
      <c r="B453" s="147">
        <f t="shared" si="48"/>
        <v>55579</v>
      </c>
      <c r="C453" s="148">
        <f t="shared" si="54"/>
        <v>0</v>
      </c>
      <c r="D453" s="148">
        <f t="shared" si="49"/>
        <v>1200.75587806059</v>
      </c>
      <c r="E453" s="149">
        <f t="shared" si="50"/>
        <v>0</v>
      </c>
      <c r="F453" s="148">
        <f t="shared" si="51"/>
        <v>0</v>
      </c>
      <c r="G453" s="148">
        <f t="shared" si="52"/>
        <v>0</v>
      </c>
      <c r="H453" s="148">
        <f t="shared" si="55"/>
        <v>0</v>
      </c>
      <c r="I453" s="148">
        <f t="shared" si="53"/>
        <v>0</v>
      </c>
      <c r="J453" s="148">
        <f>SUM($H$18:$H453)</f>
        <v>182272.11610181231</v>
      </c>
    </row>
    <row r="454" spans="1:10" x14ac:dyDescent="0.2">
      <c r="A454" s="146">
        <f>IF(Values_Entered,A453+1,"")</f>
        <v>437</v>
      </c>
      <c r="B454" s="147">
        <f t="shared" si="48"/>
        <v>55610</v>
      </c>
      <c r="C454" s="148">
        <f t="shared" si="54"/>
        <v>0</v>
      </c>
      <c r="D454" s="148">
        <f t="shared" si="49"/>
        <v>1200.75587806059</v>
      </c>
      <c r="E454" s="149">
        <f t="shared" si="50"/>
        <v>0</v>
      </c>
      <c r="F454" s="148">
        <f t="shared" si="51"/>
        <v>0</v>
      </c>
      <c r="G454" s="148">
        <f t="shared" si="52"/>
        <v>0</v>
      </c>
      <c r="H454" s="148">
        <f t="shared" si="55"/>
        <v>0</v>
      </c>
      <c r="I454" s="148">
        <f t="shared" si="53"/>
        <v>0</v>
      </c>
      <c r="J454" s="148">
        <f>SUM($H$18:$H454)</f>
        <v>182272.11610181231</v>
      </c>
    </row>
    <row r="455" spans="1:10" x14ac:dyDescent="0.2">
      <c r="A455" s="146">
        <f>IF(Values_Entered,A454+1,"")</f>
        <v>438</v>
      </c>
      <c r="B455" s="147">
        <f t="shared" si="48"/>
        <v>55640</v>
      </c>
      <c r="C455" s="148">
        <f t="shared" si="54"/>
        <v>0</v>
      </c>
      <c r="D455" s="148">
        <f t="shared" si="49"/>
        <v>1200.75587806059</v>
      </c>
      <c r="E455" s="149">
        <f t="shared" si="50"/>
        <v>0</v>
      </c>
      <c r="F455" s="148">
        <f t="shared" si="51"/>
        <v>0</v>
      </c>
      <c r="G455" s="148">
        <f t="shared" si="52"/>
        <v>0</v>
      </c>
      <c r="H455" s="148">
        <f t="shared" si="55"/>
        <v>0</v>
      </c>
      <c r="I455" s="148">
        <f t="shared" si="53"/>
        <v>0</v>
      </c>
      <c r="J455" s="148">
        <f>SUM($H$18:$H455)</f>
        <v>182272.11610181231</v>
      </c>
    </row>
    <row r="456" spans="1:10" x14ac:dyDescent="0.2">
      <c r="A456" s="146">
        <f>IF(Values_Entered,A455+1,"")</f>
        <v>439</v>
      </c>
      <c r="B456" s="147">
        <f t="shared" si="48"/>
        <v>55671</v>
      </c>
      <c r="C456" s="148">
        <f t="shared" si="54"/>
        <v>0</v>
      </c>
      <c r="D456" s="148">
        <f t="shared" si="49"/>
        <v>1200.75587806059</v>
      </c>
      <c r="E456" s="149">
        <f t="shared" si="50"/>
        <v>0</v>
      </c>
      <c r="F456" s="148">
        <f t="shared" si="51"/>
        <v>0</v>
      </c>
      <c r="G456" s="148">
        <f t="shared" si="52"/>
        <v>0</v>
      </c>
      <c r="H456" s="148">
        <f t="shared" si="55"/>
        <v>0</v>
      </c>
      <c r="I456" s="148">
        <f t="shared" si="53"/>
        <v>0</v>
      </c>
      <c r="J456" s="148">
        <f>SUM($H$18:$H456)</f>
        <v>182272.11610181231</v>
      </c>
    </row>
    <row r="457" spans="1:10" x14ac:dyDescent="0.2">
      <c r="A457" s="146">
        <f>IF(Values_Entered,A456+1,"")</f>
        <v>440</v>
      </c>
      <c r="B457" s="147">
        <f t="shared" si="48"/>
        <v>55701</v>
      </c>
      <c r="C457" s="148">
        <f t="shared" si="54"/>
        <v>0</v>
      </c>
      <c r="D457" s="148">
        <f t="shared" si="49"/>
        <v>1200.75587806059</v>
      </c>
      <c r="E457" s="149">
        <f t="shared" si="50"/>
        <v>0</v>
      </c>
      <c r="F457" s="148">
        <f t="shared" si="51"/>
        <v>0</v>
      </c>
      <c r="G457" s="148">
        <f t="shared" si="52"/>
        <v>0</v>
      </c>
      <c r="H457" s="148">
        <f t="shared" si="55"/>
        <v>0</v>
      </c>
      <c r="I457" s="148">
        <f t="shared" si="53"/>
        <v>0</v>
      </c>
      <c r="J457" s="148">
        <f>SUM($H$18:$H457)</f>
        <v>182272.11610181231</v>
      </c>
    </row>
    <row r="458" spans="1:10" x14ac:dyDescent="0.2">
      <c r="A458" s="146">
        <f>IF(Values_Entered,A457+1,"")</f>
        <v>441</v>
      </c>
      <c r="B458" s="147">
        <f t="shared" si="48"/>
        <v>55732</v>
      </c>
      <c r="C458" s="148">
        <f t="shared" si="54"/>
        <v>0</v>
      </c>
      <c r="D458" s="148">
        <f t="shared" si="49"/>
        <v>1200.75587806059</v>
      </c>
      <c r="E458" s="149">
        <f t="shared" si="50"/>
        <v>0</v>
      </c>
      <c r="F458" s="148">
        <f t="shared" si="51"/>
        <v>0</v>
      </c>
      <c r="G458" s="148">
        <f t="shared" si="52"/>
        <v>0</v>
      </c>
      <c r="H458" s="148">
        <f t="shared" si="55"/>
        <v>0</v>
      </c>
      <c r="I458" s="148">
        <f t="shared" si="53"/>
        <v>0</v>
      </c>
      <c r="J458" s="148">
        <f>SUM($H$18:$H458)</f>
        <v>182272.11610181231</v>
      </c>
    </row>
    <row r="459" spans="1:10" x14ac:dyDescent="0.2">
      <c r="A459" s="146">
        <f>IF(Values_Entered,A458+1,"")</f>
        <v>442</v>
      </c>
      <c r="B459" s="147">
        <f t="shared" si="48"/>
        <v>55763</v>
      </c>
      <c r="C459" s="148">
        <f t="shared" si="54"/>
        <v>0</v>
      </c>
      <c r="D459" s="148">
        <f t="shared" si="49"/>
        <v>1200.75587806059</v>
      </c>
      <c r="E459" s="149">
        <f t="shared" si="50"/>
        <v>0</v>
      </c>
      <c r="F459" s="148">
        <f t="shared" si="51"/>
        <v>0</v>
      </c>
      <c r="G459" s="148">
        <f t="shared" si="52"/>
        <v>0</v>
      </c>
      <c r="H459" s="148">
        <f t="shared" si="55"/>
        <v>0</v>
      </c>
      <c r="I459" s="148">
        <f t="shared" si="53"/>
        <v>0</v>
      </c>
      <c r="J459" s="148">
        <f>SUM($H$18:$H459)</f>
        <v>182272.11610181231</v>
      </c>
    </row>
    <row r="460" spans="1:10" x14ac:dyDescent="0.2">
      <c r="A460" s="146">
        <f>IF(Values_Entered,A459+1,"")</f>
        <v>443</v>
      </c>
      <c r="B460" s="147">
        <f t="shared" si="48"/>
        <v>55793</v>
      </c>
      <c r="C460" s="148">
        <f t="shared" si="54"/>
        <v>0</v>
      </c>
      <c r="D460" s="148">
        <f t="shared" si="49"/>
        <v>1200.75587806059</v>
      </c>
      <c r="E460" s="149">
        <f t="shared" si="50"/>
        <v>0</v>
      </c>
      <c r="F460" s="148">
        <f t="shared" si="51"/>
        <v>0</v>
      </c>
      <c r="G460" s="148">
        <f t="shared" si="52"/>
        <v>0</v>
      </c>
      <c r="H460" s="148">
        <f t="shared" si="55"/>
        <v>0</v>
      </c>
      <c r="I460" s="148">
        <f t="shared" si="53"/>
        <v>0</v>
      </c>
      <c r="J460" s="148">
        <f>SUM($H$18:$H460)</f>
        <v>182272.11610181231</v>
      </c>
    </row>
    <row r="461" spans="1:10" x14ac:dyDescent="0.2">
      <c r="A461" s="146">
        <f>IF(Values_Entered,A460+1,"")</f>
        <v>444</v>
      </c>
      <c r="B461" s="147">
        <f t="shared" si="48"/>
        <v>55824</v>
      </c>
      <c r="C461" s="148">
        <f t="shared" si="54"/>
        <v>0</v>
      </c>
      <c r="D461" s="148">
        <f t="shared" si="49"/>
        <v>1200.75587806059</v>
      </c>
      <c r="E461" s="149">
        <f t="shared" si="50"/>
        <v>0</v>
      </c>
      <c r="F461" s="148">
        <f t="shared" si="51"/>
        <v>0</v>
      </c>
      <c r="G461" s="148">
        <f t="shared" si="52"/>
        <v>0</v>
      </c>
      <c r="H461" s="148">
        <f t="shared" si="55"/>
        <v>0</v>
      </c>
      <c r="I461" s="148">
        <f t="shared" si="53"/>
        <v>0</v>
      </c>
      <c r="J461" s="148">
        <f>SUM($H$18:$H461)</f>
        <v>182272.11610181231</v>
      </c>
    </row>
    <row r="462" spans="1:10" x14ac:dyDescent="0.2">
      <c r="A462" s="146">
        <f>IF(Values_Entered,A461+1,"")</f>
        <v>445</v>
      </c>
      <c r="B462" s="147">
        <f t="shared" si="48"/>
        <v>55854</v>
      </c>
      <c r="C462" s="148">
        <f t="shared" si="54"/>
        <v>0</v>
      </c>
      <c r="D462" s="148">
        <f t="shared" si="49"/>
        <v>1200.75587806059</v>
      </c>
      <c r="E462" s="149">
        <f t="shared" si="50"/>
        <v>0</v>
      </c>
      <c r="F462" s="148">
        <f t="shared" si="51"/>
        <v>0</v>
      </c>
      <c r="G462" s="148">
        <f t="shared" si="52"/>
        <v>0</v>
      </c>
      <c r="H462" s="148">
        <f t="shared" si="55"/>
        <v>0</v>
      </c>
      <c r="I462" s="148">
        <f t="shared" si="53"/>
        <v>0</v>
      </c>
      <c r="J462" s="148">
        <f>SUM($H$18:$H462)</f>
        <v>182272.11610181231</v>
      </c>
    </row>
    <row r="463" spans="1:10" x14ac:dyDescent="0.2">
      <c r="A463" s="146">
        <f>IF(Values_Entered,A462+1,"")</f>
        <v>446</v>
      </c>
      <c r="B463" s="147">
        <f t="shared" si="48"/>
        <v>55885</v>
      </c>
      <c r="C463" s="148">
        <f t="shared" si="54"/>
        <v>0</v>
      </c>
      <c r="D463" s="148">
        <f t="shared" si="49"/>
        <v>1200.75587806059</v>
      </c>
      <c r="E463" s="149">
        <f t="shared" si="50"/>
        <v>0</v>
      </c>
      <c r="F463" s="148">
        <f t="shared" si="51"/>
        <v>0</v>
      </c>
      <c r="G463" s="148">
        <f t="shared" si="52"/>
        <v>0</v>
      </c>
      <c r="H463" s="148">
        <f t="shared" si="55"/>
        <v>0</v>
      </c>
      <c r="I463" s="148">
        <f t="shared" si="53"/>
        <v>0</v>
      </c>
      <c r="J463" s="148">
        <f>SUM($H$18:$H463)</f>
        <v>182272.11610181231</v>
      </c>
    </row>
    <row r="464" spans="1:10" x14ac:dyDescent="0.2">
      <c r="A464" s="146">
        <f>IF(Values_Entered,A463+1,"")</f>
        <v>447</v>
      </c>
      <c r="B464" s="147">
        <f t="shared" si="48"/>
        <v>55916</v>
      </c>
      <c r="C464" s="148">
        <f t="shared" si="54"/>
        <v>0</v>
      </c>
      <c r="D464" s="148">
        <f t="shared" si="49"/>
        <v>1200.75587806059</v>
      </c>
      <c r="E464" s="149">
        <f t="shared" si="50"/>
        <v>0</v>
      </c>
      <c r="F464" s="148">
        <f t="shared" si="51"/>
        <v>0</v>
      </c>
      <c r="G464" s="148">
        <f t="shared" si="52"/>
        <v>0</v>
      </c>
      <c r="H464" s="148">
        <f t="shared" si="55"/>
        <v>0</v>
      </c>
      <c r="I464" s="148">
        <f t="shared" si="53"/>
        <v>0</v>
      </c>
      <c r="J464" s="148">
        <f>SUM($H$18:$H464)</f>
        <v>182272.11610181231</v>
      </c>
    </row>
    <row r="465" spans="1:10" x14ac:dyDescent="0.2">
      <c r="A465" s="146">
        <f>IF(Values_Entered,A464+1,"")</f>
        <v>448</v>
      </c>
      <c r="B465" s="147">
        <f t="shared" si="48"/>
        <v>55944</v>
      </c>
      <c r="C465" s="148">
        <f t="shared" si="54"/>
        <v>0</v>
      </c>
      <c r="D465" s="148">
        <f t="shared" si="49"/>
        <v>1200.75587806059</v>
      </c>
      <c r="E465" s="149">
        <f t="shared" si="50"/>
        <v>0</v>
      </c>
      <c r="F465" s="148">
        <f t="shared" si="51"/>
        <v>0</v>
      </c>
      <c r="G465" s="148">
        <f t="shared" si="52"/>
        <v>0</v>
      </c>
      <c r="H465" s="148">
        <f t="shared" si="55"/>
        <v>0</v>
      </c>
      <c r="I465" s="148">
        <f t="shared" si="53"/>
        <v>0</v>
      </c>
      <c r="J465" s="148">
        <f>SUM($H$18:$H465)</f>
        <v>182272.11610181231</v>
      </c>
    </row>
    <row r="466" spans="1:10" x14ac:dyDescent="0.2">
      <c r="A466" s="146">
        <f>IF(Values_Entered,A465+1,"")</f>
        <v>449</v>
      </c>
      <c r="B466" s="147">
        <f t="shared" ref="B466:B497" si="56">IF(Pay_Num&lt;&gt;"",DATE(YEAR(Loan_Start),MONTH(Loan_Start)+(Pay_Num)*12/Num_Pmt_Per_Year,DAY(Loan_Start)),"")</f>
        <v>55975</v>
      </c>
      <c r="C466" s="148">
        <f t="shared" si="54"/>
        <v>0</v>
      </c>
      <c r="D466" s="148">
        <f t="shared" ref="D466:D497" si="57">IF(Pay_Num&lt;&gt;"",Scheduled_Monthly_Payment,"")</f>
        <v>1200.75587806059</v>
      </c>
      <c r="E466" s="149">
        <f t="shared" ref="E466:E497" si="58">IF(AND(Pay_Num&lt;&gt;"",Sched_Pay+Scheduled_Extra_Payments&lt;Beg_Bal),Scheduled_Extra_Payments,IF(AND(Pay_Num&lt;&gt;"",Beg_Bal-Sched_Pay&gt;0),Beg_Bal-Sched_Pay,IF(Pay_Num&lt;&gt;"",0,"")))</f>
        <v>0</v>
      </c>
      <c r="F466" s="148">
        <f t="shared" ref="F466:F497" si="59">IF(AND(Pay_Num&lt;&gt;"",Sched_Pay+Extra_Pay&lt;Beg_Bal),Sched_Pay+Extra_Pay,IF(Pay_Num&lt;&gt;"",Beg_Bal,""))</f>
        <v>0</v>
      </c>
      <c r="G466" s="148">
        <f t="shared" ref="G466:G497" si="60">IF(Pay_Num&lt;&gt;"",Total_Pay-Int,"")</f>
        <v>0</v>
      </c>
      <c r="H466" s="148">
        <f t="shared" si="55"/>
        <v>0</v>
      </c>
      <c r="I466" s="148">
        <f t="shared" ref="I466:I497" si="61">IF(AND(Pay_Num&lt;&gt;"",Sched_Pay+Extra_Pay&lt;Beg_Bal),Beg_Bal-Princ,IF(Pay_Num&lt;&gt;"",0,""))</f>
        <v>0</v>
      </c>
      <c r="J466" s="148">
        <f>SUM($H$18:$H466)</f>
        <v>182272.11610181231</v>
      </c>
    </row>
    <row r="467" spans="1:10" x14ac:dyDescent="0.2">
      <c r="A467" s="146">
        <f>IF(Values_Entered,A466+1,"")</f>
        <v>450</v>
      </c>
      <c r="B467" s="147">
        <f t="shared" si="56"/>
        <v>56005</v>
      </c>
      <c r="C467" s="148">
        <f t="shared" ref="C467:C497" si="62">IF(Pay_Num&lt;&gt;"",I466,"")</f>
        <v>0</v>
      </c>
      <c r="D467" s="148">
        <f t="shared" si="57"/>
        <v>1200.75587806059</v>
      </c>
      <c r="E467" s="149">
        <f t="shared" si="58"/>
        <v>0</v>
      </c>
      <c r="F467" s="148">
        <f t="shared" si="59"/>
        <v>0</v>
      </c>
      <c r="G467" s="148">
        <f t="shared" si="60"/>
        <v>0</v>
      </c>
      <c r="H467" s="148">
        <f t="shared" ref="H467:H497" si="63">IF(Pay_Num&lt;&gt;"",Beg_Bal*Interest_Rate/Num_Pmt_Per_Year,"")</f>
        <v>0</v>
      </c>
      <c r="I467" s="148">
        <f t="shared" si="61"/>
        <v>0</v>
      </c>
      <c r="J467" s="148">
        <f>SUM($H$18:$H467)</f>
        <v>182272.11610181231</v>
      </c>
    </row>
    <row r="468" spans="1:10" x14ac:dyDescent="0.2">
      <c r="A468" s="146">
        <f>IF(Values_Entered,A467+1,"")</f>
        <v>451</v>
      </c>
      <c r="B468" s="147">
        <f t="shared" si="56"/>
        <v>56036</v>
      </c>
      <c r="C468" s="148">
        <f t="shared" si="62"/>
        <v>0</v>
      </c>
      <c r="D468" s="148">
        <f t="shared" si="57"/>
        <v>1200.75587806059</v>
      </c>
      <c r="E468" s="149">
        <f t="shared" si="58"/>
        <v>0</v>
      </c>
      <c r="F468" s="148">
        <f t="shared" si="59"/>
        <v>0</v>
      </c>
      <c r="G468" s="148">
        <f t="shared" si="60"/>
        <v>0</v>
      </c>
      <c r="H468" s="148">
        <f t="shared" si="63"/>
        <v>0</v>
      </c>
      <c r="I468" s="148">
        <f t="shared" si="61"/>
        <v>0</v>
      </c>
      <c r="J468" s="148">
        <f>SUM($H$18:$H468)</f>
        <v>182272.11610181231</v>
      </c>
    </row>
    <row r="469" spans="1:10" x14ac:dyDescent="0.2">
      <c r="A469" s="146">
        <f>IF(Values_Entered,A468+1,"")</f>
        <v>452</v>
      </c>
      <c r="B469" s="147">
        <f t="shared" si="56"/>
        <v>56066</v>
      </c>
      <c r="C469" s="148">
        <f t="shared" si="62"/>
        <v>0</v>
      </c>
      <c r="D469" s="148">
        <f t="shared" si="57"/>
        <v>1200.75587806059</v>
      </c>
      <c r="E469" s="149">
        <f t="shared" si="58"/>
        <v>0</v>
      </c>
      <c r="F469" s="148">
        <f t="shared" si="59"/>
        <v>0</v>
      </c>
      <c r="G469" s="148">
        <f t="shared" si="60"/>
        <v>0</v>
      </c>
      <c r="H469" s="148">
        <f t="shared" si="63"/>
        <v>0</v>
      </c>
      <c r="I469" s="148">
        <f t="shared" si="61"/>
        <v>0</v>
      </c>
      <c r="J469" s="148">
        <f>SUM($H$18:$H469)</f>
        <v>182272.11610181231</v>
      </c>
    </row>
    <row r="470" spans="1:10" x14ac:dyDescent="0.2">
      <c r="A470" s="146">
        <f>IF(Values_Entered,A469+1,"")</f>
        <v>453</v>
      </c>
      <c r="B470" s="147">
        <f t="shared" si="56"/>
        <v>56097</v>
      </c>
      <c r="C470" s="148">
        <f t="shared" si="62"/>
        <v>0</v>
      </c>
      <c r="D470" s="148">
        <f t="shared" si="57"/>
        <v>1200.75587806059</v>
      </c>
      <c r="E470" s="149">
        <f t="shared" si="58"/>
        <v>0</v>
      </c>
      <c r="F470" s="148">
        <f t="shared" si="59"/>
        <v>0</v>
      </c>
      <c r="G470" s="148">
        <f t="shared" si="60"/>
        <v>0</v>
      </c>
      <c r="H470" s="148">
        <f t="shared" si="63"/>
        <v>0</v>
      </c>
      <c r="I470" s="148">
        <f t="shared" si="61"/>
        <v>0</v>
      </c>
      <c r="J470" s="148">
        <f>SUM($H$18:$H470)</f>
        <v>182272.11610181231</v>
      </c>
    </row>
    <row r="471" spans="1:10" x14ac:dyDescent="0.2">
      <c r="A471" s="146">
        <f>IF(Values_Entered,A470+1,"")</f>
        <v>454</v>
      </c>
      <c r="B471" s="147">
        <f t="shared" si="56"/>
        <v>56128</v>
      </c>
      <c r="C471" s="148">
        <f t="shared" si="62"/>
        <v>0</v>
      </c>
      <c r="D471" s="148">
        <f t="shared" si="57"/>
        <v>1200.75587806059</v>
      </c>
      <c r="E471" s="149">
        <f t="shared" si="58"/>
        <v>0</v>
      </c>
      <c r="F471" s="148">
        <f t="shared" si="59"/>
        <v>0</v>
      </c>
      <c r="G471" s="148">
        <f t="shared" si="60"/>
        <v>0</v>
      </c>
      <c r="H471" s="148">
        <f t="shared" si="63"/>
        <v>0</v>
      </c>
      <c r="I471" s="148">
        <f t="shared" si="61"/>
        <v>0</v>
      </c>
      <c r="J471" s="148">
        <f>SUM($H$18:$H471)</f>
        <v>182272.11610181231</v>
      </c>
    </row>
    <row r="472" spans="1:10" x14ac:dyDescent="0.2">
      <c r="A472" s="146">
        <f>IF(Values_Entered,A471+1,"")</f>
        <v>455</v>
      </c>
      <c r="B472" s="147">
        <f t="shared" si="56"/>
        <v>56158</v>
      </c>
      <c r="C472" s="148">
        <f t="shared" si="62"/>
        <v>0</v>
      </c>
      <c r="D472" s="148">
        <f t="shared" si="57"/>
        <v>1200.75587806059</v>
      </c>
      <c r="E472" s="149">
        <f t="shared" si="58"/>
        <v>0</v>
      </c>
      <c r="F472" s="148">
        <f t="shared" si="59"/>
        <v>0</v>
      </c>
      <c r="G472" s="148">
        <f t="shared" si="60"/>
        <v>0</v>
      </c>
      <c r="H472" s="148">
        <f t="shared" si="63"/>
        <v>0</v>
      </c>
      <c r="I472" s="148">
        <f t="shared" si="61"/>
        <v>0</v>
      </c>
      <c r="J472" s="148">
        <f>SUM($H$18:$H472)</f>
        <v>182272.11610181231</v>
      </c>
    </row>
    <row r="473" spans="1:10" x14ac:dyDescent="0.2">
      <c r="A473" s="146">
        <f>IF(Values_Entered,A472+1,"")</f>
        <v>456</v>
      </c>
      <c r="B473" s="147">
        <f t="shared" si="56"/>
        <v>56189</v>
      </c>
      <c r="C473" s="148">
        <f t="shared" si="62"/>
        <v>0</v>
      </c>
      <c r="D473" s="148">
        <f t="shared" si="57"/>
        <v>1200.75587806059</v>
      </c>
      <c r="E473" s="149">
        <f t="shared" si="58"/>
        <v>0</v>
      </c>
      <c r="F473" s="148">
        <f t="shared" si="59"/>
        <v>0</v>
      </c>
      <c r="G473" s="148">
        <f t="shared" si="60"/>
        <v>0</v>
      </c>
      <c r="H473" s="148">
        <f t="shared" si="63"/>
        <v>0</v>
      </c>
      <c r="I473" s="148">
        <f t="shared" si="61"/>
        <v>0</v>
      </c>
      <c r="J473" s="148">
        <f>SUM($H$18:$H473)</f>
        <v>182272.11610181231</v>
      </c>
    </row>
    <row r="474" spans="1:10" x14ac:dyDescent="0.2">
      <c r="A474" s="146">
        <f>IF(Values_Entered,A473+1,"")</f>
        <v>457</v>
      </c>
      <c r="B474" s="147">
        <f t="shared" si="56"/>
        <v>56219</v>
      </c>
      <c r="C474" s="148">
        <f t="shared" si="62"/>
        <v>0</v>
      </c>
      <c r="D474" s="148">
        <f t="shared" si="57"/>
        <v>1200.75587806059</v>
      </c>
      <c r="E474" s="149">
        <f t="shared" si="58"/>
        <v>0</v>
      </c>
      <c r="F474" s="148">
        <f t="shared" si="59"/>
        <v>0</v>
      </c>
      <c r="G474" s="148">
        <f t="shared" si="60"/>
        <v>0</v>
      </c>
      <c r="H474" s="148">
        <f t="shared" si="63"/>
        <v>0</v>
      </c>
      <c r="I474" s="148">
        <f t="shared" si="61"/>
        <v>0</v>
      </c>
      <c r="J474" s="148">
        <f>SUM($H$18:$H474)</f>
        <v>182272.11610181231</v>
      </c>
    </row>
    <row r="475" spans="1:10" x14ac:dyDescent="0.2">
      <c r="A475" s="146">
        <f>IF(Values_Entered,A474+1,"")</f>
        <v>458</v>
      </c>
      <c r="B475" s="147">
        <f t="shared" si="56"/>
        <v>56250</v>
      </c>
      <c r="C475" s="148">
        <f t="shared" si="62"/>
        <v>0</v>
      </c>
      <c r="D475" s="148">
        <f t="shared" si="57"/>
        <v>1200.75587806059</v>
      </c>
      <c r="E475" s="149">
        <f t="shared" si="58"/>
        <v>0</v>
      </c>
      <c r="F475" s="148">
        <f t="shared" si="59"/>
        <v>0</v>
      </c>
      <c r="G475" s="148">
        <f t="shared" si="60"/>
        <v>0</v>
      </c>
      <c r="H475" s="148">
        <f t="shared" si="63"/>
        <v>0</v>
      </c>
      <c r="I475" s="148">
        <f t="shared" si="61"/>
        <v>0</v>
      </c>
      <c r="J475" s="148">
        <f>SUM($H$18:$H475)</f>
        <v>182272.11610181231</v>
      </c>
    </row>
    <row r="476" spans="1:10" x14ac:dyDescent="0.2">
      <c r="A476" s="146">
        <f>IF(Values_Entered,A475+1,"")</f>
        <v>459</v>
      </c>
      <c r="B476" s="147">
        <f t="shared" si="56"/>
        <v>56281</v>
      </c>
      <c r="C476" s="148">
        <f t="shared" si="62"/>
        <v>0</v>
      </c>
      <c r="D476" s="148">
        <f t="shared" si="57"/>
        <v>1200.75587806059</v>
      </c>
      <c r="E476" s="149">
        <f t="shared" si="58"/>
        <v>0</v>
      </c>
      <c r="F476" s="148">
        <f t="shared" si="59"/>
        <v>0</v>
      </c>
      <c r="G476" s="148">
        <f t="shared" si="60"/>
        <v>0</v>
      </c>
      <c r="H476" s="148">
        <f t="shared" si="63"/>
        <v>0</v>
      </c>
      <c r="I476" s="148">
        <f t="shared" si="61"/>
        <v>0</v>
      </c>
      <c r="J476" s="148">
        <f>SUM($H$18:$H476)</f>
        <v>182272.11610181231</v>
      </c>
    </row>
    <row r="477" spans="1:10" x14ac:dyDescent="0.2">
      <c r="A477" s="146">
        <f>IF(Values_Entered,A476+1,"")</f>
        <v>460</v>
      </c>
      <c r="B477" s="147">
        <f t="shared" si="56"/>
        <v>56309</v>
      </c>
      <c r="C477" s="148">
        <f t="shared" si="62"/>
        <v>0</v>
      </c>
      <c r="D477" s="148">
        <f t="shared" si="57"/>
        <v>1200.75587806059</v>
      </c>
      <c r="E477" s="149">
        <f t="shared" si="58"/>
        <v>0</v>
      </c>
      <c r="F477" s="148">
        <f t="shared" si="59"/>
        <v>0</v>
      </c>
      <c r="G477" s="148">
        <f t="shared" si="60"/>
        <v>0</v>
      </c>
      <c r="H477" s="148">
        <f t="shared" si="63"/>
        <v>0</v>
      </c>
      <c r="I477" s="148">
        <f t="shared" si="61"/>
        <v>0</v>
      </c>
      <c r="J477" s="148">
        <f>SUM($H$18:$H477)</f>
        <v>182272.11610181231</v>
      </c>
    </row>
    <row r="478" spans="1:10" x14ac:dyDescent="0.2">
      <c r="A478" s="146">
        <f>IF(Values_Entered,A477+1,"")</f>
        <v>461</v>
      </c>
      <c r="B478" s="147">
        <f t="shared" si="56"/>
        <v>56340</v>
      </c>
      <c r="C478" s="148">
        <f t="shared" si="62"/>
        <v>0</v>
      </c>
      <c r="D478" s="148">
        <f t="shared" si="57"/>
        <v>1200.75587806059</v>
      </c>
      <c r="E478" s="149">
        <f t="shared" si="58"/>
        <v>0</v>
      </c>
      <c r="F478" s="148">
        <f t="shared" si="59"/>
        <v>0</v>
      </c>
      <c r="G478" s="148">
        <f t="shared" si="60"/>
        <v>0</v>
      </c>
      <c r="H478" s="148">
        <f t="shared" si="63"/>
        <v>0</v>
      </c>
      <c r="I478" s="148">
        <f t="shared" si="61"/>
        <v>0</v>
      </c>
      <c r="J478" s="148">
        <f>SUM($H$18:$H478)</f>
        <v>182272.11610181231</v>
      </c>
    </row>
    <row r="479" spans="1:10" x14ac:dyDescent="0.2">
      <c r="A479" s="146">
        <f>IF(Values_Entered,A478+1,"")</f>
        <v>462</v>
      </c>
      <c r="B479" s="147">
        <f t="shared" si="56"/>
        <v>56370</v>
      </c>
      <c r="C479" s="148">
        <f t="shared" si="62"/>
        <v>0</v>
      </c>
      <c r="D479" s="148">
        <f t="shared" si="57"/>
        <v>1200.75587806059</v>
      </c>
      <c r="E479" s="149">
        <f t="shared" si="58"/>
        <v>0</v>
      </c>
      <c r="F479" s="148">
        <f t="shared" si="59"/>
        <v>0</v>
      </c>
      <c r="G479" s="148">
        <f t="shared" si="60"/>
        <v>0</v>
      </c>
      <c r="H479" s="148">
        <f t="shared" si="63"/>
        <v>0</v>
      </c>
      <c r="I479" s="148">
        <f t="shared" si="61"/>
        <v>0</v>
      </c>
      <c r="J479" s="148">
        <f>SUM($H$18:$H479)</f>
        <v>182272.11610181231</v>
      </c>
    </row>
    <row r="480" spans="1:10" x14ac:dyDescent="0.2">
      <c r="A480" s="146">
        <f>IF(Values_Entered,A479+1,"")</f>
        <v>463</v>
      </c>
      <c r="B480" s="147">
        <f t="shared" si="56"/>
        <v>56401</v>
      </c>
      <c r="C480" s="148">
        <f t="shared" si="62"/>
        <v>0</v>
      </c>
      <c r="D480" s="148">
        <f t="shared" si="57"/>
        <v>1200.75587806059</v>
      </c>
      <c r="E480" s="149">
        <f t="shared" si="58"/>
        <v>0</v>
      </c>
      <c r="F480" s="148">
        <f t="shared" si="59"/>
        <v>0</v>
      </c>
      <c r="G480" s="148">
        <f t="shared" si="60"/>
        <v>0</v>
      </c>
      <c r="H480" s="148">
        <f t="shared" si="63"/>
        <v>0</v>
      </c>
      <c r="I480" s="148">
        <f t="shared" si="61"/>
        <v>0</v>
      </c>
      <c r="J480" s="148">
        <f>SUM($H$18:$H480)</f>
        <v>182272.11610181231</v>
      </c>
    </row>
    <row r="481" spans="1:10" x14ac:dyDescent="0.2">
      <c r="A481" s="146">
        <f>IF(Values_Entered,A480+1,"")</f>
        <v>464</v>
      </c>
      <c r="B481" s="147">
        <f t="shared" si="56"/>
        <v>56431</v>
      </c>
      <c r="C481" s="148">
        <f t="shared" si="62"/>
        <v>0</v>
      </c>
      <c r="D481" s="148">
        <f t="shared" si="57"/>
        <v>1200.75587806059</v>
      </c>
      <c r="E481" s="149">
        <f t="shared" si="58"/>
        <v>0</v>
      </c>
      <c r="F481" s="148">
        <f t="shared" si="59"/>
        <v>0</v>
      </c>
      <c r="G481" s="148">
        <f t="shared" si="60"/>
        <v>0</v>
      </c>
      <c r="H481" s="148">
        <f t="shared" si="63"/>
        <v>0</v>
      </c>
      <c r="I481" s="148">
        <f t="shared" si="61"/>
        <v>0</v>
      </c>
      <c r="J481" s="148">
        <f>SUM($H$18:$H481)</f>
        <v>182272.11610181231</v>
      </c>
    </row>
    <row r="482" spans="1:10" x14ac:dyDescent="0.2">
      <c r="A482" s="146">
        <f>IF(Values_Entered,A481+1,"")</f>
        <v>465</v>
      </c>
      <c r="B482" s="147">
        <f t="shared" si="56"/>
        <v>56462</v>
      </c>
      <c r="C482" s="148">
        <f t="shared" si="62"/>
        <v>0</v>
      </c>
      <c r="D482" s="148">
        <f t="shared" si="57"/>
        <v>1200.75587806059</v>
      </c>
      <c r="E482" s="149">
        <f t="shared" si="58"/>
        <v>0</v>
      </c>
      <c r="F482" s="148">
        <f t="shared" si="59"/>
        <v>0</v>
      </c>
      <c r="G482" s="148">
        <f t="shared" si="60"/>
        <v>0</v>
      </c>
      <c r="H482" s="148">
        <f t="shared" si="63"/>
        <v>0</v>
      </c>
      <c r="I482" s="148">
        <f t="shared" si="61"/>
        <v>0</v>
      </c>
      <c r="J482" s="148">
        <f>SUM($H$18:$H482)</f>
        <v>182272.11610181231</v>
      </c>
    </row>
    <row r="483" spans="1:10" x14ac:dyDescent="0.2">
      <c r="A483" s="146">
        <f>IF(Values_Entered,A482+1,"")</f>
        <v>466</v>
      </c>
      <c r="B483" s="147">
        <f t="shared" si="56"/>
        <v>56493</v>
      </c>
      <c r="C483" s="148">
        <f t="shared" si="62"/>
        <v>0</v>
      </c>
      <c r="D483" s="148">
        <f t="shared" si="57"/>
        <v>1200.75587806059</v>
      </c>
      <c r="E483" s="149">
        <f t="shared" si="58"/>
        <v>0</v>
      </c>
      <c r="F483" s="148">
        <f t="shared" si="59"/>
        <v>0</v>
      </c>
      <c r="G483" s="148">
        <f t="shared" si="60"/>
        <v>0</v>
      </c>
      <c r="H483" s="148">
        <f t="shared" si="63"/>
        <v>0</v>
      </c>
      <c r="I483" s="148">
        <f t="shared" si="61"/>
        <v>0</v>
      </c>
      <c r="J483" s="148">
        <f>SUM($H$18:$H483)</f>
        <v>182272.11610181231</v>
      </c>
    </row>
    <row r="484" spans="1:10" x14ac:dyDescent="0.2">
      <c r="A484" s="146">
        <f>IF(Values_Entered,A483+1,"")</f>
        <v>467</v>
      </c>
      <c r="B484" s="147">
        <f t="shared" si="56"/>
        <v>56523</v>
      </c>
      <c r="C484" s="148">
        <f t="shared" si="62"/>
        <v>0</v>
      </c>
      <c r="D484" s="148">
        <f t="shared" si="57"/>
        <v>1200.75587806059</v>
      </c>
      <c r="E484" s="149">
        <f t="shared" si="58"/>
        <v>0</v>
      </c>
      <c r="F484" s="148">
        <f t="shared" si="59"/>
        <v>0</v>
      </c>
      <c r="G484" s="148">
        <f t="shared" si="60"/>
        <v>0</v>
      </c>
      <c r="H484" s="148">
        <f t="shared" si="63"/>
        <v>0</v>
      </c>
      <c r="I484" s="148">
        <f t="shared" si="61"/>
        <v>0</v>
      </c>
      <c r="J484" s="148">
        <f>SUM($H$18:$H484)</f>
        <v>182272.11610181231</v>
      </c>
    </row>
    <row r="485" spans="1:10" x14ac:dyDescent="0.2">
      <c r="A485" s="146">
        <f>IF(Values_Entered,A484+1,"")</f>
        <v>468</v>
      </c>
      <c r="B485" s="147">
        <f t="shared" si="56"/>
        <v>56554</v>
      </c>
      <c r="C485" s="148">
        <f t="shared" si="62"/>
        <v>0</v>
      </c>
      <c r="D485" s="148">
        <f t="shared" si="57"/>
        <v>1200.75587806059</v>
      </c>
      <c r="E485" s="149">
        <f t="shared" si="58"/>
        <v>0</v>
      </c>
      <c r="F485" s="148">
        <f t="shared" si="59"/>
        <v>0</v>
      </c>
      <c r="G485" s="148">
        <f t="shared" si="60"/>
        <v>0</v>
      </c>
      <c r="H485" s="148">
        <f t="shared" si="63"/>
        <v>0</v>
      </c>
      <c r="I485" s="148">
        <f t="shared" si="61"/>
        <v>0</v>
      </c>
      <c r="J485" s="148">
        <f>SUM($H$18:$H485)</f>
        <v>182272.11610181231</v>
      </c>
    </row>
    <row r="486" spans="1:10" x14ac:dyDescent="0.2">
      <c r="A486" s="146">
        <f>IF(Values_Entered,A485+1,"")</f>
        <v>469</v>
      </c>
      <c r="B486" s="147">
        <f t="shared" si="56"/>
        <v>56584</v>
      </c>
      <c r="C486" s="148">
        <f t="shared" si="62"/>
        <v>0</v>
      </c>
      <c r="D486" s="148">
        <f t="shared" si="57"/>
        <v>1200.75587806059</v>
      </c>
      <c r="E486" s="149">
        <f t="shared" si="58"/>
        <v>0</v>
      </c>
      <c r="F486" s="148">
        <f t="shared" si="59"/>
        <v>0</v>
      </c>
      <c r="G486" s="148">
        <f t="shared" si="60"/>
        <v>0</v>
      </c>
      <c r="H486" s="148">
        <f t="shared" si="63"/>
        <v>0</v>
      </c>
      <c r="I486" s="148">
        <f t="shared" si="61"/>
        <v>0</v>
      </c>
      <c r="J486" s="148">
        <f>SUM($H$18:$H486)</f>
        <v>182272.11610181231</v>
      </c>
    </row>
    <row r="487" spans="1:10" x14ac:dyDescent="0.2">
      <c r="A487" s="146">
        <f>IF(Values_Entered,A486+1,"")</f>
        <v>470</v>
      </c>
      <c r="B487" s="147">
        <f t="shared" si="56"/>
        <v>56615</v>
      </c>
      <c r="C487" s="148">
        <f t="shared" si="62"/>
        <v>0</v>
      </c>
      <c r="D487" s="148">
        <f t="shared" si="57"/>
        <v>1200.75587806059</v>
      </c>
      <c r="E487" s="149">
        <f t="shared" si="58"/>
        <v>0</v>
      </c>
      <c r="F487" s="148">
        <f t="shared" si="59"/>
        <v>0</v>
      </c>
      <c r="G487" s="148">
        <f t="shared" si="60"/>
        <v>0</v>
      </c>
      <c r="H487" s="148">
        <f t="shared" si="63"/>
        <v>0</v>
      </c>
      <c r="I487" s="148">
        <f t="shared" si="61"/>
        <v>0</v>
      </c>
      <c r="J487" s="148">
        <f>SUM($H$18:$H487)</f>
        <v>182272.11610181231</v>
      </c>
    </row>
    <row r="488" spans="1:10" x14ac:dyDescent="0.2">
      <c r="A488" s="146">
        <f>IF(Values_Entered,A487+1,"")</f>
        <v>471</v>
      </c>
      <c r="B488" s="147">
        <f t="shared" si="56"/>
        <v>56646</v>
      </c>
      <c r="C488" s="148">
        <f t="shared" si="62"/>
        <v>0</v>
      </c>
      <c r="D488" s="148">
        <f t="shared" si="57"/>
        <v>1200.75587806059</v>
      </c>
      <c r="E488" s="149">
        <f t="shared" si="58"/>
        <v>0</v>
      </c>
      <c r="F488" s="148">
        <f t="shared" si="59"/>
        <v>0</v>
      </c>
      <c r="G488" s="148">
        <f t="shared" si="60"/>
        <v>0</v>
      </c>
      <c r="H488" s="148">
        <f t="shared" si="63"/>
        <v>0</v>
      </c>
      <c r="I488" s="148">
        <f t="shared" si="61"/>
        <v>0</v>
      </c>
      <c r="J488" s="148">
        <f>SUM($H$18:$H488)</f>
        <v>182272.11610181231</v>
      </c>
    </row>
    <row r="489" spans="1:10" x14ac:dyDescent="0.2">
      <c r="A489" s="146">
        <f>IF(Values_Entered,A488+1,"")</f>
        <v>472</v>
      </c>
      <c r="B489" s="147">
        <f t="shared" si="56"/>
        <v>56674</v>
      </c>
      <c r="C489" s="148">
        <f t="shared" si="62"/>
        <v>0</v>
      </c>
      <c r="D489" s="148">
        <f t="shared" si="57"/>
        <v>1200.75587806059</v>
      </c>
      <c r="E489" s="149">
        <f t="shared" si="58"/>
        <v>0</v>
      </c>
      <c r="F489" s="148">
        <f t="shared" si="59"/>
        <v>0</v>
      </c>
      <c r="G489" s="148">
        <f t="shared" si="60"/>
        <v>0</v>
      </c>
      <c r="H489" s="148">
        <f t="shared" si="63"/>
        <v>0</v>
      </c>
      <c r="I489" s="148">
        <f t="shared" si="61"/>
        <v>0</v>
      </c>
      <c r="J489" s="148">
        <f>SUM($H$18:$H489)</f>
        <v>182272.11610181231</v>
      </c>
    </row>
    <row r="490" spans="1:10" x14ac:dyDescent="0.2">
      <c r="A490" s="146">
        <f>IF(Values_Entered,A489+1,"")</f>
        <v>473</v>
      </c>
      <c r="B490" s="147">
        <f t="shared" si="56"/>
        <v>56705</v>
      </c>
      <c r="C490" s="148">
        <f t="shared" si="62"/>
        <v>0</v>
      </c>
      <c r="D490" s="148">
        <f t="shared" si="57"/>
        <v>1200.75587806059</v>
      </c>
      <c r="E490" s="149">
        <f t="shared" si="58"/>
        <v>0</v>
      </c>
      <c r="F490" s="148">
        <f t="shared" si="59"/>
        <v>0</v>
      </c>
      <c r="G490" s="148">
        <f t="shared" si="60"/>
        <v>0</v>
      </c>
      <c r="H490" s="148">
        <f t="shared" si="63"/>
        <v>0</v>
      </c>
      <c r="I490" s="148">
        <f t="shared" si="61"/>
        <v>0</v>
      </c>
      <c r="J490" s="148">
        <f>SUM($H$18:$H490)</f>
        <v>182272.11610181231</v>
      </c>
    </row>
    <row r="491" spans="1:10" x14ac:dyDescent="0.2">
      <c r="A491" s="146">
        <f>IF(Values_Entered,A490+1,"")</f>
        <v>474</v>
      </c>
      <c r="B491" s="147">
        <f t="shared" si="56"/>
        <v>56735</v>
      </c>
      <c r="C491" s="148">
        <f t="shared" si="62"/>
        <v>0</v>
      </c>
      <c r="D491" s="148">
        <f t="shared" si="57"/>
        <v>1200.75587806059</v>
      </c>
      <c r="E491" s="149">
        <f t="shared" si="58"/>
        <v>0</v>
      </c>
      <c r="F491" s="148">
        <f t="shared" si="59"/>
        <v>0</v>
      </c>
      <c r="G491" s="148">
        <f t="shared" si="60"/>
        <v>0</v>
      </c>
      <c r="H491" s="148">
        <f t="shared" si="63"/>
        <v>0</v>
      </c>
      <c r="I491" s="148">
        <f t="shared" si="61"/>
        <v>0</v>
      </c>
      <c r="J491" s="148">
        <f>SUM($H$18:$H491)</f>
        <v>182272.11610181231</v>
      </c>
    </row>
    <row r="492" spans="1:10" x14ac:dyDescent="0.2">
      <c r="A492" s="146">
        <f>IF(Values_Entered,A491+1,"")</f>
        <v>475</v>
      </c>
      <c r="B492" s="147">
        <f t="shared" si="56"/>
        <v>56766</v>
      </c>
      <c r="C492" s="148">
        <f t="shared" si="62"/>
        <v>0</v>
      </c>
      <c r="D492" s="148">
        <f t="shared" si="57"/>
        <v>1200.75587806059</v>
      </c>
      <c r="E492" s="149">
        <f t="shared" si="58"/>
        <v>0</v>
      </c>
      <c r="F492" s="148">
        <f t="shared" si="59"/>
        <v>0</v>
      </c>
      <c r="G492" s="148">
        <f t="shared" si="60"/>
        <v>0</v>
      </c>
      <c r="H492" s="148">
        <f t="shared" si="63"/>
        <v>0</v>
      </c>
      <c r="I492" s="148">
        <f t="shared" si="61"/>
        <v>0</v>
      </c>
      <c r="J492" s="148">
        <f>SUM($H$18:$H492)</f>
        <v>182272.11610181231</v>
      </c>
    </row>
    <row r="493" spans="1:10" x14ac:dyDescent="0.2">
      <c r="A493" s="146">
        <f>IF(Values_Entered,A492+1,"")</f>
        <v>476</v>
      </c>
      <c r="B493" s="147">
        <f t="shared" si="56"/>
        <v>56796</v>
      </c>
      <c r="C493" s="148">
        <f t="shared" si="62"/>
        <v>0</v>
      </c>
      <c r="D493" s="148">
        <f t="shared" si="57"/>
        <v>1200.75587806059</v>
      </c>
      <c r="E493" s="149">
        <f t="shared" si="58"/>
        <v>0</v>
      </c>
      <c r="F493" s="148">
        <f t="shared" si="59"/>
        <v>0</v>
      </c>
      <c r="G493" s="148">
        <f t="shared" si="60"/>
        <v>0</v>
      </c>
      <c r="H493" s="148">
        <f t="shared" si="63"/>
        <v>0</v>
      </c>
      <c r="I493" s="148">
        <f t="shared" si="61"/>
        <v>0</v>
      </c>
      <c r="J493" s="148">
        <f>SUM($H$18:$H493)</f>
        <v>182272.11610181231</v>
      </c>
    </row>
    <row r="494" spans="1:10" x14ac:dyDescent="0.2">
      <c r="A494" s="146">
        <f>IF(Values_Entered,A493+1,"")</f>
        <v>477</v>
      </c>
      <c r="B494" s="147">
        <f t="shared" si="56"/>
        <v>56827</v>
      </c>
      <c r="C494" s="148">
        <f t="shared" si="62"/>
        <v>0</v>
      </c>
      <c r="D494" s="148">
        <f t="shared" si="57"/>
        <v>1200.75587806059</v>
      </c>
      <c r="E494" s="149">
        <f t="shared" si="58"/>
        <v>0</v>
      </c>
      <c r="F494" s="148">
        <f t="shared" si="59"/>
        <v>0</v>
      </c>
      <c r="G494" s="148">
        <f t="shared" si="60"/>
        <v>0</v>
      </c>
      <c r="H494" s="148">
        <f t="shared" si="63"/>
        <v>0</v>
      </c>
      <c r="I494" s="148">
        <f t="shared" si="61"/>
        <v>0</v>
      </c>
      <c r="J494" s="148">
        <f>SUM($H$18:$H494)</f>
        <v>182272.11610181231</v>
      </c>
    </row>
    <row r="495" spans="1:10" x14ac:dyDescent="0.2">
      <c r="A495" s="146">
        <f>IF(Values_Entered,A494+1,"")</f>
        <v>478</v>
      </c>
      <c r="B495" s="147">
        <f t="shared" si="56"/>
        <v>56858</v>
      </c>
      <c r="C495" s="148">
        <f t="shared" si="62"/>
        <v>0</v>
      </c>
      <c r="D495" s="148">
        <f t="shared" si="57"/>
        <v>1200.75587806059</v>
      </c>
      <c r="E495" s="149">
        <f t="shared" si="58"/>
        <v>0</v>
      </c>
      <c r="F495" s="148">
        <f t="shared" si="59"/>
        <v>0</v>
      </c>
      <c r="G495" s="148">
        <f t="shared" si="60"/>
        <v>0</v>
      </c>
      <c r="H495" s="148">
        <f t="shared" si="63"/>
        <v>0</v>
      </c>
      <c r="I495" s="148">
        <f t="shared" si="61"/>
        <v>0</v>
      </c>
      <c r="J495" s="148">
        <f>SUM($H$18:$H495)</f>
        <v>182272.11610181231</v>
      </c>
    </row>
    <row r="496" spans="1:10" x14ac:dyDescent="0.2">
      <c r="A496" s="146">
        <f>IF(Values_Entered,A495+1,"")</f>
        <v>479</v>
      </c>
      <c r="B496" s="147">
        <f t="shared" si="56"/>
        <v>56888</v>
      </c>
      <c r="C496" s="148">
        <f t="shared" si="62"/>
        <v>0</v>
      </c>
      <c r="D496" s="148">
        <f t="shared" si="57"/>
        <v>1200.75587806059</v>
      </c>
      <c r="E496" s="149">
        <f t="shared" si="58"/>
        <v>0</v>
      </c>
      <c r="F496" s="148">
        <f t="shared" si="59"/>
        <v>0</v>
      </c>
      <c r="G496" s="148">
        <f t="shared" si="60"/>
        <v>0</v>
      </c>
      <c r="H496" s="148">
        <f t="shared" si="63"/>
        <v>0</v>
      </c>
      <c r="I496" s="148">
        <f t="shared" si="61"/>
        <v>0</v>
      </c>
      <c r="J496" s="148">
        <f>SUM($H$18:$H496)</f>
        <v>182272.11610181231</v>
      </c>
    </row>
    <row r="497" spans="1:10" x14ac:dyDescent="0.2">
      <c r="A497" s="146">
        <f>IF(Values_Entered,A496+1,"")</f>
        <v>480</v>
      </c>
      <c r="B497" s="147">
        <f t="shared" si="56"/>
        <v>56919</v>
      </c>
      <c r="C497" s="148">
        <f t="shared" si="62"/>
        <v>0</v>
      </c>
      <c r="D497" s="148">
        <f t="shared" si="57"/>
        <v>1200.75587806059</v>
      </c>
      <c r="E497" s="149">
        <f t="shared" si="58"/>
        <v>0</v>
      </c>
      <c r="F497" s="148">
        <f t="shared" si="59"/>
        <v>0</v>
      </c>
      <c r="G497" s="148">
        <f t="shared" si="60"/>
        <v>0</v>
      </c>
      <c r="H497" s="148">
        <f t="shared" si="63"/>
        <v>0</v>
      </c>
      <c r="I497" s="148">
        <f t="shared" si="61"/>
        <v>0</v>
      </c>
      <c r="J497" s="148">
        <f>SUM($H$18:$H497)</f>
        <v>182272.11610181231</v>
      </c>
    </row>
  </sheetData>
  <sheetProtection sheet="1" objects="1" scenarios="1" selectLockedCells="1"/>
  <mergeCells count="3">
    <mergeCell ref="C12:D12"/>
    <mergeCell ref="B4:D4"/>
    <mergeCell ref="H4:J4"/>
  </mergeCells>
  <conditionalFormatting sqref="A18:E497">
    <cfRule type="expression" dxfId="5" priority="1" stopIfTrue="1">
      <formula>IF(ROW(A18)&gt;Last_Row,TRUE, FALSE)</formula>
    </cfRule>
    <cfRule type="expression" dxfId="4" priority="2" stopIfTrue="1">
      <formula>IF(ROW(A18)=Last_Row,TRUE, FALSE)</formula>
    </cfRule>
    <cfRule type="expression" dxfId="3" priority="3" stopIfTrue="1">
      <formula>IF(ROW(A18)&lt;Last_Row,TRUE, FALSE)</formula>
    </cfRule>
  </conditionalFormatting>
  <conditionalFormatting sqref="F18:J497">
    <cfRule type="expression" dxfId="2" priority="4" stopIfTrue="1">
      <formula>IF(ROW(F18)&gt;Last_Row,TRUE, FALSE)</formula>
    </cfRule>
    <cfRule type="expression" dxfId="1" priority="5" stopIfTrue="1">
      <formula>IF(ROW(F18)=Last_Row,TRUE, FALSE)</formula>
    </cfRule>
    <cfRule type="expression" dxfId="0" priority="6" stopIfTrue="1">
      <formula>IF(ROW(F18)&lt;=Last_Row,TRUE, FALSE)</formula>
    </cfRule>
  </conditionalFormatting>
  <dataValidations count="3">
    <dataValidation allowBlank="1" showInputMessage="1" showErrorMessage="1" promptTitle="Extra Payments" prompt="Enter an amount here if you want to make additional principal payments every pay period._x000a__x000a_For occasional extra payments, enter the extra principal amounts directly in the 'Extra Payment' column below." sqref="D10"/>
    <dataValidation type="date" operator="greaterThanOrEqual" allowBlank="1" showInputMessage="1" showErrorMessage="1" errorTitle="Date" error="Please enter a valid date greater than or equal to January 1, 1900." sqref="D9">
      <formula1>1</formula1>
    </dataValidation>
    <dataValidation type="whole" allowBlank="1" showInputMessage="1" showErrorMessage="1" errorTitle="Years" error="Please enter a whole number of years from 1 to 40." sqref="D7">
      <formula1>1</formula1>
      <formula2>40</formula2>
    </dataValidation>
  </dataValidations>
  <pageMargins left="0.5" right="0.5" top="0.5" bottom="0.5" header="0.5" footer="0.5"/>
  <pageSetup scale="80"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L23"/>
  <sheetViews>
    <sheetView workbookViewId="0"/>
  </sheetViews>
  <sheetFormatPr defaultRowHeight="15.75" x14ac:dyDescent="0.25"/>
  <cols>
    <col min="1" max="1" width="4.7109375" style="152" customWidth="1"/>
    <col min="2" max="18" width="14.7109375" style="3" customWidth="1"/>
    <col min="19" max="64" width="10.7109375" style="3" customWidth="1"/>
    <col min="65" max="16384" width="9.140625" style="3"/>
  </cols>
  <sheetData>
    <row r="1" spans="1:12" ht="16.5" thickBot="1" x14ac:dyDescent="0.3"/>
    <row r="2" spans="1:12" ht="21.75" thickBot="1" x14ac:dyDescent="0.4">
      <c r="B2" s="184" t="s">
        <v>272</v>
      </c>
      <c r="C2" s="185"/>
    </row>
    <row r="4" spans="1:12" ht="15.75" customHeight="1" x14ac:dyDescent="0.25">
      <c r="B4" s="171" t="s">
        <v>238</v>
      </c>
      <c r="C4" s="171"/>
      <c r="D4" s="171"/>
      <c r="E4" s="171"/>
      <c r="F4" s="171"/>
      <c r="G4" s="171"/>
      <c r="H4" s="171"/>
      <c r="I4" s="171"/>
      <c r="J4" s="171"/>
      <c r="K4" s="171"/>
      <c r="L4" s="88"/>
    </row>
    <row r="6" spans="1:12" ht="31.5" customHeight="1" x14ac:dyDescent="0.25">
      <c r="B6" s="171" t="s">
        <v>239</v>
      </c>
      <c r="C6" s="171"/>
      <c r="D6" s="171"/>
      <c r="E6" s="171"/>
      <c r="F6" s="171"/>
      <c r="G6" s="171"/>
      <c r="H6" s="171"/>
      <c r="I6" s="171"/>
      <c r="J6" s="171"/>
      <c r="K6" s="171"/>
      <c r="L6" s="88"/>
    </row>
    <row r="8" spans="1:12" x14ac:dyDescent="0.25">
      <c r="B8" s="3" t="s">
        <v>240</v>
      </c>
      <c r="E8" s="30">
        <v>30</v>
      </c>
    </row>
    <row r="9" spans="1:12" x14ac:dyDescent="0.25">
      <c r="B9" s="3" t="s">
        <v>241</v>
      </c>
      <c r="E9" s="7">
        <v>90000</v>
      </c>
    </row>
    <row r="10" spans="1:12" x14ac:dyDescent="0.25">
      <c r="B10" s="3" t="s">
        <v>242</v>
      </c>
      <c r="E10" s="7">
        <v>20</v>
      </c>
    </row>
    <row r="11" spans="1:12" x14ac:dyDescent="0.25">
      <c r="B11" s="3" t="s">
        <v>28</v>
      </c>
      <c r="E11" s="153">
        <v>0.08</v>
      </c>
    </row>
    <row r="13" spans="1:12" ht="31.5" customHeight="1" x14ac:dyDescent="0.25">
      <c r="B13" s="171" t="s">
        <v>243</v>
      </c>
      <c r="C13" s="171"/>
      <c r="D13" s="171"/>
      <c r="E13" s="171"/>
      <c r="F13" s="171"/>
      <c r="G13" s="171"/>
      <c r="H13" s="171"/>
      <c r="I13" s="171"/>
      <c r="J13" s="171"/>
      <c r="K13" s="171"/>
    </row>
    <row r="15" spans="1:12" ht="31.5" customHeight="1" x14ac:dyDescent="0.25">
      <c r="A15" s="152" t="s">
        <v>244</v>
      </c>
      <c r="B15" s="171" t="s">
        <v>245</v>
      </c>
      <c r="C15" s="171"/>
      <c r="D15" s="171"/>
      <c r="E15" s="171"/>
      <c r="F15" s="171"/>
      <c r="G15" s="171"/>
      <c r="H15" s="171"/>
      <c r="I15" s="171"/>
      <c r="J15" s="171"/>
      <c r="K15" s="171"/>
    </row>
    <row r="17" spans="1:11" ht="31.5" customHeight="1" x14ac:dyDescent="0.25">
      <c r="A17" s="154" t="s">
        <v>41</v>
      </c>
      <c r="B17" s="171" t="s">
        <v>246</v>
      </c>
      <c r="C17" s="171"/>
      <c r="D17" s="171"/>
      <c r="E17" s="171"/>
      <c r="F17" s="171"/>
      <c r="G17" s="171"/>
      <c r="H17" s="171"/>
      <c r="I17" s="171"/>
      <c r="J17" s="171"/>
      <c r="K17" s="171"/>
    </row>
    <row r="18" spans="1:11" x14ac:dyDescent="0.25">
      <c r="A18" s="154"/>
    </row>
    <row r="19" spans="1:11" ht="47.25" customHeight="1" x14ac:dyDescent="0.25">
      <c r="A19" s="154" t="s">
        <v>247</v>
      </c>
      <c r="B19" s="171" t="s">
        <v>248</v>
      </c>
      <c r="C19" s="171"/>
      <c r="D19" s="171"/>
      <c r="E19" s="171"/>
      <c r="F19" s="171"/>
      <c r="G19" s="171"/>
      <c r="H19" s="171"/>
      <c r="I19" s="171"/>
      <c r="J19" s="171"/>
      <c r="K19" s="171"/>
    </row>
    <row r="21" spans="1:11" x14ac:dyDescent="0.25">
      <c r="B21" s="3" t="s">
        <v>249</v>
      </c>
      <c r="E21" s="7">
        <v>1500</v>
      </c>
    </row>
    <row r="22" spans="1:11" x14ac:dyDescent="0.25">
      <c r="B22" s="3" t="s">
        <v>250</v>
      </c>
      <c r="E22" s="30">
        <v>20</v>
      </c>
    </row>
    <row r="23" spans="1:11" x14ac:dyDescent="0.25">
      <c r="B23" s="3" t="s">
        <v>251</v>
      </c>
      <c r="E23" s="7">
        <v>25000</v>
      </c>
    </row>
  </sheetData>
  <mergeCells count="7">
    <mergeCell ref="B2:C2"/>
    <mergeCell ref="B19:K19"/>
    <mergeCell ref="B4:K4"/>
    <mergeCell ref="B6:K6"/>
    <mergeCell ref="B13:K13"/>
    <mergeCell ref="B15:K15"/>
    <mergeCell ref="B17:K1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22</vt:i4>
      </vt:variant>
    </vt:vector>
  </HeadingPairs>
  <TitlesOfParts>
    <vt:vector size="32" baseType="lpstr">
      <vt:lpstr>Chapter 4</vt:lpstr>
      <vt:lpstr>Section 4.2</vt:lpstr>
      <vt:lpstr>Section 4.3</vt:lpstr>
      <vt:lpstr>Section 4.4</vt:lpstr>
      <vt:lpstr>Section 4.5</vt:lpstr>
      <vt:lpstr>Sheet1</vt:lpstr>
      <vt:lpstr>Sheet1 (2)</vt:lpstr>
      <vt:lpstr>Loan Amortization Schedule </vt:lpstr>
      <vt:lpstr>Master It!</vt:lpstr>
      <vt:lpstr>Solution</vt:lpstr>
      <vt:lpstr>Beg_Bal</vt:lpstr>
      <vt:lpstr>'Loan Amortization Schedule '!Cum_Int</vt:lpstr>
      <vt:lpstr>'Loan Amortization Schedule '!Data</vt:lpstr>
      <vt:lpstr>End_Bal</vt:lpstr>
      <vt:lpstr>Extra_Pay</vt:lpstr>
      <vt:lpstr>Full_Print</vt:lpstr>
      <vt:lpstr>Int</vt:lpstr>
      <vt:lpstr>Interest_Rate</vt:lpstr>
      <vt:lpstr>Loan_Amount</vt:lpstr>
      <vt:lpstr>Loan_Start</vt:lpstr>
      <vt:lpstr>Loan_Years</vt:lpstr>
      <vt:lpstr>Num_Pmt_Per_Year</vt:lpstr>
      <vt:lpstr>'Loan Amortization Schedule '!Pay_Date</vt:lpstr>
      <vt:lpstr>Pay_Num</vt:lpstr>
      <vt:lpstr>Princ</vt:lpstr>
      <vt:lpstr>'Loan Amortization Schedule '!Print_Titles</vt:lpstr>
      <vt:lpstr>Sched_Pay</vt:lpstr>
      <vt:lpstr>Scheduled_Extra_Payments</vt:lpstr>
      <vt:lpstr>'Loan Amortization Schedule '!Scheduled_Interest_Rate</vt:lpstr>
      <vt:lpstr>Scheduled_Monthly_Payment</vt:lpstr>
      <vt:lpstr>'Loan Amortization Schedule '!Total_Interest</vt:lpstr>
      <vt:lpstr>Total_Pay</vt:lpstr>
    </vt:vector>
  </TitlesOfParts>
  <Company>Belmont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 Smolira</dc:creator>
  <cp:lastModifiedBy>Aj Fontana</cp:lastModifiedBy>
  <cp:lastPrinted>2009-02-05T18:46:08Z</cp:lastPrinted>
  <dcterms:created xsi:type="dcterms:W3CDTF">2008-02-06T23:47:18Z</dcterms:created>
  <dcterms:modified xsi:type="dcterms:W3CDTF">2017-01-25T23:05:18Z</dcterms:modified>
</cp:coreProperties>
</file>