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defaultThemeVersion="124226"/>
  <mc:AlternateContent xmlns:mc="http://schemas.openxmlformats.org/markup-compatibility/2006">
    <mc:Choice Requires="x15">
      <x15ac:absPath xmlns:x15ac="http://schemas.microsoft.com/office/spreadsheetml/2010/11/ac" url="C:\Users\Aj\Documents\UCSC Coursework\Winter Quarter 2017\Econ 235 - Corporate Finance\Excel Files\"/>
    </mc:Choice>
  </mc:AlternateContent>
  <bookViews>
    <workbookView xWindow="360" yWindow="330" windowWidth="14895" windowHeight="7365" tabRatio="864" activeTab="4"/>
  </bookViews>
  <sheets>
    <sheet name="Chapter 6" sheetId="12" r:id="rId1"/>
    <sheet name="Section 6.2" sheetId="3" r:id="rId2"/>
    <sheet name="Section 6.3" sheetId="13" r:id="rId3"/>
    <sheet name="Section 6.5" sheetId="8" r:id="rId4"/>
    <sheet name="Homework" sheetId="19" r:id="rId5"/>
    <sheet name="Minimum price" sheetId="18" r:id="rId6"/>
    <sheet name="Master It!" sheetId="6" r:id="rId7"/>
    <sheet name="Solution" sheetId="15" r:id="rId8"/>
    <sheet name="Part d" sheetId="16" r:id="rId9"/>
    <sheet name="Part e" sheetId="17" r:id="rId10"/>
  </sheets>
  <definedNames>
    <definedName name="solver_adj" localSheetId="2" hidden="1">'Section 6.3'!#REF!</definedName>
    <definedName name="solver_adj" localSheetId="3" hidden="1">'Section 6.5'!$D$48</definedName>
    <definedName name="solver_adj" localSheetId="7" hidden="1">Solution!$C$15</definedName>
    <definedName name="solver_cvg" localSheetId="2" hidden="1">0.0001</definedName>
    <definedName name="solver_cvg" localSheetId="3" hidden="1">0.0001</definedName>
    <definedName name="solver_cvg" localSheetId="7" hidden="1">0.0001</definedName>
    <definedName name="solver_drv" localSheetId="2" hidden="1">1</definedName>
    <definedName name="solver_drv" localSheetId="3" hidden="1">1</definedName>
    <definedName name="solver_drv" localSheetId="7" hidden="1">1</definedName>
    <definedName name="solver_eng" localSheetId="3" hidden="1">1</definedName>
    <definedName name="solver_est" localSheetId="2" hidden="1">1</definedName>
    <definedName name="solver_est" localSheetId="3" hidden="1">1</definedName>
    <definedName name="solver_est" localSheetId="7" hidden="1">1</definedName>
    <definedName name="solver_itr" localSheetId="2" hidden="1">100</definedName>
    <definedName name="solver_itr" localSheetId="3" hidden="1">100</definedName>
    <definedName name="solver_itr" localSheetId="7" hidden="1">100</definedName>
    <definedName name="solver_lin" localSheetId="2" hidden="1">2</definedName>
    <definedName name="solver_lin" localSheetId="3" hidden="1">2</definedName>
    <definedName name="solver_lin" localSheetId="7" hidden="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2" hidden="1">2</definedName>
    <definedName name="solver_neg" localSheetId="3" hidden="1">2</definedName>
    <definedName name="solver_neg" localSheetId="7" hidden="1">2</definedName>
    <definedName name="solver_nod" localSheetId="3" hidden="1">2147483647</definedName>
    <definedName name="solver_num" localSheetId="2" hidden="1">0</definedName>
    <definedName name="solver_num" localSheetId="3" hidden="1">0</definedName>
    <definedName name="solver_num" localSheetId="7" hidden="1">0</definedName>
    <definedName name="solver_nwt" localSheetId="2" hidden="1">1</definedName>
    <definedName name="solver_nwt" localSheetId="3" hidden="1">1</definedName>
    <definedName name="solver_nwt" localSheetId="7" hidden="1">1</definedName>
    <definedName name="solver_opt" localSheetId="2" hidden="1">'Section 6.3'!#REF!</definedName>
    <definedName name="solver_opt" localSheetId="3" hidden="1">'Section 6.5'!$C$92</definedName>
    <definedName name="solver_opt" localSheetId="7" hidden="1">Solution!$C$89</definedName>
    <definedName name="solver_pre" localSheetId="2" hidden="1">0.000001</definedName>
    <definedName name="solver_pre" localSheetId="3" hidden="1">0.000001</definedName>
    <definedName name="solver_pre" localSheetId="7" hidden="1">0.000001</definedName>
    <definedName name="solver_rbv" localSheetId="3" hidden="1">1</definedName>
    <definedName name="solver_rlx" localSheetId="3" hidden="1">1</definedName>
    <definedName name="solver_rsd" localSheetId="3" hidden="1">0</definedName>
    <definedName name="solver_scl" localSheetId="2" hidden="1">2</definedName>
    <definedName name="solver_scl" localSheetId="3" hidden="1">2</definedName>
    <definedName name="solver_scl" localSheetId="7" hidden="1">2</definedName>
    <definedName name="solver_sho" localSheetId="2" hidden="1">2</definedName>
    <definedName name="solver_sho" localSheetId="3" hidden="1">2</definedName>
    <definedName name="solver_sho" localSheetId="7" hidden="1">2</definedName>
    <definedName name="solver_ssz" localSheetId="3" hidden="1">100</definedName>
    <definedName name="solver_tim" localSheetId="2" hidden="1">100</definedName>
    <definedName name="solver_tim" localSheetId="3" hidden="1">100</definedName>
    <definedName name="solver_tim" localSheetId="7" hidden="1">100</definedName>
    <definedName name="solver_tol" localSheetId="2" hidden="1">0.05</definedName>
    <definedName name="solver_tol" localSheetId="3" hidden="1">0.05</definedName>
    <definedName name="solver_tol" localSheetId="7" hidden="1">0.05</definedName>
    <definedName name="solver_typ" localSheetId="2" hidden="1">3</definedName>
    <definedName name="solver_typ" localSheetId="3" hidden="1">3</definedName>
    <definedName name="solver_typ" localSheetId="7" hidden="1">3</definedName>
    <definedName name="solver_val" localSheetId="2" hidden="1">0</definedName>
    <definedName name="solver_val" localSheetId="3" hidden="1">0</definedName>
    <definedName name="solver_val" localSheetId="7" hidden="1">0</definedName>
    <definedName name="solver_ver" localSheetId="3" hidden="1">3</definedName>
  </definedNames>
  <calcPr calcId="171027" concurrentCalc="0"/>
</workbook>
</file>

<file path=xl/calcChain.xml><?xml version="1.0" encoding="utf-8"?>
<calcChain xmlns="http://schemas.openxmlformats.org/spreadsheetml/2006/main">
  <c r="F14" i="19" l="1"/>
  <c r="E46" i="19"/>
  <c r="E45" i="19"/>
  <c r="E44" i="19"/>
  <c r="G45" i="19"/>
  <c r="J20" i="19"/>
  <c r="J21" i="19"/>
  <c r="F47" i="19"/>
  <c r="G46" i="19"/>
  <c r="G44" i="19"/>
  <c r="G47" i="19"/>
  <c r="L18" i="19"/>
  <c r="C39" i="19"/>
  <c r="M18" i="19"/>
  <c r="D39" i="19"/>
  <c r="N18" i="19"/>
  <c r="E39" i="19"/>
  <c r="K18" i="19"/>
  <c r="B39" i="19"/>
  <c r="G19" i="19"/>
  <c r="C37" i="19"/>
  <c r="G20" i="19"/>
  <c r="D37" i="19"/>
  <c r="G21" i="19"/>
  <c r="E37" i="19"/>
  <c r="G18" i="19"/>
  <c r="B37" i="19"/>
  <c r="D7" i="19"/>
  <c r="D8" i="19"/>
  <c r="D10" i="19"/>
  <c r="E7" i="19"/>
  <c r="F7" i="19"/>
  <c r="F8" i="19"/>
  <c r="F10" i="19"/>
  <c r="C7" i="19"/>
  <c r="C8" i="19"/>
  <c r="C11" i="19"/>
  <c r="C14" i="19"/>
  <c r="B12" i="19"/>
  <c r="B13" i="19"/>
  <c r="B14" i="19"/>
  <c r="D12" i="19"/>
  <c r="D13" i="19"/>
  <c r="E12" i="19"/>
  <c r="E13" i="19"/>
  <c r="F12" i="19"/>
  <c r="F13" i="19"/>
  <c r="C12" i="19"/>
  <c r="C13" i="19"/>
  <c r="D114" i="8"/>
  <c r="B32" i="19"/>
  <c r="C32" i="19"/>
  <c r="D32" i="19"/>
  <c r="E38" i="19"/>
  <c r="B30" i="19"/>
  <c r="C30" i="19"/>
  <c r="D30" i="19"/>
  <c r="C10" i="19"/>
  <c r="B29" i="19"/>
  <c r="C29" i="19"/>
  <c r="D29" i="19"/>
  <c r="B38" i="19"/>
  <c r="B31" i="19"/>
  <c r="C31" i="19"/>
  <c r="D31" i="19"/>
  <c r="D38" i="19"/>
  <c r="E40" i="19"/>
  <c r="D40" i="19"/>
  <c r="E8" i="19"/>
  <c r="E11" i="19"/>
  <c r="E14" i="19"/>
  <c r="F11" i="19"/>
  <c r="D11" i="19"/>
  <c r="D14" i="19"/>
  <c r="C85" i="15"/>
  <c r="C79" i="15"/>
  <c r="C76" i="15"/>
  <c r="C73" i="15"/>
  <c r="D72" i="15"/>
  <c r="C72" i="15"/>
  <c r="G65" i="15"/>
  <c r="F65" i="15"/>
  <c r="E65" i="15"/>
  <c r="D65" i="15"/>
  <c r="D76" i="15"/>
  <c r="D64" i="15"/>
  <c r="E64" i="15"/>
  <c r="F64" i="15"/>
  <c r="G64" i="15"/>
  <c r="D50" i="15"/>
  <c r="E50" i="15"/>
  <c r="F50" i="15"/>
  <c r="G50" i="15"/>
  <c r="D48" i="15"/>
  <c r="D49" i="15"/>
  <c r="D45" i="15"/>
  <c r="E45" i="15"/>
  <c r="F45" i="15"/>
  <c r="G45" i="15"/>
  <c r="D42" i="15"/>
  <c r="D43" i="15"/>
  <c r="D44" i="15"/>
  <c r="C38" i="15"/>
  <c r="C37" i="15"/>
  <c r="C22" i="15"/>
  <c r="C38" i="19"/>
  <c r="C40" i="19"/>
  <c r="C41" i="19"/>
  <c r="C43" i="19"/>
  <c r="C47" i="19"/>
  <c r="B40" i="19"/>
  <c r="D41" i="19"/>
  <c r="D43" i="19"/>
  <c r="D47" i="19"/>
  <c r="E41" i="19"/>
  <c r="E43" i="19"/>
  <c r="E47" i="19"/>
  <c r="B15" i="19"/>
  <c r="E10" i="19"/>
  <c r="C74" i="15"/>
  <c r="C86" i="15"/>
  <c r="E76" i="15"/>
  <c r="F76" i="15"/>
  <c r="G76" i="15"/>
  <c r="C80" i="15"/>
  <c r="D58" i="15"/>
  <c r="D53" i="15"/>
  <c r="D59" i="15"/>
  <c r="D54" i="15"/>
  <c r="C87" i="15"/>
  <c r="C81" i="15"/>
  <c r="G85" i="15"/>
  <c r="E42" i="15"/>
  <c r="E48" i="15"/>
  <c r="B41" i="19"/>
  <c r="B43" i="19"/>
  <c r="E42" i="19"/>
  <c r="C42" i="19"/>
  <c r="D42" i="19"/>
  <c r="F42" i="15"/>
  <c r="E43" i="15"/>
  <c r="E44" i="15"/>
  <c r="D60" i="15"/>
  <c r="D63" i="15"/>
  <c r="F48" i="15"/>
  <c r="E49" i="15"/>
  <c r="D55" i="15"/>
  <c r="B47" i="19"/>
  <c r="B49" i="19"/>
  <c r="B42" i="19"/>
  <c r="D73" i="15"/>
  <c r="D62" i="15"/>
  <c r="D66" i="15"/>
  <c r="F49" i="15"/>
  <c r="G48" i="15"/>
  <c r="G49" i="15"/>
  <c r="F43" i="15"/>
  <c r="F44" i="15"/>
  <c r="G42" i="15"/>
  <c r="G43" i="15"/>
  <c r="G44" i="15"/>
  <c r="E59" i="15"/>
  <c r="E54" i="15"/>
  <c r="E58" i="15"/>
  <c r="E53" i="15"/>
  <c r="E55" i="15"/>
  <c r="E60" i="15"/>
  <c r="E63" i="15"/>
  <c r="F58" i="15"/>
  <c r="F53" i="15"/>
  <c r="F59" i="15"/>
  <c r="F54" i="15"/>
  <c r="D74" i="15"/>
  <c r="D86" i="15"/>
  <c r="E72" i="15"/>
  <c r="E73" i="15"/>
  <c r="F72" i="15"/>
  <c r="E62" i="15"/>
  <c r="E66" i="15"/>
  <c r="G58" i="15"/>
  <c r="G53" i="15"/>
  <c r="G59" i="15"/>
  <c r="G54" i="15"/>
  <c r="D67" i="15"/>
  <c r="D68" i="15"/>
  <c r="D69" i="15"/>
  <c r="D84" i="15"/>
  <c r="D87" i="15"/>
  <c r="E74" i="15"/>
  <c r="E86" i="15"/>
  <c r="G55" i="15"/>
  <c r="G62" i="15"/>
  <c r="G60" i="15"/>
  <c r="G63" i="15"/>
  <c r="F60" i="15"/>
  <c r="F63" i="15"/>
  <c r="E67" i="15"/>
  <c r="E68" i="15"/>
  <c r="E69" i="15"/>
  <c r="E84" i="15"/>
  <c r="F55" i="15"/>
  <c r="E87" i="15"/>
  <c r="F73" i="15"/>
  <c r="F62" i="15"/>
  <c r="F66" i="15"/>
  <c r="G66" i="15"/>
  <c r="G67" i="15"/>
  <c r="G68" i="15"/>
  <c r="G69" i="15"/>
  <c r="G84" i="15"/>
  <c r="G72" i="15"/>
  <c r="G74" i="15"/>
  <c r="G86" i="15"/>
  <c r="F74" i="15"/>
  <c r="F86" i="15"/>
  <c r="F67" i="15"/>
  <c r="F68" i="15"/>
  <c r="F69" i="15"/>
  <c r="F84" i="15"/>
  <c r="F87" i="15"/>
  <c r="G87" i="15"/>
  <c r="C90" i="15"/>
  <c r="C89" i="15"/>
  <c r="C91" i="15"/>
  <c r="F64" i="13"/>
  <c r="F63" i="13"/>
  <c r="E64" i="13"/>
  <c r="E63" i="13"/>
  <c r="D62" i="13"/>
  <c r="B67" i="13"/>
  <c r="B56" i="13"/>
  <c r="F48" i="13"/>
  <c r="F47" i="13"/>
  <c r="E48" i="13"/>
  <c r="E47" i="13"/>
  <c r="D46" i="13"/>
  <c r="B51" i="13"/>
  <c r="C18" i="13"/>
  <c r="B72" i="13"/>
  <c r="F14" i="13"/>
  <c r="F49" i="13"/>
  <c r="F53" i="13"/>
  <c r="E14" i="13"/>
  <c r="E65" i="13"/>
  <c r="E69" i="13"/>
  <c r="F50" i="13"/>
  <c r="F51" i="13"/>
  <c r="F52" i="13"/>
  <c r="F54" i="13"/>
  <c r="E49" i="13"/>
  <c r="E53" i="13"/>
  <c r="F65" i="13"/>
  <c r="F69" i="13"/>
  <c r="E50" i="13"/>
  <c r="F66" i="13"/>
  <c r="F67" i="13"/>
  <c r="F68" i="13"/>
  <c r="F70" i="13"/>
  <c r="E66" i="13"/>
  <c r="E67" i="13"/>
  <c r="E68" i="13"/>
  <c r="E70" i="13"/>
  <c r="C72" i="13"/>
  <c r="E51" i="13"/>
  <c r="E52" i="13"/>
  <c r="E54" i="13"/>
  <c r="C56" i="13"/>
  <c r="I102" i="3"/>
  <c r="I101" i="3"/>
  <c r="I100" i="3"/>
  <c r="I99" i="3"/>
  <c r="I98" i="3"/>
  <c r="I97" i="3"/>
  <c r="H97" i="3"/>
  <c r="I96" i="3"/>
  <c r="H96" i="3"/>
  <c r="I95" i="3"/>
  <c r="H95" i="3"/>
  <c r="I94" i="3"/>
  <c r="H94" i="3"/>
  <c r="I93" i="3"/>
  <c r="H93" i="3"/>
  <c r="I92" i="3"/>
  <c r="H92" i="3"/>
  <c r="G92" i="3"/>
  <c r="I91" i="3"/>
  <c r="H91" i="3"/>
  <c r="G91" i="3"/>
  <c r="I90" i="3"/>
  <c r="H90" i="3"/>
  <c r="G90" i="3"/>
  <c r="I89" i="3"/>
  <c r="H89" i="3"/>
  <c r="G89" i="3"/>
  <c r="F89" i="3"/>
  <c r="I88" i="3"/>
  <c r="H88" i="3"/>
  <c r="G88" i="3"/>
  <c r="F88" i="3"/>
  <c r="I87" i="3"/>
  <c r="H87" i="3"/>
  <c r="G87" i="3"/>
  <c r="F87" i="3"/>
  <c r="E87" i="3"/>
  <c r="I86" i="3"/>
  <c r="H86" i="3"/>
  <c r="G86" i="3"/>
  <c r="F86" i="3"/>
  <c r="E86" i="3"/>
  <c r="I85" i="3"/>
  <c r="H85" i="3"/>
  <c r="G85" i="3"/>
  <c r="F85" i="3"/>
  <c r="E85" i="3"/>
  <c r="D85" i="3"/>
  <c r="I84" i="3"/>
  <c r="H84" i="3"/>
  <c r="G84" i="3"/>
  <c r="F84" i="3"/>
  <c r="E84" i="3"/>
  <c r="D84" i="3"/>
  <c r="I83" i="3"/>
  <c r="H83" i="3"/>
  <c r="G83" i="3"/>
  <c r="F83" i="3"/>
  <c r="E83" i="3"/>
  <c r="D83" i="3"/>
  <c r="I82" i="3"/>
  <c r="H82" i="3"/>
  <c r="G82" i="3"/>
  <c r="F82" i="3"/>
  <c r="E82" i="3"/>
  <c r="D82" i="3"/>
  <c r="D65" i="3"/>
  <c r="I64" i="3"/>
  <c r="D64" i="3"/>
  <c r="D63" i="3"/>
  <c r="D42" i="3"/>
  <c r="B52" i="3"/>
  <c r="D36" i="3"/>
  <c r="D30" i="3"/>
  <c r="E30" i="3"/>
  <c r="D28" i="3"/>
  <c r="D29" i="3"/>
  <c r="D37" i="3"/>
  <c r="E36" i="3"/>
  <c r="H25" i="3"/>
  <c r="H50" i="3"/>
  <c r="G25" i="3"/>
  <c r="G50" i="3"/>
  <c r="F25" i="3"/>
  <c r="F50" i="3"/>
  <c r="E25" i="3"/>
  <c r="E50" i="3"/>
  <c r="D25" i="3"/>
  <c r="D26" i="3"/>
  <c r="D66" i="3"/>
  <c r="D38" i="3"/>
  <c r="E65" i="3"/>
  <c r="D50" i="3"/>
  <c r="D48" i="3"/>
  <c r="E59" i="3"/>
  <c r="D27" i="3"/>
  <c r="E26" i="3"/>
  <c r="E31" i="3"/>
  <c r="E49" i="3"/>
  <c r="F60" i="3"/>
  <c r="F30" i="3"/>
  <c r="G30" i="3"/>
  <c r="H30" i="3"/>
  <c r="H31" i="3"/>
  <c r="H49" i="3"/>
  <c r="I60" i="3"/>
  <c r="D31" i="3"/>
  <c r="D49" i="3"/>
  <c r="E60" i="3"/>
  <c r="E28" i="3"/>
  <c r="F31" i="3"/>
  <c r="F49" i="3"/>
  <c r="G60" i="3"/>
  <c r="D51" i="3"/>
  <c r="G31" i="3"/>
  <c r="G49" i="3"/>
  <c r="H60" i="3"/>
  <c r="E29" i="3"/>
  <c r="F28" i="3"/>
  <c r="E27" i="3"/>
  <c r="F26" i="3"/>
  <c r="E37" i="3"/>
  <c r="E48" i="3"/>
  <c r="D52" i="3"/>
  <c r="E61" i="3"/>
  <c r="E62" i="3"/>
  <c r="E66" i="3"/>
  <c r="G26" i="3"/>
  <c r="F27" i="3"/>
  <c r="G28" i="3"/>
  <c r="F29" i="3"/>
  <c r="D53" i="3"/>
  <c r="E51" i="3"/>
  <c r="E52" i="3"/>
  <c r="F59" i="3"/>
  <c r="F36" i="3"/>
  <c r="E38" i="3"/>
  <c r="F65" i="3"/>
  <c r="F37" i="3"/>
  <c r="G36" i="3"/>
  <c r="F48" i="3"/>
  <c r="H28" i="3"/>
  <c r="H29" i="3"/>
  <c r="H48" i="3"/>
  <c r="G29" i="3"/>
  <c r="H26" i="3"/>
  <c r="H27" i="3"/>
  <c r="D43" i="3"/>
  <c r="D44" i="3"/>
  <c r="I63" i="3"/>
  <c r="G27" i="3"/>
  <c r="H51" i="3"/>
  <c r="H52" i="3"/>
  <c r="I59" i="3"/>
  <c r="E53" i="3"/>
  <c r="F61" i="3"/>
  <c r="F62" i="3"/>
  <c r="F66" i="3"/>
  <c r="F51" i="3"/>
  <c r="F52" i="3"/>
  <c r="G59" i="3"/>
  <c r="F38" i="3"/>
  <c r="G65" i="3"/>
  <c r="G37" i="3"/>
  <c r="H36" i="3"/>
  <c r="H38" i="3"/>
  <c r="I65" i="3"/>
  <c r="G48" i="3"/>
  <c r="F53" i="3"/>
  <c r="G61" i="3"/>
  <c r="G62" i="3"/>
  <c r="G66" i="3"/>
  <c r="H53" i="3"/>
  <c r="I61" i="3"/>
  <c r="I62" i="3"/>
  <c r="I66" i="3"/>
  <c r="G51" i="3"/>
  <c r="G52" i="3"/>
  <c r="H59" i="3"/>
  <c r="G38" i="3"/>
  <c r="H65" i="3"/>
  <c r="D20" i="8"/>
  <c r="D19" i="8"/>
  <c r="C20" i="8"/>
  <c r="C19" i="8"/>
  <c r="G85" i="8"/>
  <c r="C85" i="8"/>
  <c r="C86" i="8"/>
  <c r="D77" i="8"/>
  <c r="D76" i="8"/>
  <c r="F66" i="8"/>
  <c r="F70" i="8"/>
  <c r="E66" i="8"/>
  <c r="E70" i="8"/>
  <c r="D66" i="8"/>
  <c r="D70" i="8"/>
  <c r="F65" i="8"/>
  <c r="E65" i="8"/>
  <c r="D65" i="8"/>
  <c r="F63" i="8"/>
  <c r="E63" i="8"/>
  <c r="D63" i="8"/>
  <c r="C66" i="8"/>
  <c r="C70" i="8"/>
  <c r="C65" i="8"/>
  <c r="C63" i="8"/>
  <c r="C64" i="8"/>
  <c r="B68" i="8"/>
  <c r="G53" i="3"/>
  <c r="H61" i="3"/>
  <c r="H62" i="3"/>
  <c r="H66" i="3"/>
  <c r="C87" i="8"/>
  <c r="D21" i="8"/>
  <c r="D22" i="8"/>
  <c r="D23" i="8"/>
  <c r="D28" i="8"/>
  <c r="D32" i="8"/>
  <c r="D36" i="8"/>
  <c r="C21" i="8"/>
  <c r="C22" i="8"/>
  <c r="C23" i="8"/>
  <c r="C28" i="8"/>
  <c r="C32" i="8"/>
  <c r="C36" i="8"/>
  <c r="D78" i="8"/>
  <c r="G86" i="8"/>
  <c r="C67" i="8"/>
  <c r="C68" i="8"/>
  <c r="C69" i="8"/>
  <c r="C71" i="8"/>
  <c r="D84" i="8"/>
  <c r="D87" i="8"/>
  <c r="D64" i="8"/>
  <c r="D67" i="8"/>
  <c r="E64" i="8"/>
  <c r="E67" i="8"/>
  <c r="F64" i="8"/>
  <c r="F67" i="8"/>
  <c r="C70" i="3"/>
  <c r="B72" i="3"/>
  <c r="C72" i="3"/>
  <c r="C71" i="3"/>
  <c r="C73" i="3"/>
  <c r="C69" i="3"/>
  <c r="A38" i="8"/>
  <c r="F68" i="8"/>
  <c r="F69" i="8"/>
  <c r="F71" i="8"/>
  <c r="G84" i="8"/>
  <c r="G87" i="8"/>
  <c r="E68" i="8"/>
  <c r="E69" i="8"/>
  <c r="E71" i="8"/>
  <c r="F84" i="8"/>
  <c r="F87" i="8"/>
  <c r="D68" i="8"/>
  <c r="D69" i="8"/>
  <c r="D71" i="8"/>
  <c r="E84" i="8"/>
  <c r="E87" i="8"/>
  <c r="C92" i="8"/>
</calcChain>
</file>

<file path=xl/sharedStrings.xml><?xml version="1.0" encoding="utf-8"?>
<sst xmlns="http://schemas.openxmlformats.org/spreadsheetml/2006/main" count="446" uniqueCount="296">
  <si>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</si>
  <si>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</si>
  <si>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</si>
  <si>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</si>
  <si>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</si>
  <si>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</si>
  <si>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</si>
  <si>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</si>
  <si>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Tax rate:</t>
  </si>
  <si>
    <t>Variable costs</t>
  </si>
  <si>
    <t>Fixed costs</t>
  </si>
  <si>
    <t>Depreciation</t>
  </si>
  <si>
    <t>EBIT</t>
  </si>
  <si>
    <t>Net income</t>
  </si>
  <si>
    <t>Year</t>
  </si>
  <si>
    <t>+ Depreciation</t>
  </si>
  <si>
    <t>Operating cash flow</t>
  </si>
  <si>
    <t>Capital spending</t>
  </si>
  <si>
    <t>NPV</t>
  </si>
  <si>
    <t>IRR</t>
  </si>
  <si>
    <t>Net working capital</t>
  </si>
  <si>
    <t>Pretax salvage value:</t>
  </si>
  <si>
    <t>Taxes on sale:</t>
  </si>
  <si>
    <t>Aftertax salvage value:</t>
  </si>
  <si>
    <t>Price</t>
  </si>
  <si>
    <t>Variable cost</t>
  </si>
  <si>
    <t>Equipment</t>
  </si>
  <si>
    <t>Tax rate</t>
  </si>
  <si>
    <t>Required return</t>
  </si>
  <si>
    <t>Revenues</t>
  </si>
  <si>
    <t>OCF</t>
  </si>
  <si>
    <t>RWJ Excel Tip</t>
  </si>
  <si>
    <t>Initial NWC</t>
  </si>
  <si>
    <t>NWC cash flow</t>
  </si>
  <si>
    <t>To find the aftertax salvage value, we need to calculate the taxes. We get:</t>
  </si>
  <si>
    <t>Change in NWC</t>
  </si>
  <si>
    <t>Total cash flow</t>
  </si>
  <si>
    <t>NPV:</t>
  </si>
  <si>
    <t>Units per year</t>
  </si>
  <si>
    <t>VC as a percentage of sales</t>
  </si>
  <si>
    <t>MACRS Year 1</t>
  </si>
  <si>
    <t>MACRS Year 2</t>
  </si>
  <si>
    <t>MACRS Year 3</t>
  </si>
  <si>
    <t>MACRS Year 4</t>
  </si>
  <si>
    <t>Immediate NWC</t>
  </si>
  <si>
    <t>Pretax salvage value</t>
  </si>
  <si>
    <t>Price per unit</t>
  </si>
  <si>
    <t>Operating cost</t>
  </si>
  <si>
    <t>Life (years)</t>
  </si>
  <si>
    <t>Discount rate</t>
  </si>
  <si>
    <t>Filtration
system</t>
  </si>
  <si>
    <t>Precipitation
system</t>
  </si>
  <si>
    <t>We can calculate the NPV of each project as:</t>
  </si>
  <si>
    <t>Tax</t>
  </si>
  <si>
    <t>So, using the bottom-up approach, the OCF for each alternative is:</t>
  </si>
  <si>
    <t>Now, we can calculate the NPV of each project:</t>
  </si>
  <si>
    <t>Using the PMT function to find the EAC, we get:</t>
  </si>
  <si>
    <t>EAC</t>
  </si>
  <si>
    <t>As you see, with Solver you first enter the target cell you would like to set to a specific value, in this case, the NPV cell. Since the lowest bid price is the price that results in a zero NPV, we chose to set the NPV cell equal to a value of zero. Next, we select the cell we would like to change in order to set the target cell equal to the value we chose. In this case, we changed the unit price cell. This is why the original value we entered for the unit price is irrelevant: Solver will change the value when it solves the problem. Note that after we used Solver, we restored the original value. On the next worksheet, you can see the answer report generated by Solver. In this case, the bid price that results in a zero NPV is:</t>
  </si>
  <si>
    <t>Minimum bid price:</t>
  </si>
  <si>
    <t>Pro Forma Income Statements</t>
  </si>
  <si>
    <t>Project Cash Flows</t>
  </si>
  <si>
    <t>Income Statements</t>
  </si>
  <si>
    <t>To use Solver, go to the Data tab, then click Solver. The inputs we used for this problem are:</t>
  </si>
  <si>
    <t>Microsoft Excel 12.0 Answer Report</t>
  </si>
  <si>
    <t>Target Cell (Value Of)</t>
  </si>
  <si>
    <t>Cell</t>
  </si>
  <si>
    <t>Name</t>
  </si>
  <si>
    <t>Original Value</t>
  </si>
  <si>
    <t>Final Value</t>
  </si>
  <si>
    <t>Adjustable Cells</t>
  </si>
  <si>
    <t>Constraints</t>
  </si>
  <si>
    <t>NONE</t>
  </si>
  <si>
    <t>NPV: Project Cash Flows</t>
  </si>
  <si>
    <t>1) Go to the Office button on the top left, click Excel options, choose Add-Ins, select Excel Add-Ins in the pulldown menu near the bottom of the box, and click on Go.</t>
  </si>
  <si>
    <t>2) Uncheck the Solver add-in and click OK.</t>
  </si>
  <si>
    <t>3) Go to the Office button on the top left, click Excel options, choose Add-Ins, select Excel Add-Ins in the pulldown menu near the bottom of the box, and click on Go. This is a repeat of Step 1.</t>
  </si>
  <si>
    <t>4) Check the Solver add-in and select OK.</t>
  </si>
  <si>
    <t>The minimum bid price is the price at which the NPV of the project is zero. We can use Solver to find this unit price (and much more.)</t>
  </si>
  <si>
    <t>We restored the original unit price so you could use Solver on this problem for practice.</t>
  </si>
  <si>
    <t>Equipment Life (Years)</t>
  </si>
  <si>
    <r>
      <t>NOTE:</t>
    </r>
    <r>
      <rPr>
        <sz val="12"/>
        <rFont val="Calibri"/>
        <family val="2"/>
        <scheme val="minor"/>
      </rPr>
      <t xml:space="preserve"> There is a bug in Solver that will occur occasionally. In some cases, Solver will not launch, or if you try to save one or more of the reports, you may see "Solver: An unexpected internal error or available memory was exhausted" pop up. In this case, the solution is to uninstall Solver and re-install it. To do this:</t>
    </r>
  </si>
  <si>
    <t>We entered a price in the appropriate cell above. As we will show later, it does not really matter what price we entered. Next, we need to calculate the cash flows and NPV for the project with our hypothetical price. This will be:</t>
  </si>
  <si>
    <t>a.</t>
  </si>
  <si>
    <t>b.</t>
  </si>
  <si>
    <t>c.</t>
  </si>
  <si>
    <t>d.</t>
  </si>
  <si>
    <t>What is the IRR of the project?</t>
  </si>
  <si>
    <t>What is the NPV of the project?</t>
  </si>
  <si>
    <t>What is the profitability index of the project?</t>
  </si>
  <si>
    <t>e.</t>
  </si>
  <si>
    <t>Year 1</t>
  </si>
  <si>
    <t>Year 2</t>
  </si>
  <si>
    <t>Year 3</t>
  </si>
  <si>
    <t>Year 4</t>
  </si>
  <si>
    <t>Year 5</t>
  </si>
  <si>
    <t>EBT</t>
  </si>
  <si>
    <t>Taxes</t>
  </si>
  <si>
    <t>Profitability index</t>
  </si>
  <si>
    <t>Cash flow</t>
  </si>
  <si>
    <t>$C$15</t>
  </si>
  <si>
    <t>To construct the MACRS table, we used the variable declining balance (VDB) function. Constructing the MACRS table is tricky because of the half-year convention. Below you will see what we entered for the second year of the three-year MACRS schedule.</t>
  </si>
  <si>
    <t>The total cash flows for each year of the project are:</t>
  </si>
  <si>
    <t>Finally, the NPV of the project at this unit price is:</t>
  </si>
  <si>
    <t>by Brad Jordan and Joe Smolira</t>
  </si>
  <si>
    <t xml:space="preserve">"Go." Check "Analysis ToolPak" and </t>
  </si>
  <si>
    <t>The inputs are Cost, which is the initial cost, Salvage, which is the salvage value, and Life, which is the life of the asset. In general, we usually find it easier just to divide the cost by the life of the equipment in the cell rather than use this particular function, but it is available if you prefer.</t>
  </si>
  <si>
    <t>To calculate the depreciation each year for straight-line depreciation, we can  divide the initial cost by the life of the equipment, or we can use the built-in Excel function SLN as we have done here. The SLN we used in this case looks like this:</t>
  </si>
  <si>
    <t>Cost is the cost of the equipment. In this case, we entered one in order to get the answers as a percentage rather than a dollar amount. Salvage is the salvage value, which is zero. Life is the life of the asset. Since we have a table here, we entered the column as a floating input and locked the row. This allows us to copy and paste the formula further down the table was well as across. The Start_period is the starting period for which we want to calculate the depreciation. With the half-year convention, we used the year and subtracted 1/2. To calculate the End_period, we used the MIN function. This function will return the lesser of the next year minus one-half, or the life of the asset. In most years we could have taken the next year minus one-half, but this would not work for the last year. Notice that this MIN function will not work for the first year since there is no prior year. So, for the first year, we eliminated the MIN function. Finally, the Factor is not shown on the picture above since Excel scrolls through the inputs in this case. We used a factor of two for the three-, five-, seven-, and 10-year schedules and a factor of 1.5 for the 15- and 20-year schedules.</t>
  </si>
  <si>
    <t>Chapter 6 - Section 2</t>
  </si>
  <si>
    <t>The Baldwin Company: An Example</t>
  </si>
  <si>
    <t>Because capital budgeting requires numerous repetitive cash flows, it is an ideal application for Excel. When doing a capital budgeting problem, as in most Excel uses, you should do few or no calculations on your own, but rather let Excel do the calculations for you. We will begin with the Baldwin Company project. We have the following projections for the project:</t>
  </si>
  <si>
    <t>Units sold per year:</t>
  </si>
  <si>
    <t>Price increase per year:</t>
  </si>
  <si>
    <t>Inflation rate</t>
  </si>
  <si>
    <t>Inflation rate:</t>
  </si>
  <si>
    <t>Price per unit for Year 1:</t>
  </si>
  <si>
    <t>Unit production cost for Year 1:</t>
  </si>
  <si>
    <t>Increase in unit cost per year:</t>
  </si>
  <si>
    <t>NWC to start project:</t>
  </si>
  <si>
    <t>NWC for subsequent years:</t>
  </si>
  <si>
    <t>Depreciation rate:</t>
  </si>
  <si>
    <t xml:space="preserve">Cost of machine </t>
  </si>
  <si>
    <t>Cost of warehouse:</t>
  </si>
  <si>
    <t>We will start off with some preliminary work, including the depreciation each year, sales price, and unit costs:</t>
  </si>
  <si>
    <t>Accumulated depreciation</t>
  </si>
  <si>
    <t>Adjusted basis of machine</t>
  </si>
  <si>
    <t>Sales revenue</t>
  </si>
  <si>
    <t>Cost per unit</t>
  </si>
  <si>
    <t>Operating costs</t>
  </si>
  <si>
    <t xml:space="preserve">  End of year NWC</t>
  </si>
  <si>
    <t xml:space="preserve">  Beginning NWC</t>
  </si>
  <si>
    <t>The change in net working capital for each year is the beginning net working capital for each year minus the net working capital investment at the end of the year. So, the change in net working capital each year is:</t>
  </si>
  <si>
    <t>Income before taxes</t>
  </si>
  <si>
    <t>Now we can calculate the pro forma income statement for each year (Table 6.1), which will be:</t>
  </si>
  <si>
    <t>With this, the incremental cash flows each year, NPV for different interest rates, and IRR for the project are (Table 6.4):</t>
  </si>
  <si>
    <t>The machine will have a salvage value at the end of the project, but we are concerned with the aftertax salvage value, which is:</t>
  </si>
  <si>
    <t>Taxes on sale</t>
  </si>
  <si>
    <t>Aftertax salvage value</t>
  </si>
  <si>
    <t>Cash flow from operations</t>
  </si>
  <si>
    <t>Year 0</t>
  </si>
  <si>
    <t>Bowling ball machine</t>
  </si>
  <si>
    <t>Warehouse</t>
  </si>
  <si>
    <t>Total cash flow of project</t>
  </si>
  <si>
    <t>A Note about Depreciation</t>
  </si>
  <si>
    <t>Chapter 6 - Section 3</t>
  </si>
  <si>
    <t>Inflation and Capital Budgeting</t>
  </si>
  <si>
    <t>Inflation should always be considered in any long-term project. As long as inflation is correctly handled, the NPV of the project will be the same. For example, consider the projected proposed by Altshuler, Inc.</t>
  </si>
  <si>
    <t>Example 6.10: Real and Nominal NPV</t>
  </si>
  <si>
    <t>Capital expenditures:</t>
  </si>
  <si>
    <t>Revenues (real terms):</t>
  </si>
  <si>
    <t>Cash expenses (real terms):</t>
  </si>
  <si>
    <t>Depreciation:</t>
  </si>
  <si>
    <t>Nominal rate:</t>
  </si>
  <si>
    <t>Real rate:</t>
  </si>
  <si>
    <t xml:space="preserve">With these projections, we can generate the following nominal cash flows and NPV: </t>
  </si>
  <si>
    <t>Capital expenditures</t>
  </si>
  <si>
    <t>Expenses</t>
  </si>
  <si>
    <t>Taxable income</t>
  </si>
  <si>
    <t>Income after taxes</t>
  </si>
  <si>
    <t>We can also use real cash flows, which will be:</t>
  </si>
  <si>
    <t>Chapter 6 - Section 5</t>
  </si>
  <si>
    <t>Investments of Unequal Lives: The Equivalent Annual Cost Method</t>
  </si>
  <si>
    <t>Setting a Bid Price: A Capital Budgeting Extension</t>
  </si>
  <si>
    <t>Suppose the company you work for is entering a competitive bidding process for a new project. How do you determine the minimum bid price you would be willing to put in for the project? We know that you would not want to lose money on the project from a financial perspective. From our capital budgeting discussion, we know that if the project has a zero NPV, we make exactly the required return on the project. So, the minimum bid price we should submit is the price that results in a zero NPV. Since we know all of the cash flows of the project such as the initial investment, salvage value, net working capital, etc., we can set up the cash flows we know and back into the price the results in a zero NPV. While doing this by hand is possible, it can often result in tedious calculations. Fortunately, Excel has a built-in function that will make the process much easier.</t>
  </si>
  <si>
    <t>We are bidding on the following project. The contract will last for four years, and the equipment will be depreciated on a three-year MACRS schedule. What is the minimum bid price we could submit?</t>
  </si>
  <si>
    <t>Worksheet: [CF Chapter 06 Excel Master.xlsx]Section 6.5</t>
  </si>
  <si>
    <t>$C$92</t>
  </si>
  <si>
    <t>$D$48</t>
  </si>
  <si>
    <t>Price per unit Precipitation
system</t>
  </si>
  <si>
    <t>Chapter 6</t>
  </si>
  <si>
    <t>For this Master It! assignment, refer to the Goodweek Tires, Inc. case at the end of Chapter 6. For your convenience, we have entered the relevant values in the case such as the price, variable cost, etc. on the next page. For this project, answer the following questions:</t>
  </si>
  <si>
    <t>At what level of variable costs per unit would Goodweek Tires be indifferent to accepting the project?</t>
  </si>
  <si>
    <t>Research and development</t>
  </si>
  <si>
    <t>Test marketing cost</t>
  </si>
  <si>
    <t>Initial equipment cost</t>
  </si>
  <si>
    <t>Equipment salvage value</t>
  </si>
  <si>
    <t>Year 1 depreciation</t>
  </si>
  <si>
    <t>Year 2 depreciation</t>
  </si>
  <si>
    <t>Year 3 depreciation</t>
  </si>
  <si>
    <t>Year 4 depreciation</t>
  </si>
  <si>
    <t>OEM market:</t>
  </si>
  <si>
    <t>Automobile production</t>
  </si>
  <si>
    <t>Growth rate</t>
  </si>
  <si>
    <t>Market share</t>
  </si>
  <si>
    <t>Replacement market:</t>
  </si>
  <si>
    <t>Market sales</t>
  </si>
  <si>
    <t>Price increase above inflation</t>
  </si>
  <si>
    <t>VC increase above inflation</t>
  </si>
  <si>
    <t>Marketing and general costs</t>
  </si>
  <si>
    <t xml:space="preserve">Tax rate </t>
  </si>
  <si>
    <t>NWC percentage of sales</t>
  </si>
  <si>
    <t>Nominal price increase</t>
  </si>
  <si>
    <t>Nominal VC increase</t>
  </si>
  <si>
    <t>OEM:</t>
  </si>
  <si>
    <t xml:space="preserve">Automobiles sold </t>
  </si>
  <si>
    <t>Tires for automobiles sold</t>
  </si>
  <si>
    <t>SuperTread tires sold</t>
  </si>
  <si>
    <t>Total tires sold in market</t>
  </si>
  <si>
    <t>Revenue:</t>
  </si>
  <si>
    <t>OEM market</t>
  </si>
  <si>
    <t>Replacement market</t>
  </si>
  <si>
    <t>Total</t>
  </si>
  <si>
    <t>Variable costs:</t>
  </si>
  <si>
    <t>Revenue</t>
  </si>
  <si>
    <t>New working capital:</t>
  </si>
  <si>
    <t xml:space="preserve">Beginning </t>
  </si>
  <si>
    <t>Ending</t>
  </si>
  <si>
    <t>Book value of equipment</t>
  </si>
  <si>
    <t>Market value</t>
  </si>
  <si>
    <t>Total cash flows</t>
  </si>
  <si>
    <t>Worksheet: [CF Chapter 06 Excel Master.xlsx]Solution</t>
  </si>
  <si>
    <t>$C$89</t>
  </si>
  <si>
    <t>NPV Year 0</t>
  </si>
  <si>
    <t>$C$14</t>
  </si>
  <si>
    <t>When dealing with any cash flows, it is irrelevant whether you use real cash flows with the real interest rate or nominal cash flows with the nominal interest rate, the present value will always be the same.</t>
  </si>
  <si>
    <t>There are actually six MACRS schedules: three-, five-, seven-, 10-, 15-, and 20-year schedules. The MACRS schedule is calculated using the depreciation according to the double declining balance method, and switching to straight-line depreciation when it is more advantageous. The three-, five-, seven-, and 10-year schedules use a factor of 2 (200%) when calculating the double declining balance depreciation amount, while the 15- and 20-year schedules use a factor of 1.5 (150%). Excel has a function, VDB, which can be used to construct a MACRS table. Below, we have constructed a MACRS table with all six schedules.</t>
  </si>
  <si>
    <t>Finally, note that the MACRS schedule we calculated can vary slightly from the table presented in the textbook. The reason is that the IRS publishes a MACRS schedule, which is the schedule we used in the textbook. However, you are allowed to calculate the schedule on your own based on the rules outlined by the IRS. If you do so, you will get the table above, not the table in the textbook (or the table published by the IRS!). In the future, we will use the table in the textbook for our calculations.</t>
  </si>
  <si>
    <t>Altshuler, Inc. has generated the following forecast for a capital budgeting project. David Altshuler prefers to work in nominal terms, while Stuart Weiss prefers real cash flows. Whose approach is correct?</t>
  </si>
  <si>
    <t>To find the equivalent annual cost (EAC), we find the net present value of the project, then find the annuity that represents the annual cost based on the life of the project. Suppose we have two different options for a pollution control system, a filtration system or a precipitation system. The relevant numbers for each alternative are:</t>
  </si>
  <si>
    <t>At what OEM price would Goodweek Tires be indifferent to accepting the project? Assume the replacement market price is constant.</t>
  </si>
  <si>
    <t>Nominal Cash Flows</t>
  </si>
  <si>
    <t>Real Cash Flows</t>
  </si>
  <si>
    <t>Microsoft Excel 14.0 Answer Report</t>
  </si>
  <si>
    <t>Result: Solver found a solution.  All Constraints and optimality conditions are satisfied.</t>
  </si>
  <si>
    <t>Solver Engine</t>
  </si>
  <si>
    <t>Engine: GRG Nonlinear</t>
  </si>
  <si>
    <t>Solution Time: 6.895 Seconds.</t>
  </si>
  <si>
    <t>Iterations: 1 Subproblems: 0</t>
  </si>
  <si>
    <t>Solver Options</t>
  </si>
  <si>
    <t>Max Time 100 sec,  Iterations 100, Precision 0.000001</t>
  </si>
  <si>
    <t xml:space="preserve"> Convergence 0.0001, Population Size 100, Random Seed 0, Derivatives Forward, Require Bounds</t>
  </si>
  <si>
    <t>Max Subproblems Unlimited, Max Integer Sols Unlimited, Integer Tolerance 5%, Solve Without Integer Constraints</t>
  </si>
  <si>
    <t>Objective Cell (Value Of)</t>
  </si>
  <si>
    <t>Variable Cells</t>
  </si>
  <si>
    <t>Integer</t>
  </si>
  <si>
    <t>Cell Value</t>
  </si>
  <si>
    <t>Formula</t>
  </si>
  <si>
    <t>Status</t>
  </si>
  <si>
    <t>Slack</t>
  </si>
  <si>
    <t>Contin</t>
  </si>
  <si>
    <t>$C$92=0</t>
  </si>
  <si>
    <t>Binding</t>
  </si>
  <si>
    <t>Chapter 10 - Master It!</t>
  </si>
  <si>
    <t>Master It! Solution</t>
  </si>
  <si>
    <r>
      <t xml:space="preserve">Ross, Westerfield, Jaffe, and Jordan's </t>
    </r>
    <r>
      <rPr>
        <b/>
        <i/>
        <sz val="12"/>
        <color rgb="FF000000"/>
        <rFont val="Calibri"/>
        <family val="2"/>
        <scheme val="minor"/>
      </rPr>
      <t>Spreadsheet Master</t>
    </r>
  </si>
  <si>
    <r>
      <t xml:space="preserve">Corporate Finance, </t>
    </r>
    <r>
      <rPr>
        <b/>
        <sz val="12"/>
        <color rgb="FF000000"/>
        <rFont val="Calibri"/>
        <family val="2"/>
        <scheme val="minor"/>
      </rPr>
      <t>11th edition</t>
    </r>
  </si>
  <si>
    <t>Version 11.0</t>
  </si>
  <si>
    <t>Report Created: 10/11/2015 3:41:55 PM</t>
  </si>
  <si>
    <t>Report Created: 10/11/2009 2:58:41 PM</t>
  </si>
  <si>
    <t>Report Created: 10/11/2009 2:59:35 PM</t>
  </si>
  <si>
    <t>To install these, click on the File tab</t>
  </si>
  <si>
    <t xml:space="preserve"> </t>
  </si>
  <si>
    <t xml:space="preserve"> Year 0</t>
  </si>
  <si>
    <t xml:space="preserve">Year 1  </t>
  </si>
  <si>
    <t xml:space="preserve">Year 2  </t>
  </si>
  <si>
    <t xml:space="preserve">Year 3  </t>
  </si>
  <si>
    <t xml:space="preserve">Year 4  </t>
  </si>
  <si>
    <t>Income before Tax</t>
  </si>
  <si>
    <t>Net Income</t>
  </si>
  <si>
    <t>Total Cash Flow</t>
  </si>
  <si>
    <t>Net working capital spending</t>
  </si>
  <si>
    <t xml:space="preserve"> Investment</t>
  </si>
  <si>
    <t>Discount Factor</t>
  </si>
  <si>
    <t>Total Cash flow From Project (11+13)</t>
  </si>
  <si>
    <t>Cash Flow From Investment (12)</t>
  </si>
  <si>
    <t>Cash flow from Operations (4-5-8)</t>
  </si>
  <si>
    <t>Land Cost</t>
  </si>
  <si>
    <t>Land Price after Tax</t>
  </si>
  <si>
    <t>Land Price in Four Years</t>
  </si>
  <si>
    <t>Marketing Firm Cost</t>
  </si>
  <si>
    <t>Year 1 Sales</t>
  </si>
  <si>
    <t>Year 3 Sales</t>
  </si>
  <si>
    <t>Year 4 Sales</t>
  </si>
  <si>
    <t>Year 2 Sales</t>
  </si>
  <si>
    <t>Fixed Costs</t>
  </si>
  <si>
    <t>Year 1 VC</t>
  </si>
  <si>
    <t>Year 2 VC</t>
  </si>
  <si>
    <t>Year 3 VC</t>
  </si>
  <si>
    <t>Year 4 VC</t>
  </si>
  <si>
    <t>VC % of Sales</t>
  </si>
  <si>
    <t>Equipment Costs</t>
  </si>
  <si>
    <t>Depreciation Schedule</t>
  </si>
  <si>
    <t>Sales Revenue</t>
  </si>
  <si>
    <t>NWC</t>
  </si>
  <si>
    <t>Tax Rate</t>
  </si>
  <si>
    <t>Required Return</t>
  </si>
  <si>
    <t>Cost Per Unit</t>
  </si>
  <si>
    <t>Resale Value</t>
  </si>
  <si>
    <t>Taxes at 40 percent</t>
  </si>
  <si>
    <t>Operating Cash Flow</t>
  </si>
  <si>
    <t>After Tax</t>
  </si>
  <si>
    <t>Variable Cost</t>
  </si>
  <si>
    <t>Fixed Cost</t>
  </si>
  <si>
    <t>Land</t>
  </si>
  <si>
    <t>NPV of Each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</si>
</sst>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00_);_(&quot;$&quot;* \(#,##0.00\);_(&quot;$&quot;* &quot;-&quot;_);_(@_)"/>
    <numFmt numFmtId="165" formatCode="_(&quot;$&quot;* #,##0_);_(&quot;$&quot;* \(#,##0\);_(&quot;$&quot;* &quot;-&quot;??_);_(@_)"/>
    <numFmt numFmtId="166" formatCode="_(* #,##0_);_(* \(#,##0\);_(* &quot;-&quot;??_);_(@_)"/>
    <numFmt numFmtId="167" formatCode="0.0%"/>
    <numFmt numFmtId="168" formatCode="#,##0.0000_);[Red]\(#,##0.0000\)"/>
  </numFmts>
  <fonts count="42" x14ac:knownFonts="1">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sz val="11"/>
      <color theme="1"/>
      <name val="Calibri"/>
      <family val="2"/>
      <scheme val="minor"/>
    </font>
    <font>
      <sz val="12"/>
      <color rgb="FF0000FF"/>
      <name val="Calibri"/>
      <family val="2"/>
      <scheme val="minor"/>
    </font>
    <font>
      <sz val="12"/>
      <color rgb="FFFF0000"/>
      <name val="Calibri"/>
      <family val="2"/>
      <scheme val="minor"/>
    </font>
    <font>
      <sz val="12"/>
      <name val="Calibri"/>
      <family val="2"/>
      <scheme val="minor"/>
    </font>
    <font>
      <b/>
      <i/>
      <sz val="12"/>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11"/>
      <color theme="1"/>
      <name val="Calibri"/>
      <family val="2"/>
      <scheme val="minor"/>
    </font>
    <font>
      <b/>
      <sz val="16"/>
      <color rgb="FF0000CC"/>
      <name val="Calibri"/>
      <family val="2"/>
      <scheme val="minor"/>
    </font>
    <font>
      <sz val="11"/>
      <color rgb="FF0000CC"/>
      <name val="Calibri"/>
      <family val="2"/>
      <scheme val="minor"/>
    </font>
    <font>
      <sz val="12"/>
      <color rgb="FF0000CC"/>
      <name val="Calibri"/>
      <family val="2"/>
      <scheme val="minor"/>
    </font>
    <font>
      <b/>
      <sz val="16"/>
      <color rgb="FF0000CC"/>
      <name val="Calibri"/>
      <family val="2"/>
    </font>
    <font>
      <sz val="16"/>
      <color rgb="FF0000CC"/>
      <name val="Calibri"/>
      <family val="2"/>
      <scheme val="minor"/>
    </font>
    <font>
      <sz val="11"/>
      <color rgb="FFFF0000"/>
      <name val="Calibri"/>
      <family val="2"/>
      <scheme val="minor"/>
    </font>
    <font>
      <i/>
      <sz val="11"/>
      <color theme="1"/>
      <name val="Calibri"/>
      <family val="2"/>
      <scheme val="minor"/>
    </font>
    <font>
      <sz val="12"/>
      <color indexed="12"/>
      <name val="Calibri"/>
      <family val="2"/>
      <scheme val="minor"/>
    </font>
    <font>
      <sz val="12"/>
      <color indexed="10"/>
      <name val="Calibri"/>
      <family val="2"/>
      <scheme val="minor"/>
    </font>
    <font>
      <b/>
      <sz val="11"/>
      <color indexed="18"/>
      <name val="Calibri"/>
      <family val="2"/>
      <scheme val="minor"/>
    </font>
    <font>
      <b/>
      <sz val="14"/>
      <name val="Arial"/>
      <family val="2"/>
    </font>
    <font>
      <i/>
      <sz val="12"/>
      <name val="Arial"/>
      <family val="2"/>
    </font>
    <font>
      <i/>
      <sz val="12"/>
      <color indexed="8"/>
      <name val="Calibri"/>
      <family val="2"/>
      <scheme val="minor"/>
    </font>
    <font>
      <sz val="12"/>
      <color indexed="48"/>
      <name val="Calibri"/>
      <family val="2"/>
      <scheme val="minor"/>
    </font>
    <font>
      <i/>
      <u/>
      <sz val="12"/>
      <color indexed="8"/>
      <name val="Calibri"/>
      <family val="2"/>
      <scheme val="minor"/>
    </font>
    <font>
      <b/>
      <sz val="11"/>
      <color indexed="18"/>
      <name val="Calibri"/>
      <family val="2"/>
      <scheme val="minor"/>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FFFF"/>
        <bgColor indexed="64"/>
      </patternFill>
    </fill>
    <fill>
      <patternFill patternType="solid">
        <fgColor rgb="FFCCFFCC"/>
        <bgColor indexed="64"/>
      </patternFill>
    </fill>
    <fill>
      <patternFill patternType="solid">
        <fgColor rgb="FF66CCFF"/>
        <bgColor indexed="64"/>
      </patternFill>
    </fill>
    <fill>
      <patternFill patternType="solid">
        <fgColor rgb="FFCCFFFF"/>
        <bgColor indexed="64"/>
      </patternFill>
    </fill>
    <fill>
      <patternFill patternType="solid">
        <fgColor theme="3" tint="0.59999389629810485"/>
        <bgColor indexed="64"/>
      </patternFill>
    </fill>
    <fill>
      <patternFill patternType="solid">
        <fgColor theme="4" tint="0.59999389629810485"/>
        <bgColor indexed="64"/>
      </patternFill>
    </fill>
  </fills>
  <borders count="2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double">
        <color indexed="64"/>
      </bottom>
      <diagonal/>
    </border>
    <border>
      <left/>
      <right/>
      <top style="medium">
        <color indexed="23"/>
      </top>
      <bottom style="medium">
        <color indexed="23"/>
      </bottom>
      <diagonal/>
    </border>
    <border>
      <left/>
      <right/>
      <top style="thin">
        <color indexed="23"/>
      </top>
      <bottom style="medium">
        <color indexed="2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s>
  <cellStyleXfs count="9">
    <xf numFmtId="0" fontId="0" fillId="0" borderId="0"/>
    <xf numFmtId="0" fontId="1" fillId="0" borderId="0"/>
    <xf numFmtId="9" fontId="17"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cellStyleXfs>
  <cellXfs count="209">
    <xf numFmtId="0" fontId="0" fillId="0" borderId="0" xfId="0"/>
    <xf numFmtId="0" fontId="3" fillId="4" borderId="0" xfId="0" applyFont="1" applyFill="1"/>
    <xf numFmtId="0" fontId="5" fillId="4" borderId="0" xfId="0" applyFont="1" applyFill="1"/>
    <xf numFmtId="0" fontId="6" fillId="2" borderId="0" xfId="1" applyFont="1" applyFill="1"/>
    <xf numFmtId="0" fontId="7" fillId="2" borderId="0" xfId="1" applyFont="1" applyFill="1"/>
    <xf numFmtId="0" fontId="9" fillId="2" borderId="0" xfId="1" applyFont="1" applyFill="1" applyBorder="1"/>
    <xf numFmtId="0" fontId="7" fillId="2" borderId="0" xfId="1" applyFont="1" applyFill="1" applyBorder="1"/>
    <xf numFmtId="0" fontId="6" fillId="5" borderId="0" xfId="1" applyFont="1" applyFill="1" applyBorder="1"/>
    <xf numFmtId="0" fontId="15" fillId="5" borderId="0" xfId="1" applyFont="1" applyFill="1" applyBorder="1"/>
    <xf numFmtId="0" fontId="16" fillId="5" borderId="0" xfId="1" applyFont="1" applyFill="1" applyBorder="1"/>
    <xf numFmtId="0" fontId="10" fillId="2" borderId="0" xfId="1" applyFont="1" applyFill="1" applyBorder="1"/>
    <xf numFmtId="0" fontId="11" fillId="2" borderId="0" xfId="1" applyFont="1" applyFill="1" applyBorder="1"/>
    <xf numFmtId="0" fontId="12" fillId="2" borderId="0" xfId="1" applyFont="1" applyFill="1" applyBorder="1"/>
    <xf numFmtId="0" fontId="13" fillId="5" borderId="0" xfId="1" applyFont="1" applyFill="1" applyBorder="1"/>
    <xf numFmtId="0" fontId="14" fillId="5" borderId="0" xfId="1" applyFont="1" applyFill="1" applyBorder="1"/>
    <xf numFmtId="0" fontId="3" fillId="4" borderId="0" xfId="0" applyFont="1" applyFill="1"/>
    <xf numFmtId="0" fontId="2" fillId="3" borderId="0" xfId="0" applyFont="1" applyFill="1"/>
    <xf numFmtId="0" fontId="6" fillId="2" borderId="0" xfId="1" applyFont="1" applyFill="1" applyBorder="1"/>
    <xf numFmtId="0" fontId="3" fillId="4" borderId="0" xfId="0" applyFont="1" applyFill="1"/>
    <xf numFmtId="0" fontId="3" fillId="4" borderId="0" xfId="0" applyFont="1" applyFill="1"/>
    <xf numFmtId="2" fontId="8" fillId="2" borderId="0" xfId="1" applyNumberFormat="1" applyFont="1" applyFill="1" applyBorder="1" applyAlignment="1"/>
    <xf numFmtId="42" fontId="18" fillId="4" borderId="0" xfId="0" applyNumberFormat="1" applyFont="1" applyFill="1"/>
    <xf numFmtId="9" fontId="18" fillId="4" borderId="0" xfId="2" applyFont="1" applyFill="1"/>
    <xf numFmtId="164" fontId="18" fillId="4" borderId="0" xfId="0" applyNumberFormat="1" applyFont="1" applyFill="1"/>
    <xf numFmtId="41" fontId="18" fillId="4" borderId="0" xfId="0" applyNumberFormat="1" applyFont="1" applyFill="1"/>
    <xf numFmtId="42" fontId="19" fillId="4" borderId="0" xfId="0" applyNumberFormat="1" applyFont="1" applyFill="1"/>
    <xf numFmtId="0" fontId="18" fillId="4" borderId="0" xfId="0" applyFont="1" applyFill="1"/>
    <xf numFmtId="10" fontId="18" fillId="4" borderId="0" xfId="2" applyNumberFormat="1" applyFont="1" applyFill="1"/>
    <xf numFmtId="164" fontId="19" fillId="4" borderId="0" xfId="0" applyNumberFormat="1" applyFont="1" applyFill="1"/>
    <xf numFmtId="43" fontId="19" fillId="4" borderId="1" xfId="0" applyNumberFormat="1" applyFont="1" applyFill="1" applyBorder="1"/>
    <xf numFmtId="0" fontId="21" fillId="6" borderId="0" xfId="0" applyFont="1" applyFill="1" applyBorder="1"/>
    <xf numFmtId="0" fontId="3" fillId="6" borderId="0" xfId="0" applyFont="1" applyFill="1" applyBorder="1"/>
    <xf numFmtId="2" fontId="3" fillId="6" borderId="0" xfId="0" applyNumberFormat="1" applyFont="1" applyFill="1" applyBorder="1"/>
    <xf numFmtId="0" fontId="3" fillId="6" borderId="0" xfId="0" applyFont="1" applyFill="1"/>
    <xf numFmtId="0" fontId="20" fillId="4" borderId="0" xfId="0" applyFont="1" applyFill="1" applyBorder="1"/>
    <xf numFmtId="41" fontId="20" fillId="4" borderId="0" xfId="0" applyNumberFormat="1" applyFont="1" applyFill="1" applyBorder="1"/>
    <xf numFmtId="164" fontId="20" fillId="4" borderId="0" xfId="0" applyNumberFormat="1" applyFont="1" applyFill="1" applyBorder="1"/>
    <xf numFmtId="42" fontId="20" fillId="4" borderId="0" xfId="0" applyNumberFormat="1" applyFont="1" applyFill="1" applyBorder="1"/>
    <xf numFmtId="0" fontId="20" fillId="4" borderId="0" xfId="0" applyFont="1" applyFill="1" applyBorder="1" applyAlignment="1">
      <alignment horizontal="center"/>
    </xf>
    <xf numFmtId="164" fontId="18" fillId="4" borderId="0" xfId="0" applyNumberFormat="1" applyFont="1" applyFill="1" applyBorder="1"/>
    <xf numFmtId="9" fontId="18" fillId="4" borderId="0" xfId="2" applyFont="1" applyFill="1" applyBorder="1"/>
    <xf numFmtId="42" fontId="18" fillId="4" borderId="0" xfId="0" applyNumberFormat="1" applyFont="1" applyFill="1" applyBorder="1"/>
    <xf numFmtId="41" fontId="18" fillId="4" borderId="0" xfId="2" applyNumberFormat="1" applyFont="1" applyFill="1" applyBorder="1"/>
    <xf numFmtId="0" fontId="20" fillId="6" borderId="0" xfId="0" applyFont="1" applyFill="1"/>
    <xf numFmtId="44" fontId="19" fillId="4" borderId="0" xfId="0" applyNumberFormat="1" applyFont="1" applyFill="1" applyBorder="1"/>
    <xf numFmtId="44" fontId="19" fillId="6" borderId="0" xfId="0" applyNumberFormat="1" applyFont="1" applyFill="1"/>
    <xf numFmtId="0" fontId="20" fillId="4" borderId="0" xfId="0" applyFont="1" applyFill="1" applyBorder="1" applyAlignment="1"/>
    <xf numFmtId="42" fontId="20" fillId="4" borderId="0" xfId="0" applyNumberFormat="1" applyFont="1" applyFill="1" applyBorder="1" applyAlignment="1">
      <alignment horizontal="center"/>
    </xf>
    <xf numFmtId="0" fontId="23" fillId="4" borderId="0" xfId="0" applyFont="1" applyFill="1" applyAlignment="1">
      <alignment horizontal="center" wrapText="1"/>
    </xf>
    <xf numFmtId="8" fontId="3" fillId="4" borderId="0" xfId="0" applyNumberFormat="1" applyFont="1" applyFill="1"/>
    <xf numFmtId="0" fontId="3" fillId="6" borderId="0" xfId="0" applyFont="1" applyFill="1" applyBorder="1" applyAlignment="1">
      <alignment horizontal="left" wrapText="1"/>
    </xf>
    <xf numFmtId="41" fontId="19" fillId="7" borderId="1" xfId="0" applyNumberFormat="1" applyFont="1" applyFill="1" applyBorder="1"/>
    <xf numFmtId="0" fontId="3" fillId="7" borderId="3" xfId="0" applyFont="1" applyFill="1" applyBorder="1"/>
    <xf numFmtId="0" fontId="3" fillId="7" borderId="4" xfId="0" applyFont="1" applyFill="1" applyBorder="1"/>
    <xf numFmtId="42" fontId="19" fillId="7" borderId="5" xfId="0" applyNumberFormat="1" applyFont="1" applyFill="1" applyBorder="1"/>
    <xf numFmtId="0" fontId="3" fillId="7" borderId="6" xfId="0" applyFont="1" applyFill="1" applyBorder="1"/>
    <xf numFmtId="0" fontId="3" fillId="7" borderId="0" xfId="0" applyFont="1" applyFill="1" applyBorder="1"/>
    <xf numFmtId="41" fontId="19" fillId="7" borderId="7" xfId="0" applyNumberFormat="1" applyFont="1" applyFill="1" applyBorder="1"/>
    <xf numFmtId="41" fontId="19" fillId="7" borderId="8" xfId="0" applyNumberFormat="1" applyFont="1" applyFill="1" applyBorder="1"/>
    <xf numFmtId="42" fontId="19" fillId="7" borderId="7" xfId="0" applyNumberFormat="1" applyFont="1" applyFill="1" applyBorder="1"/>
    <xf numFmtId="0" fontId="3" fillId="7" borderId="9" xfId="0" applyFont="1" applyFill="1" applyBorder="1"/>
    <xf numFmtId="0" fontId="3" fillId="7" borderId="1" xfId="0" applyFont="1" applyFill="1" applyBorder="1"/>
    <xf numFmtId="42" fontId="19" fillId="7" borderId="8" xfId="0" applyNumberFormat="1" applyFont="1" applyFill="1" applyBorder="1"/>
    <xf numFmtId="42" fontId="19" fillId="7" borderId="2" xfId="0" applyNumberFormat="1" applyFont="1" applyFill="1" applyBorder="1"/>
    <xf numFmtId="0" fontId="3" fillId="7" borderId="0" xfId="0" applyFont="1" applyFill="1" applyBorder="1" applyAlignment="1">
      <alignment horizontal="center"/>
    </xf>
    <xf numFmtId="0" fontId="3" fillId="7" borderId="7" xfId="0" applyFont="1" applyFill="1" applyBorder="1" applyAlignment="1">
      <alignment horizontal="center"/>
    </xf>
    <xf numFmtId="41" fontId="19" fillId="7" borderId="0" xfId="0" applyNumberFormat="1" applyFont="1" applyFill="1" applyBorder="1"/>
    <xf numFmtId="42" fontId="19" fillId="7" borderId="10" xfId="0" applyNumberFormat="1" applyFont="1" applyFill="1" applyBorder="1"/>
    <xf numFmtId="0" fontId="3" fillId="7" borderId="8" xfId="0" applyFont="1" applyFill="1" applyBorder="1"/>
    <xf numFmtId="0" fontId="3" fillId="7" borderId="6" xfId="0" quotePrefix="1" applyFont="1" applyFill="1" applyBorder="1"/>
    <xf numFmtId="42" fontId="19" fillId="7" borderId="0" xfId="0" applyNumberFormat="1" applyFont="1" applyFill="1" applyBorder="1"/>
    <xf numFmtId="0" fontId="19" fillId="7" borderId="0" xfId="0" applyFont="1" applyFill="1" applyBorder="1"/>
    <xf numFmtId="42" fontId="19" fillId="7" borderId="1" xfId="0" applyNumberFormat="1" applyFont="1" applyFill="1" applyBorder="1"/>
    <xf numFmtId="42" fontId="19" fillId="6" borderId="0" xfId="0" applyNumberFormat="1" applyFont="1" applyFill="1"/>
    <xf numFmtId="43" fontId="19" fillId="7" borderId="7" xfId="0" applyNumberFormat="1" applyFont="1" applyFill="1" applyBorder="1"/>
    <xf numFmtId="43" fontId="19" fillId="7" borderId="0" xfId="0" applyNumberFormat="1" applyFont="1" applyFill="1" applyBorder="1"/>
    <xf numFmtId="1" fontId="20" fillId="7" borderId="0" xfId="0" applyNumberFormat="1" applyFont="1" applyFill="1" applyBorder="1" applyAlignment="1">
      <alignment horizontal="center"/>
    </xf>
    <xf numFmtId="0" fontId="20" fillId="7" borderId="3" xfId="0" applyFont="1" applyFill="1" applyBorder="1"/>
    <xf numFmtId="1" fontId="20" fillId="7" borderId="7" xfId="0" applyNumberFormat="1" applyFont="1" applyFill="1" applyBorder="1" applyAlignment="1">
      <alignment horizontal="center"/>
    </xf>
    <xf numFmtId="165" fontId="19" fillId="7" borderId="0" xfId="0" applyNumberFormat="1" applyFont="1" applyFill="1" applyBorder="1"/>
    <xf numFmtId="165" fontId="19" fillId="7" borderId="7" xfId="0" applyNumberFormat="1" applyFont="1" applyFill="1" applyBorder="1"/>
    <xf numFmtId="0" fontId="23" fillId="7" borderId="0" xfId="0" applyFont="1" applyFill="1" applyBorder="1" applyAlignment="1">
      <alignment horizontal="center" wrapText="1"/>
    </xf>
    <xf numFmtId="0" fontId="23" fillId="7" borderId="7" xfId="0" applyFont="1" applyFill="1" applyBorder="1" applyAlignment="1">
      <alignment horizontal="center" wrapText="1"/>
    </xf>
    <xf numFmtId="0" fontId="25" fillId="0" borderId="0" xfId="0" applyFont="1"/>
    <xf numFmtId="0" fontId="0" fillId="0" borderId="12" xfId="0" applyFill="1" applyBorder="1" applyAlignment="1"/>
    <xf numFmtId="44" fontId="0" fillId="0" borderId="12" xfId="0" applyNumberFormat="1" applyFill="1" applyBorder="1" applyAlignment="1"/>
    <xf numFmtId="164" fontId="0" fillId="0" borderId="12" xfId="0" applyNumberFormat="1" applyFill="1" applyBorder="1" applyAlignment="1"/>
    <xf numFmtId="0" fontId="26" fillId="8" borderId="13" xfId="0" applyFont="1" applyFill="1" applyBorder="1"/>
    <xf numFmtId="0" fontId="27" fillId="8" borderId="14" xfId="0" applyFont="1" applyFill="1" applyBorder="1"/>
    <xf numFmtId="0" fontId="28" fillId="8" borderId="14" xfId="0" applyFont="1" applyFill="1" applyBorder="1"/>
    <xf numFmtId="0" fontId="28" fillId="8" borderId="15" xfId="0" applyFont="1" applyFill="1" applyBorder="1"/>
    <xf numFmtId="0" fontId="29" fillId="8" borderId="16" xfId="0" applyFont="1" applyFill="1" applyBorder="1"/>
    <xf numFmtId="0" fontId="30" fillId="8" borderId="17" xfId="0" applyFont="1" applyFill="1" applyBorder="1"/>
    <xf numFmtId="0" fontId="30" fillId="8" borderId="18" xfId="0" applyFont="1" applyFill="1" applyBorder="1"/>
    <xf numFmtId="0" fontId="26" fillId="8" borderId="19" xfId="0" applyFont="1" applyFill="1" applyBorder="1"/>
    <xf numFmtId="0" fontId="28" fillId="8" borderId="20" xfId="0" applyFont="1" applyFill="1" applyBorder="1"/>
    <xf numFmtId="0" fontId="29" fillId="8" borderId="19" xfId="0" applyFont="1" applyFill="1" applyBorder="1"/>
    <xf numFmtId="0" fontId="27" fillId="8" borderId="21" xfId="0" applyFont="1" applyFill="1" applyBorder="1"/>
    <xf numFmtId="0" fontId="32" fillId="7" borderId="6" xfId="0" applyFont="1" applyFill="1" applyBorder="1" applyAlignment="1">
      <alignment horizontal="center"/>
    </xf>
    <xf numFmtId="0" fontId="0" fillId="7" borderId="0" xfId="0" applyFill="1" applyBorder="1"/>
    <xf numFmtId="0" fontId="0" fillId="7" borderId="7" xfId="0" applyFill="1" applyBorder="1"/>
    <xf numFmtId="0" fontId="0" fillId="7" borderId="6" xfId="0" applyFill="1" applyBorder="1" applyAlignment="1">
      <alignment horizontal="center"/>
    </xf>
    <xf numFmtId="10" fontId="31" fillId="7" borderId="0" xfId="2" applyNumberFormat="1" applyFont="1" applyFill="1" applyBorder="1"/>
    <xf numFmtId="10" fontId="31" fillId="7" borderId="7" xfId="2" applyNumberFormat="1" applyFont="1" applyFill="1" applyBorder="1"/>
    <xf numFmtId="10" fontId="31" fillId="7" borderId="0" xfId="0" applyNumberFormat="1" applyFont="1" applyFill="1" applyBorder="1"/>
    <xf numFmtId="0" fontId="0" fillId="7" borderId="9" xfId="0" applyFill="1" applyBorder="1" applyAlignment="1">
      <alignment horizontal="center"/>
    </xf>
    <xf numFmtId="10" fontId="31" fillId="7" borderId="1" xfId="0" applyNumberFormat="1" applyFont="1" applyFill="1" applyBorder="1"/>
    <xf numFmtId="10" fontId="31" fillId="7" borderId="1" xfId="2" applyNumberFormat="1" applyFont="1" applyFill="1" applyBorder="1"/>
    <xf numFmtId="10" fontId="31" fillId="7" borderId="8" xfId="2" applyNumberFormat="1" applyFont="1" applyFill="1" applyBorder="1"/>
    <xf numFmtId="0" fontId="28" fillId="4" borderId="22" xfId="0" applyFont="1" applyFill="1" applyBorder="1"/>
    <xf numFmtId="0" fontId="3" fillId="4" borderId="0" xfId="0" applyFont="1" applyFill="1" applyAlignment="1">
      <alignment wrapText="1"/>
    </xf>
    <xf numFmtId="0" fontId="23" fillId="4" borderId="0" xfId="0" applyFont="1" applyFill="1" applyAlignment="1">
      <alignment vertical="center"/>
    </xf>
    <xf numFmtId="166" fontId="19" fillId="7" borderId="7" xfId="0" applyNumberFormat="1" applyFont="1" applyFill="1" applyBorder="1"/>
    <xf numFmtId="0" fontId="23" fillId="7" borderId="4" xfId="0" applyFont="1" applyFill="1" applyBorder="1" applyAlignment="1">
      <alignment horizontal="center"/>
    </xf>
    <xf numFmtId="0" fontId="23" fillId="7" borderId="5" xfId="0" applyFont="1" applyFill="1" applyBorder="1" applyAlignment="1">
      <alignment horizontal="center"/>
    </xf>
    <xf numFmtId="0" fontId="23" fillId="4" borderId="0" xfId="0" applyFont="1" applyFill="1" applyAlignment="1">
      <alignment horizontal="center"/>
    </xf>
    <xf numFmtId="167" fontId="18" fillId="4" borderId="0" xfId="2" applyNumberFormat="1" applyFont="1" applyFill="1"/>
    <xf numFmtId="41" fontId="19" fillId="4" borderId="0" xfId="0" applyNumberFormat="1" applyFont="1" applyFill="1"/>
    <xf numFmtId="166" fontId="19" fillId="7" borderId="0" xfId="0" applyNumberFormat="1" applyFont="1" applyFill="1" applyBorder="1"/>
    <xf numFmtId="166" fontId="19" fillId="7" borderId="1" xfId="0" applyNumberFormat="1" applyFont="1" applyFill="1" applyBorder="1"/>
    <xf numFmtId="166" fontId="19" fillId="7" borderId="8" xfId="0" applyNumberFormat="1" applyFont="1" applyFill="1" applyBorder="1"/>
    <xf numFmtId="0" fontId="3" fillId="7" borderId="5" xfId="0" applyFont="1" applyFill="1" applyBorder="1"/>
    <xf numFmtId="42" fontId="19" fillId="7" borderId="4" xfId="0" applyNumberFormat="1" applyFont="1" applyFill="1" applyBorder="1"/>
    <xf numFmtId="167" fontId="19" fillId="4" borderId="0" xfId="2" applyNumberFormat="1" applyFont="1" applyFill="1"/>
    <xf numFmtId="0" fontId="3" fillId="7" borderId="7" xfId="0" applyFont="1" applyFill="1" applyBorder="1"/>
    <xf numFmtId="9" fontId="28" fillId="7" borderId="6" xfId="2" applyFont="1" applyFill="1" applyBorder="1"/>
    <xf numFmtId="10" fontId="19" fillId="7" borderId="6" xfId="2" applyNumberFormat="1" applyFont="1" applyFill="1" applyBorder="1"/>
    <xf numFmtId="9" fontId="28" fillId="7" borderId="9" xfId="2" applyFont="1" applyFill="1" applyBorder="1"/>
    <xf numFmtId="165" fontId="19" fillId="7" borderId="1" xfId="0" applyNumberFormat="1" applyFont="1" applyFill="1" applyBorder="1"/>
    <xf numFmtId="8" fontId="3" fillId="6" borderId="0" xfId="2" applyNumberFormat="1" applyFont="1" applyFill="1"/>
    <xf numFmtId="42" fontId="28" fillId="4" borderId="0" xfId="0" applyNumberFormat="1" applyFont="1" applyFill="1"/>
    <xf numFmtId="0" fontId="28" fillId="4" borderId="0" xfId="0" applyFont="1" applyFill="1"/>
    <xf numFmtId="41" fontId="28" fillId="4" borderId="0" xfId="0" applyNumberFormat="1" applyFont="1" applyFill="1"/>
    <xf numFmtId="167" fontId="28" fillId="4" borderId="0" xfId="2" applyNumberFormat="1" applyFont="1" applyFill="1"/>
    <xf numFmtId="8" fontId="19" fillId="7" borderId="1" xfId="0" applyNumberFormat="1" applyFont="1" applyFill="1" applyBorder="1"/>
    <xf numFmtId="0" fontId="23" fillId="7" borderId="0" xfId="0" applyFont="1" applyFill="1" applyBorder="1" applyAlignment="1">
      <alignment horizontal="center"/>
    </xf>
    <xf numFmtId="0" fontId="23" fillId="7" borderId="7" xfId="0" applyFont="1" applyFill="1" applyBorder="1" applyAlignment="1">
      <alignment horizontal="center"/>
    </xf>
    <xf numFmtId="0" fontId="22" fillId="4" borderId="0" xfId="0" applyFont="1" applyFill="1" applyBorder="1" applyAlignment="1">
      <alignment horizontal="left"/>
    </xf>
    <xf numFmtId="0" fontId="35" fillId="0" borderId="11" xfId="0" applyFont="1" applyFill="1" applyBorder="1" applyAlignment="1">
      <alignment horizontal="center"/>
    </xf>
    <xf numFmtId="0" fontId="0" fillId="0" borderId="12" xfId="0" applyFill="1" applyBorder="1" applyAlignment="1">
      <alignment wrapText="1"/>
    </xf>
    <xf numFmtId="0" fontId="1" fillId="4" borderId="0" xfId="1" applyFill="1"/>
    <xf numFmtId="0" fontId="37" fillId="4" borderId="0" xfId="1" applyFont="1" applyFill="1"/>
    <xf numFmtId="0" fontId="20" fillId="4" borderId="0" xfId="1" applyFont="1" applyFill="1" applyBorder="1"/>
    <xf numFmtId="0" fontId="10" fillId="4" borderId="0" xfId="1" applyFont="1" applyFill="1" applyBorder="1"/>
    <xf numFmtId="0" fontId="38" fillId="4" borderId="0" xfId="1" applyFont="1" applyFill="1" applyBorder="1"/>
    <xf numFmtId="41" fontId="33" fillId="4" borderId="0" xfId="1" applyNumberFormat="1" applyFont="1" applyFill="1" applyBorder="1"/>
    <xf numFmtId="44" fontId="34" fillId="4" borderId="0" xfId="1" applyNumberFormat="1" applyFont="1" applyFill="1" applyBorder="1"/>
    <xf numFmtId="0" fontId="40" fillId="4" borderId="0" xfId="1" applyFont="1" applyFill="1" applyBorder="1" applyAlignment="1">
      <alignment horizontal="center"/>
    </xf>
    <xf numFmtId="0" fontId="24" fillId="4" borderId="0" xfId="1" applyFont="1" applyFill="1" applyBorder="1" applyAlignment="1">
      <alignment horizontal="left"/>
    </xf>
    <xf numFmtId="0" fontId="20" fillId="4" borderId="0" xfId="1" applyFont="1" applyFill="1" applyBorder="1" applyAlignment="1">
      <alignment horizontal="left"/>
    </xf>
    <xf numFmtId="0" fontId="20" fillId="4" borderId="0" xfId="1" applyFont="1" applyFill="1"/>
    <xf numFmtId="0" fontId="39" fillId="4" borderId="0" xfId="1" applyFont="1" applyFill="1" applyBorder="1"/>
    <xf numFmtId="41" fontId="39" fillId="4" borderId="0" xfId="1" applyNumberFormat="1" applyFont="1" applyFill="1" applyBorder="1"/>
    <xf numFmtId="41" fontId="20" fillId="4" borderId="0" xfId="1" applyNumberFormat="1" applyFont="1" applyFill="1" applyBorder="1"/>
    <xf numFmtId="42" fontId="20" fillId="4" borderId="0" xfId="1" applyNumberFormat="1" applyFont="1" applyFill="1"/>
    <xf numFmtId="0" fontId="10" fillId="4" borderId="0" xfId="1" applyFont="1" applyFill="1"/>
    <xf numFmtId="1" fontId="39" fillId="4" borderId="0" xfId="1" applyNumberFormat="1" applyFont="1" applyFill="1" applyBorder="1"/>
    <xf numFmtId="0" fontId="20" fillId="7" borderId="3" xfId="1" applyFont="1" applyFill="1" applyBorder="1"/>
    <xf numFmtId="42" fontId="33" fillId="7" borderId="5" xfId="1" applyNumberFormat="1" applyFont="1" applyFill="1" applyBorder="1"/>
    <xf numFmtId="0" fontId="20" fillId="7" borderId="6" xfId="1" applyFont="1" applyFill="1" applyBorder="1"/>
    <xf numFmtId="42" fontId="33" fillId="7" borderId="7" xfId="1" applyNumberFormat="1" applyFont="1" applyFill="1" applyBorder="1"/>
    <xf numFmtId="0" fontId="10" fillId="7" borderId="6" xfId="1" applyFont="1" applyFill="1" applyBorder="1"/>
    <xf numFmtId="10" fontId="33" fillId="7" borderId="7" xfId="6" applyNumberFormat="1" applyFont="1" applyFill="1" applyBorder="1"/>
    <xf numFmtId="9" fontId="33" fillId="7" borderId="7" xfId="6" applyFont="1" applyFill="1" applyBorder="1"/>
    <xf numFmtId="0" fontId="38" fillId="7" borderId="6" xfId="1" applyFont="1" applyFill="1" applyBorder="1"/>
    <xf numFmtId="41" fontId="33" fillId="7" borderId="7" xfId="6" applyNumberFormat="1" applyFont="1" applyFill="1" applyBorder="1"/>
    <xf numFmtId="42" fontId="33" fillId="7" borderId="7" xfId="6" applyNumberFormat="1" applyFont="1" applyFill="1" applyBorder="1"/>
    <xf numFmtId="42" fontId="19" fillId="7" borderId="7" xfId="6" applyNumberFormat="1" applyFont="1" applyFill="1" applyBorder="1"/>
    <xf numFmtId="0" fontId="10" fillId="7" borderId="9" xfId="1" applyFont="1" applyFill="1" applyBorder="1"/>
    <xf numFmtId="9" fontId="33" fillId="7" borderId="8" xfId="6" applyFont="1" applyFill="1" applyBorder="1"/>
    <xf numFmtId="10" fontId="34" fillId="9" borderId="0" xfId="1" applyNumberFormat="1" applyFont="1" applyFill="1" applyBorder="1"/>
    <xf numFmtId="0" fontId="34" fillId="9" borderId="0" xfId="1" applyFont="1" applyFill="1" applyBorder="1"/>
    <xf numFmtId="164" fontId="34" fillId="9" borderId="0" xfId="1" applyNumberFormat="1" applyFont="1" applyFill="1" applyBorder="1"/>
    <xf numFmtId="166" fontId="34" fillId="9" borderId="0" xfId="1" applyNumberFormat="1" applyFont="1" applyFill="1" applyBorder="1"/>
    <xf numFmtId="44" fontId="34" fillId="9" borderId="0" xfId="1" applyNumberFormat="1" applyFont="1" applyFill="1" applyBorder="1"/>
    <xf numFmtId="43" fontId="34" fillId="9" borderId="0" xfId="1" applyNumberFormat="1" applyFont="1" applyFill="1" applyBorder="1"/>
    <xf numFmtId="41" fontId="34" fillId="9" borderId="0" xfId="1" applyNumberFormat="1" applyFont="1" applyFill="1" applyBorder="1"/>
    <xf numFmtId="42" fontId="34" fillId="9" borderId="0" xfId="1" applyNumberFormat="1" applyFont="1" applyFill="1" applyBorder="1"/>
    <xf numFmtId="41" fontId="34" fillId="9" borderId="1" xfId="1" applyNumberFormat="1" applyFont="1" applyFill="1" applyBorder="1"/>
    <xf numFmtId="0" fontId="40" fillId="9" borderId="0" xfId="1" applyFont="1" applyFill="1" applyBorder="1" applyAlignment="1">
      <alignment horizontal="center"/>
    </xf>
    <xf numFmtId="0" fontId="34" fillId="9" borderId="0" xfId="1" applyNumberFormat="1" applyFont="1" applyFill="1" applyBorder="1"/>
    <xf numFmtId="44" fontId="19" fillId="9" borderId="0" xfId="1" applyNumberFormat="1" applyFont="1" applyFill="1" applyBorder="1"/>
    <xf numFmtId="10" fontId="19" fillId="9" borderId="0" xfId="1" applyNumberFormat="1" applyFont="1" applyFill="1" applyBorder="1"/>
    <xf numFmtId="168" fontId="19" fillId="9" borderId="0" xfId="1" applyNumberFormat="1" applyFont="1" applyFill="1" applyBorder="1"/>
    <xf numFmtId="0" fontId="41" fillId="0" borderId="11" xfId="0" applyFont="1" applyFill="1" applyBorder="1" applyAlignment="1">
      <alignment horizontal="center"/>
    </xf>
    <xf numFmtId="3" fontId="0" fillId="0" borderId="0" xfId="0" applyNumberFormat="1"/>
    <xf numFmtId="0" fontId="0" fillId="5" borderId="0" xfId="0" applyFill="1"/>
    <xf numFmtId="2" fontId="0" fillId="0" borderId="0" xfId="0" applyNumberFormat="1"/>
    <xf numFmtId="2" fontId="0" fillId="5" borderId="0" xfId="8" applyNumberFormat="1" applyFont="1" applyFill="1"/>
    <xf numFmtId="2" fontId="0" fillId="5" borderId="0" xfId="0" applyNumberFormat="1" applyFill="1"/>
    <xf numFmtId="0" fontId="0" fillId="10" borderId="0" xfId="0" applyFill="1"/>
    <xf numFmtId="0" fontId="0" fillId="11" borderId="0" xfId="0" applyFill="1"/>
    <xf numFmtId="43" fontId="0" fillId="11" borderId="0" xfId="7" applyFont="1" applyFill="1"/>
    <xf numFmtId="43" fontId="0" fillId="11" borderId="0" xfId="0" applyNumberFormat="1" applyFill="1"/>
    <xf numFmtId="2" fontId="0" fillId="0" borderId="0" xfId="0" applyNumberFormat="1" applyFill="1"/>
    <xf numFmtId="0" fontId="3" fillId="6" borderId="0" xfId="0" applyFont="1" applyFill="1" applyBorder="1" applyAlignment="1">
      <alignment horizontal="left" wrapText="1"/>
    </xf>
    <xf numFmtId="0" fontId="3" fillId="6" borderId="0" xfId="0" applyFont="1" applyFill="1" applyAlignment="1">
      <alignment horizontal="left" wrapText="1"/>
    </xf>
    <xf numFmtId="0" fontId="4" fillId="4" borderId="0" xfId="0" applyFont="1" applyFill="1" applyAlignment="1">
      <alignment horizontal="left" wrapText="1"/>
    </xf>
    <xf numFmtId="0" fontId="3" fillId="4" borderId="0" xfId="0" applyFont="1" applyFill="1" applyAlignment="1">
      <alignment horizontal="left" wrapText="1"/>
    </xf>
    <xf numFmtId="0" fontId="23" fillId="7" borderId="4" xfId="0" applyFont="1" applyFill="1" applyBorder="1" applyAlignment="1">
      <alignment horizontal="center"/>
    </xf>
    <xf numFmtId="0" fontId="23" fillId="7" borderId="5" xfId="0" applyFont="1" applyFill="1" applyBorder="1" applyAlignment="1">
      <alignment horizontal="center"/>
    </xf>
    <xf numFmtId="0" fontId="23" fillId="7" borderId="3" xfId="0" applyFont="1" applyFill="1" applyBorder="1" applyAlignment="1">
      <alignment horizontal="center"/>
    </xf>
    <xf numFmtId="0" fontId="20" fillId="6" borderId="0" xfId="0" applyFont="1" applyFill="1" applyAlignment="1">
      <alignment horizontal="left" wrapText="1"/>
    </xf>
    <xf numFmtId="0" fontId="20" fillId="4" borderId="0" xfId="0" applyFont="1" applyFill="1" applyBorder="1" applyAlignment="1">
      <alignment horizontal="left" wrapText="1"/>
    </xf>
    <xf numFmtId="0" fontId="24" fillId="7" borderId="4" xfId="0" applyFont="1" applyFill="1" applyBorder="1" applyAlignment="1">
      <alignment horizontal="center"/>
    </xf>
    <xf numFmtId="0" fontId="24" fillId="7" borderId="5" xfId="0" applyFont="1" applyFill="1" applyBorder="1" applyAlignment="1">
      <alignment horizontal="center"/>
    </xf>
    <xf numFmtId="0" fontId="22" fillId="6" borderId="0" xfId="0" applyFont="1" applyFill="1" applyAlignment="1">
      <alignment horizontal="left" wrapText="1"/>
    </xf>
    <xf numFmtId="0" fontId="22" fillId="4" borderId="0" xfId="0" applyFont="1" applyFill="1" applyBorder="1" applyAlignment="1">
      <alignment horizontal="left"/>
    </xf>
    <xf numFmtId="0" fontId="36" fillId="4" borderId="0" xfId="1" applyFont="1" applyFill="1" applyAlignment="1">
      <alignment horizontal="left"/>
    </xf>
  </cellXfs>
  <cellStyles count="9">
    <cellStyle name="Comma" xfId="7" builtinId="3"/>
    <cellStyle name="Comma 2" xfId="3"/>
    <cellStyle name="Currency" xfId="8" builtinId="4"/>
    <cellStyle name="Currency 2" xfId="4"/>
    <cellStyle name="Normal" xfId="0" builtinId="0"/>
    <cellStyle name="Normal 2" xfId="1"/>
    <cellStyle name="Normal 3" xfId="5"/>
    <cellStyle name="Percent" xfId="2" builtinId="5"/>
    <cellStyle name="Percent 2" xfId="6"/>
  </cellStyles>
  <dxfs count="0"/>
  <tableStyles count="0" defaultTableStyle="TableStyleMedium9" defaultPivotStyle="PivotStyleLight16"/>
  <colors>
    <mruColors>
      <color rgb="FFCCFFFF"/>
      <color rgb="FF66FFFF"/>
      <color rgb="FFCCFFCC"/>
      <color rgb="FFFFFF99"/>
      <color rgb="FFF79646"/>
      <color rgb="FF0000CC"/>
      <color rgb="FF66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Section 6.3'!A21"/><Relationship Id="rId2" Type="http://schemas.openxmlformats.org/officeDocument/2006/relationships/hyperlink" Target="#'Section 6.2'!A107"/><Relationship Id="rId1" Type="http://schemas.openxmlformats.org/officeDocument/2006/relationships/hyperlink" Target="#'Section 6.5'!A96"/><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0</xdr:colOff>
      <xdr:row>13</xdr:row>
      <xdr:rowOff>0</xdr:rowOff>
    </xdr:from>
    <xdr:ext cx="2743200" cy="311496"/>
    <xdr:sp macro="" textlink="">
      <xdr:nvSpPr>
        <xdr:cNvPr id="6" name="TextBox 5">
          <a:hlinkClick xmlns:r="http://schemas.openxmlformats.org/officeDocument/2006/relationships" r:id="rId1"/>
        </xdr:cNvPr>
        <xdr:cNvSpPr txBox="1"/>
      </xdr:nvSpPr>
      <xdr:spPr>
        <a:xfrm>
          <a:off x="1828800" y="3600450"/>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Solver</a:t>
          </a:r>
        </a:p>
      </xdr:txBody>
    </xdr:sp>
    <xdr:clientData/>
  </xdr:oneCellAnchor>
  <xdr:oneCellAnchor>
    <xdr:from>
      <xdr:col>3</xdr:col>
      <xdr:colOff>0</xdr:colOff>
      <xdr:row>11</xdr:row>
      <xdr:rowOff>0</xdr:rowOff>
    </xdr:from>
    <xdr:ext cx="2743200" cy="311496"/>
    <xdr:sp macro="" textlink="">
      <xdr:nvSpPr>
        <xdr:cNvPr id="9" name="TextBox 8">
          <a:hlinkClick xmlns:r="http://schemas.openxmlformats.org/officeDocument/2006/relationships" r:id="rId2"/>
        </xdr:cNvPr>
        <xdr:cNvSpPr txBox="1"/>
      </xdr:nvSpPr>
      <xdr:spPr>
        <a:xfrm>
          <a:off x="1828800" y="2714625"/>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VDB</a:t>
          </a:r>
        </a:p>
      </xdr:txBody>
    </xdr:sp>
    <xdr:clientData/>
  </xdr:oneCellAnchor>
  <xdr:oneCellAnchor>
    <xdr:from>
      <xdr:col>3</xdr:col>
      <xdr:colOff>0</xdr:colOff>
      <xdr:row>12</xdr:row>
      <xdr:rowOff>0</xdr:rowOff>
    </xdr:from>
    <xdr:ext cx="2743200" cy="311496"/>
    <xdr:sp macro="" textlink="">
      <xdr:nvSpPr>
        <xdr:cNvPr id="10" name="TextBox 9">
          <a:hlinkClick xmlns:r="http://schemas.openxmlformats.org/officeDocument/2006/relationships" r:id="rId3"/>
        </xdr:cNvPr>
        <xdr:cNvSpPr txBox="1"/>
      </xdr:nvSpPr>
      <xdr:spPr>
        <a:xfrm>
          <a:off x="1828800" y="3009900"/>
          <a:ext cx="2743200" cy="311496"/>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SLN</a:t>
          </a:r>
        </a:p>
      </xdr:txBody>
    </xdr:sp>
    <xdr:clientData/>
  </xdr:oneCellAnchor>
  <xdr:twoCellAnchor editAs="oneCell">
    <xdr:from>
      <xdr:col>4</xdr:col>
      <xdr:colOff>0</xdr:colOff>
      <xdr:row>22</xdr:row>
      <xdr:rowOff>0</xdr:rowOff>
    </xdr:from>
    <xdr:to>
      <xdr:col>4</xdr:col>
      <xdr:colOff>514422</xdr:colOff>
      <xdr:row>23</xdr:row>
      <xdr:rowOff>28607</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67250" y="539115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106</xdr:row>
      <xdr:rowOff>0</xdr:rowOff>
    </xdr:from>
    <xdr:to>
      <xdr:col>7</xdr:col>
      <xdr:colOff>285750</xdr:colOff>
      <xdr:row>122</xdr:row>
      <xdr:rowOff>161925</xdr:rowOff>
    </xdr:to>
    <xdr:pic>
      <xdr:nvPicPr>
        <xdr:cNvPr id="5" name="Picture 4" descr="VDB.BMP"/>
        <xdr:cNvPicPr>
          <a:picLocks noChangeAspect="1"/>
        </xdr:cNvPicPr>
      </xdr:nvPicPr>
      <xdr:blipFill>
        <a:blip xmlns:r="http://schemas.openxmlformats.org/officeDocument/2006/relationships" r:embed="rId1" cstate="print"/>
        <a:stretch>
          <a:fillRect/>
        </a:stretch>
      </xdr:blipFill>
      <xdr:spPr>
        <a:xfrm>
          <a:off x="1295400" y="23393400"/>
          <a:ext cx="5191125" cy="3362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6</xdr:col>
      <xdr:colOff>790575</xdr:colOff>
      <xdr:row>37</xdr:row>
      <xdr:rowOff>47625</xdr:rowOff>
    </xdr:to>
    <xdr:pic>
      <xdr:nvPicPr>
        <xdr:cNvPr id="4" name="Picture 3" descr="SLN.BMP"/>
        <xdr:cNvPicPr>
          <a:picLocks noChangeAspect="1"/>
        </xdr:cNvPicPr>
      </xdr:nvPicPr>
      <xdr:blipFill>
        <a:blip xmlns:r="http://schemas.openxmlformats.org/officeDocument/2006/relationships" r:embed="rId1" cstate="print"/>
        <a:stretch>
          <a:fillRect/>
        </a:stretch>
      </xdr:blipFill>
      <xdr:spPr>
        <a:xfrm>
          <a:off x="1428750" y="5353050"/>
          <a:ext cx="4714875" cy="2847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98</xdr:row>
      <xdr:rowOff>0</xdr:rowOff>
    </xdr:from>
    <xdr:to>
      <xdr:col>6</xdr:col>
      <xdr:colOff>466725</xdr:colOff>
      <xdr:row>110</xdr:row>
      <xdr:rowOff>95250</xdr:rowOff>
    </xdr:to>
    <xdr:pic>
      <xdr:nvPicPr>
        <xdr:cNvPr id="3" name="Picture 2" descr="SOLVER.BMP"/>
        <xdr:cNvPicPr>
          <a:picLocks noChangeAspect="1"/>
        </xdr:cNvPicPr>
      </xdr:nvPicPr>
      <xdr:blipFill>
        <a:blip xmlns:r="http://schemas.openxmlformats.org/officeDocument/2006/relationships" r:embed="rId1" cstate="print"/>
        <a:stretch>
          <a:fillRect/>
        </a:stretch>
      </xdr:blipFill>
      <xdr:spPr>
        <a:xfrm>
          <a:off x="1428750" y="21812250"/>
          <a:ext cx="4391025" cy="2495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
  <sheetViews>
    <sheetView workbookViewId="0"/>
  </sheetViews>
  <sheetFormatPr defaultRowHeight="12.75" x14ac:dyDescent="0.2"/>
  <cols>
    <col min="1" max="3" width="9.140625" style="4"/>
    <col min="4" max="4" width="42.5703125" style="4" customWidth="1"/>
    <col min="5" max="16384" width="9.140625" style="4"/>
  </cols>
  <sheetData>
    <row r="1" spans="1:29" x14ac:dyDescent="0.2">
      <c r="A1" s="17"/>
      <c r="B1" s="17"/>
      <c r="C1" s="17"/>
      <c r="D1" s="17"/>
      <c r="E1" s="17"/>
      <c r="F1" s="17"/>
      <c r="G1" s="17"/>
      <c r="H1" s="17"/>
      <c r="I1" s="17"/>
      <c r="J1" s="17"/>
      <c r="K1" s="17"/>
      <c r="L1" s="17"/>
      <c r="M1" s="3"/>
      <c r="N1" s="3"/>
      <c r="O1" s="3"/>
      <c r="P1" s="3"/>
      <c r="Q1" s="3"/>
      <c r="R1" s="3"/>
      <c r="S1" s="3"/>
      <c r="T1" s="3"/>
      <c r="U1" s="3"/>
      <c r="V1" s="3"/>
      <c r="W1" s="3"/>
      <c r="X1" s="3"/>
      <c r="Y1" s="3"/>
      <c r="Z1" s="3"/>
      <c r="AA1" s="3"/>
      <c r="AB1" s="3"/>
      <c r="AC1" s="3"/>
    </row>
    <row r="2" spans="1:29" x14ac:dyDescent="0.2">
      <c r="A2" s="17"/>
      <c r="B2" s="17"/>
      <c r="C2" s="17"/>
      <c r="D2" s="17"/>
      <c r="E2" s="17"/>
      <c r="F2" s="17"/>
      <c r="G2" s="17"/>
      <c r="H2" s="17"/>
      <c r="I2" s="17"/>
      <c r="J2" s="17"/>
      <c r="K2" s="17"/>
      <c r="L2" s="17"/>
      <c r="M2" s="3"/>
      <c r="N2" s="3"/>
      <c r="O2" s="3"/>
      <c r="P2" s="3"/>
      <c r="Q2" s="3"/>
      <c r="R2" s="3"/>
      <c r="S2" s="3"/>
      <c r="T2" s="3"/>
      <c r="U2" s="3"/>
      <c r="V2" s="3"/>
      <c r="W2" s="3"/>
      <c r="X2" s="3"/>
      <c r="Y2" s="3"/>
      <c r="Z2" s="3"/>
      <c r="AA2" s="3"/>
      <c r="AB2" s="3"/>
      <c r="AC2" s="3"/>
    </row>
    <row r="3" spans="1:29" ht="15.75" x14ac:dyDescent="0.25">
      <c r="A3" s="17"/>
      <c r="B3" s="17"/>
      <c r="C3" s="17"/>
      <c r="D3" s="8" t="s">
        <v>245</v>
      </c>
      <c r="E3" s="7"/>
      <c r="F3" s="7"/>
      <c r="G3" s="17"/>
      <c r="H3" s="17"/>
      <c r="I3" s="17"/>
      <c r="J3" s="17"/>
      <c r="K3" s="17"/>
      <c r="L3" s="17"/>
      <c r="M3" s="3"/>
      <c r="N3" s="3"/>
      <c r="O3" s="3"/>
      <c r="P3" s="3"/>
      <c r="Q3" s="3"/>
      <c r="R3" s="3"/>
      <c r="S3" s="3"/>
      <c r="T3" s="3"/>
      <c r="U3" s="3"/>
      <c r="V3" s="3"/>
      <c r="W3" s="3"/>
      <c r="X3" s="3"/>
      <c r="Y3" s="3"/>
      <c r="Z3" s="3"/>
      <c r="AA3" s="3"/>
      <c r="AB3" s="3"/>
      <c r="AC3" s="3"/>
    </row>
    <row r="4" spans="1:29" ht="15.75" x14ac:dyDescent="0.25">
      <c r="A4" s="17"/>
      <c r="B4" s="17"/>
      <c r="C4" s="17"/>
      <c r="D4" s="9" t="s">
        <v>246</v>
      </c>
      <c r="E4" s="7"/>
      <c r="F4" s="7"/>
      <c r="G4" s="17"/>
      <c r="H4" s="17"/>
      <c r="I4" s="17"/>
      <c r="J4" s="17"/>
      <c r="K4" s="17"/>
      <c r="L4" s="17"/>
      <c r="M4" s="3"/>
      <c r="N4" s="3"/>
      <c r="O4" s="3"/>
      <c r="P4" s="3"/>
      <c r="Q4" s="3"/>
      <c r="R4" s="3"/>
      <c r="S4" s="3"/>
      <c r="T4" s="3"/>
      <c r="U4" s="3"/>
      <c r="V4" s="3"/>
      <c r="W4" s="3"/>
      <c r="X4" s="3"/>
      <c r="Y4" s="3"/>
      <c r="Z4" s="3"/>
      <c r="AA4" s="3"/>
      <c r="AB4" s="3"/>
      <c r="AC4" s="3"/>
    </row>
    <row r="5" spans="1:29" ht="15.75" x14ac:dyDescent="0.25">
      <c r="A5" s="17"/>
      <c r="B5" s="17"/>
      <c r="C5" s="17"/>
      <c r="D5" s="8" t="s">
        <v>104</v>
      </c>
      <c r="E5" s="7"/>
      <c r="F5" s="7"/>
      <c r="G5" s="17"/>
      <c r="H5" s="17"/>
      <c r="I5" s="17"/>
      <c r="J5" s="17"/>
      <c r="K5" s="17"/>
      <c r="L5" s="17"/>
      <c r="M5" s="3"/>
      <c r="N5" s="3"/>
      <c r="O5" s="3"/>
      <c r="P5" s="3"/>
      <c r="Q5" s="3"/>
      <c r="R5" s="3"/>
      <c r="S5" s="3"/>
      <c r="T5" s="3"/>
      <c r="U5" s="3"/>
      <c r="V5" s="3"/>
      <c r="W5" s="3"/>
      <c r="X5" s="3"/>
      <c r="Y5" s="3"/>
      <c r="Z5" s="3"/>
      <c r="AA5" s="3"/>
      <c r="AB5" s="3"/>
      <c r="AC5" s="3"/>
    </row>
    <row r="6" spans="1:29" ht="15.75" x14ac:dyDescent="0.25">
      <c r="A6" s="17"/>
      <c r="B6" s="17"/>
      <c r="C6" s="17"/>
      <c r="D6" s="8" t="s">
        <v>247</v>
      </c>
      <c r="E6" s="7"/>
      <c r="F6" s="7"/>
      <c r="G6" s="17"/>
      <c r="H6" s="17"/>
      <c r="I6" s="17"/>
      <c r="J6" s="17"/>
      <c r="K6" s="17"/>
      <c r="L6" s="17"/>
      <c r="M6" s="3"/>
      <c r="N6" s="3"/>
      <c r="O6" s="3"/>
      <c r="P6" s="3"/>
      <c r="Q6" s="3"/>
      <c r="R6" s="3"/>
      <c r="S6" s="3"/>
      <c r="T6" s="3"/>
      <c r="U6" s="3"/>
      <c r="V6" s="3"/>
      <c r="W6" s="3"/>
      <c r="X6" s="3"/>
      <c r="Y6" s="3"/>
      <c r="Z6" s="3"/>
      <c r="AA6" s="3"/>
      <c r="AB6" s="3"/>
      <c r="AC6" s="3"/>
    </row>
    <row r="7" spans="1:29" x14ac:dyDescent="0.2">
      <c r="A7" s="17"/>
      <c r="B7" s="17"/>
      <c r="C7" s="17"/>
      <c r="D7" s="17"/>
      <c r="E7" s="17"/>
      <c r="F7" s="17"/>
      <c r="G7" s="17"/>
      <c r="H7" s="17"/>
      <c r="I7" s="17"/>
      <c r="J7" s="17"/>
      <c r="K7" s="17"/>
      <c r="L7" s="17"/>
      <c r="M7" s="3"/>
      <c r="N7" s="3"/>
      <c r="O7" s="3"/>
      <c r="P7" s="3"/>
      <c r="Q7" s="3"/>
      <c r="R7" s="3"/>
      <c r="S7" s="3"/>
      <c r="T7" s="3"/>
      <c r="U7" s="3"/>
      <c r="V7" s="3"/>
      <c r="W7" s="3"/>
      <c r="X7" s="3"/>
      <c r="Y7" s="3"/>
      <c r="Z7" s="3"/>
      <c r="AA7" s="3"/>
      <c r="AB7" s="3"/>
      <c r="AC7" s="3"/>
    </row>
    <row r="8" spans="1:29" ht="61.5" x14ac:dyDescent="0.9">
      <c r="A8" s="17"/>
      <c r="B8" s="17"/>
      <c r="C8" s="17"/>
      <c r="D8" s="20" t="s">
        <v>170</v>
      </c>
      <c r="E8" s="17"/>
      <c r="F8" s="5"/>
      <c r="G8" s="17"/>
      <c r="H8" s="17"/>
      <c r="I8" s="17"/>
      <c r="J8" s="17"/>
      <c r="K8" s="17"/>
      <c r="L8" s="17"/>
      <c r="M8" s="3"/>
      <c r="N8" s="3"/>
      <c r="O8" s="3"/>
      <c r="P8" s="3"/>
      <c r="Q8" s="3"/>
      <c r="R8" s="3"/>
      <c r="S8" s="3"/>
      <c r="T8" s="3"/>
      <c r="U8" s="3"/>
      <c r="V8" s="3"/>
      <c r="W8" s="3"/>
      <c r="X8" s="3"/>
      <c r="Y8" s="3"/>
      <c r="Z8" s="3"/>
      <c r="AA8" s="3"/>
      <c r="AB8" s="3"/>
      <c r="AC8" s="3"/>
    </row>
    <row r="9" spans="1:29" x14ac:dyDescent="0.2">
      <c r="A9" s="17"/>
      <c r="B9" s="17"/>
      <c r="C9" s="17"/>
      <c r="D9" s="17"/>
      <c r="E9" s="17"/>
      <c r="F9" s="17"/>
      <c r="G9" s="17"/>
      <c r="H9" s="17"/>
      <c r="I9" s="17"/>
      <c r="J9" s="17"/>
      <c r="K9" s="17"/>
      <c r="L9" s="17"/>
      <c r="M9" s="3"/>
      <c r="N9" s="3"/>
      <c r="O9" s="3"/>
      <c r="P9" s="3"/>
      <c r="Q9" s="3"/>
      <c r="R9" s="3"/>
      <c r="S9" s="3"/>
      <c r="T9" s="3"/>
      <c r="U9" s="3"/>
      <c r="V9" s="3"/>
      <c r="W9" s="3"/>
      <c r="X9" s="3"/>
      <c r="Y9" s="3"/>
      <c r="Z9" s="3"/>
      <c r="AA9" s="3"/>
      <c r="AB9" s="3"/>
      <c r="AC9" s="3"/>
    </row>
    <row r="10" spans="1:29" ht="18.75" x14ac:dyDescent="0.3">
      <c r="A10" s="17"/>
      <c r="B10" s="17"/>
      <c r="C10" s="17"/>
      <c r="D10" s="16" t="s">
        <v>1</v>
      </c>
      <c r="E10" s="16"/>
      <c r="F10" s="16"/>
      <c r="G10" s="16"/>
      <c r="H10" s="17"/>
      <c r="I10" s="17"/>
      <c r="J10" s="17"/>
      <c r="K10" s="17"/>
      <c r="L10" s="17"/>
      <c r="M10" s="3"/>
      <c r="N10" s="3"/>
      <c r="O10" s="3"/>
      <c r="P10" s="3"/>
      <c r="Q10" s="3"/>
      <c r="R10" s="3"/>
      <c r="S10" s="3"/>
      <c r="T10" s="3"/>
      <c r="U10" s="3"/>
      <c r="V10" s="3"/>
      <c r="W10" s="3"/>
      <c r="X10" s="3"/>
      <c r="Y10" s="3"/>
      <c r="Z10" s="3"/>
      <c r="AA10" s="3"/>
      <c r="AB10" s="3"/>
      <c r="AC10" s="3"/>
    </row>
    <row r="11" spans="1:29" ht="19.5" customHeight="1" x14ac:dyDescent="0.3">
      <c r="A11" s="17"/>
      <c r="B11" s="17"/>
      <c r="C11" s="17"/>
      <c r="D11" s="16"/>
      <c r="E11" s="16"/>
      <c r="F11" s="16"/>
      <c r="G11" s="16"/>
      <c r="H11" s="17"/>
      <c r="I11" s="17"/>
      <c r="J11" s="17"/>
      <c r="K11" s="17"/>
      <c r="L11" s="17"/>
      <c r="M11" s="3"/>
      <c r="N11" s="3"/>
      <c r="O11" s="3"/>
      <c r="P11" s="3"/>
      <c r="Q11" s="3"/>
      <c r="R11" s="3"/>
      <c r="S11" s="3"/>
      <c r="T11" s="3"/>
      <c r="U11" s="3"/>
      <c r="V11" s="3"/>
      <c r="W11" s="3"/>
      <c r="X11" s="3"/>
      <c r="Y11" s="3"/>
      <c r="Z11" s="3"/>
      <c r="AA11" s="3"/>
      <c r="AB11" s="3"/>
      <c r="AC11" s="3"/>
    </row>
    <row r="12" spans="1:29" ht="23.45" customHeight="1" x14ac:dyDescent="0.3">
      <c r="A12" s="17"/>
      <c r="B12" s="17"/>
      <c r="C12" s="17"/>
      <c r="F12" s="16"/>
      <c r="G12" s="17"/>
      <c r="H12" s="17"/>
      <c r="I12" s="17"/>
      <c r="J12" s="17"/>
      <c r="K12" s="17"/>
      <c r="L12" s="3"/>
      <c r="M12" s="3"/>
      <c r="N12" s="3"/>
      <c r="O12" s="3"/>
      <c r="P12" s="3"/>
      <c r="Q12" s="3"/>
      <c r="R12" s="3"/>
      <c r="S12" s="3"/>
      <c r="T12" s="3"/>
      <c r="U12" s="3"/>
      <c r="V12" s="3"/>
      <c r="W12" s="3"/>
      <c r="X12" s="3"/>
      <c r="Y12" s="3"/>
      <c r="Z12" s="3"/>
      <c r="AA12" s="3"/>
      <c r="AB12" s="3"/>
    </row>
    <row r="13" spans="1:29" ht="23.45" customHeight="1" x14ac:dyDescent="0.3">
      <c r="A13" s="17"/>
      <c r="B13" s="17"/>
      <c r="C13" s="17"/>
      <c r="F13" s="16"/>
      <c r="G13" s="17"/>
      <c r="H13" s="17"/>
      <c r="I13" s="17"/>
      <c r="J13" s="17"/>
      <c r="K13" s="17"/>
      <c r="L13" s="3"/>
      <c r="M13" s="3"/>
      <c r="N13" s="3"/>
      <c r="O13" s="3"/>
      <c r="P13" s="3"/>
      <c r="Q13" s="3"/>
      <c r="R13" s="3"/>
      <c r="S13" s="3"/>
      <c r="T13" s="3"/>
      <c r="U13" s="3"/>
      <c r="V13" s="3"/>
      <c r="W13" s="3"/>
      <c r="X13" s="3"/>
      <c r="Y13" s="3"/>
      <c r="Z13" s="3"/>
      <c r="AA13" s="3"/>
      <c r="AB13" s="3"/>
    </row>
    <row r="14" spans="1:29" ht="23.45" customHeight="1" x14ac:dyDescent="0.3">
      <c r="A14" s="17"/>
      <c r="B14" s="17"/>
      <c r="C14" s="17"/>
      <c r="F14" s="16"/>
      <c r="G14" s="17"/>
      <c r="H14" s="17"/>
      <c r="I14" s="17"/>
      <c r="J14" s="17"/>
      <c r="K14" s="17"/>
      <c r="L14" s="3"/>
      <c r="M14" s="3"/>
      <c r="N14" s="3"/>
      <c r="O14" s="3"/>
      <c r="P14" s="3"/>
      <c r="Q14" s="3"/>
      <c r="R14" s="3"/>
      <c r="S14" s="3"/>
      <c r="T14" s="3"/>
      <c r="U14" s="3"/>
      <c r="V14" s="3"/>
      <c r="W14" s="3"/>
      <c r="X14" s="3"/>
      <c r="Y14" s="3"/>
      <c r="Z14" s="3"/>
      <c r="AA14" s="3"/>
      <c r="AB14" s="3"/>
    </row>
    <row r="15" spans="1:29" ht="18.75" x14ac:dyDescent="0.3">
      <c r="A15" s="17"/>
      <c r="B15" s="17"/>
      <c r="C15" s="17"/>
      <c r="D15" s="16"/>
      <c r="E15" s="17"/>
      <c r="F15" s="17"/>
      <c r="G15" s="17"/>
      <c r="H15" s="17"/>
      <c r="I15" s="17"/>
      <c r="J15" s="17"/>
      <c r="K15" s="17"/>
      <c r="L15" s="17"/>
      <c r="M15" s="3"/>
      <c r="N15" s="3"/>
      <c r="O15" s="3"/>
      <c r="P15" s="3"/>
      <c r="Q15" s="3"/>
      <c r="R15" s="3"/>
      <c r="S15" s="3"/>
      <c r="T15" s="3"/>
      <c r="U15" s="3"/>
      <c r="V15" s="3"/>
      <c r="W15" s="3"/>
      <c r="X15" s="3"/>
      <c r="Y15" s="3"/>
      <c r="Z15" s="3"/>
      <c r="AA15" s="3"/>
      <c r="AB15" s="3"/>
      <c r="AC15" s="3"/>
    </row>
    <row r="16" spans="1:29" ht="18.75" x14ac:dyDescent="0.3">
      <c r="A16" s="17"/>
      <c r="B16" s="17"/>
      <c r="C16" s="17"/>
      <c r="D16" s="16" t="s">
        <v>2</v>
      </c>
      <c r="E16" s="17"/>
      <c r="F16" s="17"/>
      <c r="G16" s="17"/>
      <c r="H16" s="17"/>
      <c r="I16" s="17"/>
      <c r="J16" s="17"/>
      <c r="K16" s="17"/>
      <c r="L16" s="17"/>
      <c r="M16" s="3"/>
      <c r="N16" s="3"/>
      <c r="O16" s="3"/>
      <c r="P16" s="3"/>
      <c r="Q16" s="3"/>
      <c r="R16" s="3"/>
      <c r="S16" s="3"/>
      <c r="T16" s="3"/>
      <c r="U16" s="3"/>
      <c r="V16" s="3"/>
      <c r="W16" s="3"/>
      <c r="X16" s="3"/>
      <c r="Y16" s="3"/>
      <c r="Z16" s="3"/>
      <c r="AA16" s="3"/>
      <c r="AB16" s="3"/>
      <c r="AC16" s="3"/>
    </row>
    <row r="17" spans="1:29" ht="18.75" x14ac:dyDescent="0.3">
      <c r="A17" s="17"/>
      <c r="B17" s="17"/>
      <c r="C17" s="17"/>
      <c r="D17" s="16"/>
      <c r="E17" s="17"/>
      <c r="F17" s="17"/>
      <c r="G17" s="17"/>
      <c r="H17" s="17"/>
      <c r="I17" s="17"/>
      <c r="J17" s="17"/>
      <c r="K17" s="17"/>
      <c r="L17" s="17"/>
      <c r="M17" s="3"/>
      <c r="N17" s="3"/>
      <c r="O17" s="3"/>
      <c r="P17" s="3"/>
      <c r="Q17" s="3"/>
      <c r="R17" s="3"/>
      <c r="S17" s="3"/>
      <c r="T17" s="3"/>
      <c r="U17" s="3"/>
      <c r="V17" s="3"/>
      <c r="W17" s="3"/>
      <c r="X17" s="3"/>
      <c r="Y17" s="3"/>
      <c r="Z17" s="3"/>
      <c r="AA17" s="3"/>
      <c r="AB17" s="3"/>
      <c r="AC17" s="3"/>
    </row>
    <row r="18" spans="1:29" ht="18.75" x14ac:dyDescent="0.3">
      <c r="A18" s="17"/>
      <c r="B18" s="17"/>
      <c r="C18" s="17"/>
      <c r="D18" s="13" t="s">
        <v>3</v>
      </c>
      <c r="E18" s="17"/>
      <c r="F18" s="17"/>
      <c r="G18" s="17"/>
      <c r="H18" s="17"/>
      <c r="I18" s="17"/>
      <c r="J18" s="17"/>
      <c r="K18" s="17"/>
      <c r="L18" s="17"/>
      <c r="M18" s="3"/>
      <c r="N18" s="3"/>
      <c r="O18" s="3"/>
      <c r="P18" s="3"/>
      <c r="Q18" s="3"/>
      <c r="R18" s="3"/>
      <c r="S18" s="3"/>
      <c r="T18" s="3"/>
      <c r="U18" s="3"/>
      <c r="V18" s="3"/>
      <c r="W18" s="3"/>
      <c r="X18" s="3"/>
      <c r="Y18" s="3"/>
      <c r="Z18" s="3"/>
      <c r="AA18" s="3"/>
      <c r="AB18" s="3"/>
      <c r="AC18" s="3"/>
    </row>
    <row r="19" spans="1:29" ht="18.75" x14ac:dyDescent="0.3">
      <c r="A19" s="17"/>
      <c r="B19" s="17"/>
      <c r="C19" s="17"/>
      <c r="D19" s="14" t="s">
        <v>4</v>
      </c>
      <c r="E19" s="17"/>
      <c r="F19" s="17"/>
      <c r="G19" s="17"/>
      <c r="H19" s="17"/>
      <c r="I19" s="17"/>
      <c r="J19" s="17"/>
      <c r="K19" s="17"/>
      <c r="L19" s="17"/>
      <c r="M19" s="3"/>
      <c r="N19" s="3"/>
      <c r="O19" s="3"/>
      <c r="P19" s="3"/>
      <c r="Q19" s="3"/>
      <c r="R19" s="3"/>
      <c r="S19" s="3"/>
      <c r="T19" s="3"/>
      <c r="U19" s="3"/>
      <c r="V19" s="3"/>
      <c r="W19" s="3"/>
      <c r="X19" s="3"/>
      <c r="Y19" s="3"/>
      <c r="Z19" s="3"/>
      <c r="AA19" s="3"/>
      <c r="AB19" s="3"/>
      <c r="AC19" s="3"/>
    </row>
    <row r="20" spans="1:29" ht="15.75" x14ac:dyDescent="0.25">
      <c r="A20" s="17"/>
      <c r="B20" s="17"/>
      <c r="C20" s="17"/>
      <c r="D20" s="10"/>
      <c r="E20" s="17"/>
      <c r="F20" s="17"/>
      <c r="G20" s="17"/>
      <c r="H20" s="17"/>
      <c r="I20" s="17"/>
      <c r="J20" s="17"/>
      <c r="K20" s="17"/>
      <c r="L20" s="17"/>
      <c r="M20" s="3"/>
      <c r="N20" s="3"/>
      <c r="O20" s="3"/>
      <c r="P20" s="3"/>
      <c r="Q20" s="3"/>
      <c r="R20" s="3"/>
      <c r="S20" s="3"/>
      <c r="T20" s="3"/>
      <c r="U20" s="3"/>
      <c r="V20" s="3"/>
      <c r="W20" s="3"/>
      <c r="X20" s="3"/>
      <c r="Y20" s="3"/>
      <c r="Z20" s="3"/>
      <c r="AA20" s="3"/>
      <c r="AB20" s="3"/>
      <c r="AC20" s="3"/>
    </row>
    <row r="21" spans="1:29" ht="15.75" x14ac:dyDescent="0.25">
      <c r="A21" s="17"/>
      <c r="B21" s="17"/>
      <c r="C21" s="17"/>
      <c r="D21" s="11" t="s">
        <v>0</v>
      </c>
      <c r="E21" s="17"/>
      <c r="F21" s="17"/>
      <c r="G21" s="17"/>
      <c r="H21" s="17"/>
      <c r="I21" s="17"/>
      <c r="J21" s="17"/>
      <c r="K21" s="17"/>
      <c r="L21" s="17"/>
      <c r="M21" s="3"/>
      <c r="N21" s="3"/>
      <c r="O21" s="3"/>
      <c r="P21" s="3"/>
      <c r="Q21" s="3"/>
      <c r="R21" s="3"/>
      <c r="S21" s="3"/>
      <c r="T21" s="3"/>
      <c r="U21" s="3"/>
      <c r="V21" s="3"/>
      <c r="W21" s="3"/>
      <c r="X21" s="3"/>
      <c r="Y21" s="3"/>
      <c r="Z21" s="3"/>
      <c r="AA21" s="3"/>
      <c r="AB21" s="3"/>
      <c r="AC21" s="3"/>
    </row>
    <row r="22" spans="1:29" ht="15.75" x14ac:dyDescent="0.25">
      <c r="A22" s="17"/>
      <c r="B22" s="17"/>
      <c r="C22" s="17"/>
      <c r="D22" s="11" t="s">
        <v>5</v>
      </c>
      <c r="E22" s="17"/>
      <c r="F22" s="17"/>
      <c r="G22" s="17"/>
      <c r="H22" s="17"/>
      <c r="I22" s="17"/>
      <c r="J22" s="17"/>
      <c r="K22" s="17"/>
      <c r="L22" s="17"/>
      <c r="M22" s="3"/>
      <c r="N22" s="3"/>
      <c r="O22" s="3"/>
      <c r="P22" s="3"/>
      <c r="Q22" s="3"/>
      <c r="R22" s="3"/>
      <c r="S22" s="3"/>
      <c r="T22" s="3"/>
      <c r="U22" s="3"/>
      <c r="V22" s="3"/>
      <c r="W22" s="3"/>
      <c r="X22" s="3"/>
      <c r="Y22" s="3"/>
      <c r="Z22" s="3"/>
      <c r="AA22" s="3"/>
      <c r="AB22" s="3"/>
      <c r="AC22" s="3"/>
    </row>
    <row r="23" spans="1:29" ht="15.75" x14ac:dyDescent="0.25">
      <c r="A23" s="17"/>
      <c r="B23" s="17"/>
      <c r="C23" s="17"/>
      <c r="D23" s="11" t="s">
        <v>251</v>
      </c>
      <c r="E23" s="17"/>
      <c r="F23" s="17"/>
      <c r="G23" s="17"/>
      <c r="H23" s="17"/>
      <c r="I23" s="17"/>
      <c r="J23" s="17"/>
      <c r="K23" s="17"/>
      <c r="L23" s="17"/>
      <c r="M23" s="3"/>
      <c r="N23" s="3"/>
      <c r="O23" s="3"/>
      <c r="P23" s="3"/>
      <c r="Q23" s="3"/>
      <c r="R23" s="3"/>
      <c r="S23" s="3"/>
      <c r="T23" s="3"/>
      <c r="U23" s="3"/>
      <c r="V23" s="3"/>
      <c r="W23" s="3"/>
      <c r="X23" s="3"/>
      <c r="Y23" s="3"/>
      <c r="Z23" s="3"/>
      <c r="AA23" s="3"/>
      <c r="AB23" s="3"/>
      <c r="AC23" s="3"/>
    </row>
    <row r="24" spans="1:29" ht="15.75" x14ac:dyDescent="0.25">
      <c r="A24" s="17"/>
      <c r="B24" s="17"/>
      <c r="C24" s="17"/>
      <c r="D24" s="11" t="s">
        <v>6</v>
      </c>
      <c r="E24" s="17"/>
      <c r="F24" s="17"/>
      <c r="G24" s="17"/>
      <c r="H24" s="17"/>
      <c r="I24" s="17"/>
      <c r="J24" s="17"/>
      <c r="K24" s="17"/>
      <c r="L24" s="17"/>
      <c r="M24" s="3"/>
      <c r="N24" s="3"/>
      <c r="O24" s="3"/>
      <c r="P24" s="3"/>
      <c r="Q24" s="3"/>
      <c r="R24" s="3"/>
      <c r="S24" s="3"/>
      <c r="T24" s="3"/>
      <c r="U24" s="3"/>
      <c r="V24" s="3"/>
      <c r="W24" s="3"/>
      <c r="X24" s="3"/>
      <c r="Y24" s="3"/>
      <c r="Z24" s="3"/>
      <c r="AA24" s="3"/>
      <c r="AB24" s="3"/>
      <c r="AC24" s="3"/>
    </row>
    <row r="25" spans="1:29" ht="15.75" x14ac:dyDescent="0.25">
      <c r="A25" s="17"/>
      <c r="B25" s="17"/>
      <c r="C25" s="17"/>
      <c r="D25" s="12" t="s">
        <v>105</v>
      </c>
      <c r="E25" s="17"/>
      <c r="F25" s="17"/>
      <c r="G25" s="17"/>
      <c r="H25" s="17"/>
      <c r="I25" s="17"/>
      <c r="J25" s="17"/>
      <c r="K25" s="17"/>
      <c r="L25" s="17"/>
      <c r="M25" s="3"/>
      <c r="N25" s="3"/>
      <c r="O25" s="3"/>
      <c r="P25" s="3"/>
      <c r="Q25" s="3"/>
      <c r="R25" s="3"/>
      <c r="S25" s="3"/>
      <c r="T25" s="3"/>
      <c r="U25" s="3"/>
      <c r="V25" s="3"/>
      <c r="W25" s="3"/>
      <c r="X25" s="3"/>
      <c r="Y25" s="3"/>
      <c r="Z25" s="3"/>
      <c r="AA25" s="3"/>
      <c r="AB25" s="3"/>
      <c r="AC25" s="3"/>
    </row>
    <row r="26" spans="1:29" ht="15.75" x14ac:dyDescent="0.25">
      <c r="A26" s="17"/>
      <c r="B26" s="17"/>
      <c r="C26" s="17"/>
      <c r="D26" s="12" t="s">
        <v>7</v>
      </c>
      <c r="E26" s="17"/>
      <c r="F26" s="17"/>
      <c r="G26" s="17"/>
      <c r="H26" s="17"/>
      <c r="I26" s="17"/>
      <c r="J26" s="17"/>
      <c r="K26" s="17"/>
      <c r="L26" s="17"/>
      <c r="M26" s="3"/>
      <c r="N26" s="3"/>
      <c r="O26" s="3"/>
      <c r="P26" s="3"/>
      <c r="Q26" s="3"/>
      <c r="R26" s="3"/>
      <c r="S26" s="3"/>
      <c r="T26" s="3"/>
      <c r="U26" s="3"/>
      <c r="V26" s="3"/>
      <c r="W26" s="3"/>
      <c r="X26" s="3"/>
      <c r="Y26" s="3"/>
      <c r="Z26" s="3"/>
      <c r="AA26" s="3"/>
      <c r="AB26" s="3"/>
      <c r="AC26" s="3"/>
    </row>
    <row r="27" spans="1:29" x14ac:dyDescent="0.2">
      <c r="A27" s="17"/>
      <c r="B27" s="17"/>
      <c r="C27" s="17"/>
      <c r="D27" s="17"/>
      <c r="E27" s="17"/>
      <c r="F27" s="17"/>
      <c r="G27" s="17"/>
      <c r="H27" s="17"/>
      <c r="I27" s="17"/>
      <c r="J27" s="17"/>
      <c r="K27" s="17"/>
      <c r="L27" s="17"/>
      <c r="M27" s="3"/>
      <c r="N27" s="3"/>
      <c r="O27" s="3"/>
      <c r="P27" s="3"/>
      <c r="Q27" s="3"/>
      <c r="R27" s="3"/>
      <c r="S27" s="3"/>
      <c r="T27" s="3"/>
      <c r="U27" s="3"/>
      <c r="V27" s="3"/>
      <c r="W27" s="3"/>
      <c r="X27" s="3"/>
      <c r="Y27" s="3"/>
      <c r="Z27" s="3"/>
      <c r="AA27" s="3"/>
      <c r="AB27" s="3"/>
      <c r="AC27" s="3"/>
    </row>
    <row r="28" spans="1:29" x14ac:dyDescent="0.2">
      <c r="A28" s="17"/>
      <c r="B28" s="17"/>
      <c r="C28" s="17"/>
      <c r="D28" s="17"/>
      <c r="E28" s="17"/>
      <c r="F28" s="17"/>
      <c r="G28" s="17"/>
      <c r="H28" s="17"/>
      <c r="I28" s="17"/>
      <c r="J28" s="17"/>
      <c r="K28" s="17"/>
      <c r="L28" s="17"/>
      <c r="M28" s="3"/>
      <c r="N28" s="3"/>
      <c r="O28" s="3"/>
      <c r="P28" s="3"/>
      <c r="Q28" s="3"/>
      <c r="R28" s="3"/>
      <c r="S28" s="3"/>
      <c r="T28" s="3"/>
      <c r="U28" s="3"/>
      <c r="V28" s="3"/>
      <c r="W28" s="3"/>
      <c r="X28" s="3"/>
      <c r="Y28" s="3"/>
      <c r="Z28" s="3"/>
      <c r="AA28" s="3"/>
      <c r="AB28" s="3"/>
      <c r="AC28" s="3"/>
    </row>
    <row r="29" spans="1:29" x14ac:dyDescent="0.2">
      <c r="A29" s="17"/>
      <c r="B29" s="17"/>
      <c r="C29" s="17"/>
      <c r="D29" s="17"/>
      <c r="E29" s="17"/>
      <c r="F29" s="17"/>
      <c r="G29" s="17"/>
      <c r="H29" s="17"/>
      <c r="I29" s="17"/>
      <c r="J29" s="17"/>
      <c r="K29" s="17"/>
      <c r="L29" s="17"/>
      <c r="M29" s="3"/>
      <c r="N29" s="3"/>
      <c r="O29" s="3"/>
      <c r="P29" s="3"/>
      <c r="Q29" s="3"/>
      <c r="R29" s="3"/>
      <c r="S29" s="3"/>
      <c r="T29" s="3"/>
      <c r="U29" s="3"/>
      <c r="V29" s="3"/>
      <c r="W29" s="3"/>
      <c r="X29" s="3"/>
      <c r="Y29" s="3"/>
      <c r="Z29" s="3"/>
      <c r="AA29" s="3"/>
      <c r="AB29" s="3"/>
      <c r="AC29" s="3"/>
    </row>
    <row r="30" spans="1:29" x14ac:dyDescent="0.2">
      <c r="A30" s="17"/>
      <c r="B30" s="17"/>
      <c r="C30" s="17"/>
      <c r="D30" s="17"/>
      <c r="E30" s="17"/>
      <c r="F30" s="17"/>
      <c r="G30" s="17"/>
      <c r="H30" s="17"/>
      <c r="I30" s="17"/>
      <c r="J30" s="17"/>
      <c r="K30" s="17"/>
      <c r="L30" s="17"/>
      <c r="M30" s="3"/>
      <c r="N30" s="3"/>
      <c r="O30" s="3"/>
      <c r="P30" s="3"/>
      <c r="Q30" s="3"/>
      <c r="R30" s="3"/>
      <c r="S30" s="3"/>
      <c r="T30" s="3"/>
      <c r="U30" s="3"/>
      <c r="V30" s="3"/>
      <c r="W30" s="3"/>
      <c r="X30" s="3"/>
      <c r="Y30" s="3"/>
      <c r="Z30" s="3"/>
      <c r="AA30" s="3"/>
      <c r="AB30" s="3"/>
      <c r="AC30" s="3"/>
    </row>
    <row r="31" spans="1:29" x14ac:dyDescent="0.2">
      <c r="A31" s="17"/>
      <c r="B31" s="17"/>
      <c r="C31" s="17"/>
      <c r="D31" s="17"/>
      <c r="E31" s="17"/>
      <c r="F31" s="17"/>
      <c r="G31" s="17"/>
      <c r="H31" s="17"/>
      <c r="I31" s="17"/>
      <c r="J31" s="17"/>
      <c r="K31" s="17"/>
      <c r="L31" s="17"/>
      <c r="M31" s="3"/>
      <c r="N31" s="3"/>
      <c r="O31" s="3"/>
      <c r="P31" s="3"/>
      <c r="Q31" s="3"/>
      <c r="R31" s="3"/>
      <c r="S31" s="3"/>
      <c r="T31" s="3"/>
      <c r="U31" s="3"/>
      <c r="V31" s="3"/>
      <c r="W31" s="3"/>
      <c r="X31" s="3"/>
      <c r="Y31" s="3"/>
      <c r="Z31" s="3"/>
      <c r="AA31" s="3"/>
      <c r="AB31" s="3"/>
      <c r="AC31" s="3"/>
    </row>
    <row r="32" spans="1:29" x14ac:dyDescent="0.2">
      <c r="A32" s="17"/>
      <c r="B32" s="17"/>
      <c r="C32" s="17"/>
      <c r="D32" s="17"/>
      <c r="E32" s="17"/>
      <c r="F32" s="17"/>
      <c r="G32" s="17"/>
      <c r="H32" s="17"/>
      <c r="I32" s="17"/>
      <c r="J32" s="17"/>
      <c r="K32" s="17"/>
      <c r="L32" s="17"/>
      <c r="M32" s="3"/>
      <c r="N32" s="3"/>
      <c r="O32" s="3"/>
      <c r="P32" s="3"/>
      <c r="Q32" s="3"/>
      <c r="R32" s="3"/>
      <c r="S32" s="3"/>
      <c r="T32" s="3"/>
      <c r="U32" s="3"/>
      <c r="V32" s="3"/>
      <c r="W32" s="3"/>
      <c r="X32" s="3"/>
      <c r="Y32" s="3"/>
      <c r="Z32" s="3"/>
      <c r="AA32" s="3"/>
      <c r="AB32" s="3"/>
      <c r="AC32" s="3"/>
    </row>
    <row r="33" spans="1:29" x14ac:dyDescent="0.2">
      <c r="A33" s="17"/>
      <c r="B33" s="17"/>
      <c r="C33" s="17"/>
      <c r="D33" s="17"/>
      <c r="E33" s="17"/>
      <c r="F33" s="17"/>
      <c r="G33" s="17"/>
      <c r="H33" s="17"/>
      <c r="I33" s="17"/>
      <c r="J33" s="17"/>
      <c r="K33" s="17"/>
      <c r="L33" s="17"/>
      <c r="M33" s="3"/>
      <c r="N33" s="3"/>
      <c r="O33" s="3"/>
      <c r="P33" s="3"/>
      <c r="Q33" s="3"/>
      <c r="R33" s="3"/>
      <c r="S33" s="3"/>
      <c r="T33" s="3"/>
      <c r="U33" s="3"/>
      <c r="V33" s="3"/>
      <c r="W33" s="3"/>
      <c r="X33" s="3"/>
      <c r="Y33" s="3"/>
      <c r="Z33" s="3"/>
      <c r="AA33" s="3"/>
      <c r="AB33" s="3"/>
      <c r="AC33" s="3"/>
    </row>
    <row r="34" spans="1:29" x14ac:dyDescent="0.2">
      <c r="A34" s="17"/>
      <c r="B34" s="17"/>
      <c r="C34" s="17"/>
      <c r="D34" s="17"/>
      <c r="E34" s="17"/>
      <c r="F34" s="17"/>
      <c r="G34" s="17"/>
      <c r="H34" s="17"/>
      <c r="I34" s="17"/>
      <c r="J34" s="17"/>
      <c r="K34" s="17"/>
      <c r="L34" s="17"/>
      <c r="M34" s="3"/>
      <c r="N34" s="3"/>
      <c r="O34" s="3"/>
      <c r="P34" s="3"/>
      <c r="Q34" s="3"/>
      <c r="R34" s="3"/>
      <c r="S34" s="3"/>
      <c r="T34" s="3"/>
      <c r="U34" s="3"/>
      <c r="V34" s="3"/>
      <c r="W34" s="3"/>
      <c r="X34" s="3"/>
      <c r="Y34" s="3"/>
      <c r="Z34" s="3"/>
      <c r="AA34" s="3"/>
      <c r="AB34" s="3"/>
      <c r="AC34" s="3"/>
    </row>
    <row r="35" spans="1:29" x14ac:dyDescent="0.2">
      <c r="A35" s="6"/>
      <c r="B35" s="6"/>
      <c r="C35" s="6"/>
      <c r="D35" s="6"/>
      <c r="E35" s="6"/>
      <c r="F35" s="6"/>
      <c r="G35" s="6"/>
      <c r="H35" s="6"/>
      <c r="I35" s="6"/>
      <c r="J35" s="6"/>
      <c r="K35" s="6"/>
      <c r="L35" s="6"/>
    </row>
    <row r="36" spans="1:29" x14ac:dyDescent="0.2">
      <c r="A36" s="6"/>
      <c r="B36" s="6"/>
      <c r="C36" s="6"/>
      <c r="D36" s="6"/>
      <c r="E36" s="6"/>
      <c r="F36" s="6"/>
      <c r="G36" s="6"/>
      <c r="H36" s="6"/>
      <c r="I36" s="6"/>
      <c r="J36" s="6"/>
      <c r="K36" s="6"/>
      <c r="L36" s="6"/>
    </row>
    <row r="37" spans="1:29" x14ac:dyDescent="0.2">
      <c r="A37" s="6"/>
      <c r="B37" s="6"/>
      <c r="C37" s="6"/>
      <c r="D37" s="6"/>
      <c r="E37" s="6"/>
      <c r="F37" s="6"/>
      <c r="G37" s="6"/>
      <c r="H37" s="6"/>
      <c r="I37" s="6"/>
      <c r="J37" s="6"/>
      <c r="K37" s="6"/>
      <c r="L37" s="6"/>
    </row>
    <row r="38" spans="1:29" x14ac:dyDescent="0.2">
      <c r="A38" s="6"/>
      <c r="B38" s="6"/>
      <c r="C38" s="6"/>
      <c r="D38" s="6"/>
      <c r="E38" s="6"/>
      <c r="F38" s="6"/>
      <c r="G38" s="6"/>
      <c r="H38" s="6"/>
      <c r="I38" s="6"/>
      <c r="J38" s="6"/>
      <c r="K38" s="6"/>
      <c r="L38" s="6"/>
    </row>
    <row r="39" spans="1:29" x14ac:dyDescent="0.2">
      <c r="A39" s="6"/>
      <c r="B39" s="6"/>
      <c r="C39" s="6"/>
      <c r="D39" s="6"/>
      <c r="E39" s="6"/>
      <c r="F39" s="6"/>
      <c r="G39" s="6"/>
      <c r="H39" s="6"/>
      <c r="I39" s="6"/>
      <c r="J39" s="6"/>
      <c r="K39" s="6"/>
      <c r="L39" s="6"/>
    </row>
    <row r="40" spans="1:29" x14ac:dyDescent="0.2">
      <c r="A40" s="6"/>
      <c r="B40" s="6"/>
      <c r="C40" s="6"/>
      <c r="D40" s="6"/>
      <c r="E40" s="6"/>
      <c r="F40" s="6"/>
      <c r="G40" s="6"/>
      <c r="H40" s="6"/>
      <c r="I40" s="6"/>
      <c r="J40" s="6"/>
      <c r="K40" s="6"/>
      <c r="L40" s="6"/>
    </row>
    <row r="41" spans="1:29" x14ac:dyDescent="0.2">
      <c r="A41" s="6"/>
      <c r="B41" s="6"/>
      <c r="C41" s="6"/>
      <c r="D41" s="6"/>
      <c r="E41" s="6"/>
      <c r="F41" s="6"/>
      <c r="G41" s="6"/>
      <c r="H41" s="6"/>
      <c r="I41" s="6"/>
      <c r="J41" s="6"/>
      <c r="K41" s="6"/>
      <c r="L41" s="6"/>
    </row>
    <row r="42" spans="1:29" x14ac:dyDescent="0.2">
      <c r="A42" s="6"/>
      <c r="B42" s="6"/>
      <c r="C42" s="6"/>
      <c r="D42" s="6"/>
      <c r="E42" s="6"/>
      <c r="F42" s="6"/>
      <c r="G42" s="6"/>
      <c r="H42" s="6"/>
      <c r="I42" s="6"/>
      <c r="J42" s="6"/>
      <c r="K42" s="6"/>
      <c r="L42" s="6"/>
    </row>
    <row r="43" spans="1:29" x14ac:dyDescent="0.2">
      <c r="A43" s="6"/>
      <c r="B43" s="6"/>
      <c r="C43" s="6"/>
      <c r="D43" s="6"/>
      <c r="E43" s="6"/>
      <c r="F43" s="6"/>
      <c r="G43" s="6"/>
      <c r="H43" s="6"/>
      <c r="I43" s="6"/>
      <c r="J43" s="6"/>
      <c r="K43" s="6"/>
      <c r="L43" s="6"/>
    </row>
    <row r="44" spans="1:29" x14ac:dyDescent="0.2">
      <c r="A44" s="6"/>
      <c r="B44" s="6"/>
      <c r="C44" s="6"/>
      <c r="D44" s="6"/>
      <c r="E44" s="6"/>
      <c r="F44" s="6"/>
      <c r="G44" s="6"/>
      <c r="H44" s="6"/>
      <c r="I44" s="6"/>
      <c r="J44" s="6"/>
      <c r="K44" s="6"/>
      <c r="L44" s="6"/>
    </row>
    <row r="45" spans="1:29" x14ac:dyDescent="0.2">
      <c r="A45" s="6"/>
      <c r="B45" s="6"/>
      <c r="C45" s="6"/>
      <c r="D45" s="6"/>
      <c r="E45" s="6"/>
      <c r="F45" s="6"/>
      <c r="G45" s="6"/>
      <c r="H45" s="6"/>
      <c r="I45" s="6"/>
      <c r="J45" s="6"/>
      <c r="K45" s="6"/>
      <c r="L45" s="6"/>
    </row>
    <row r="46" spans="1:29" x14ac:dyDescent="0.2">
      <c r="A46" s="6"/>
      <c r="B46" s="6"/>
      <c r="C46" s="6"/>
      <c r="D46" s="6"/>
      <c r="E46" s="6"/>
      <c r="F46" s="6"/>
      <c r="G46" s="6"/>
      <c r="H46" s="6"/>
      <c r="I46" s="6"/>
      <c r="J46" s="6"/>
      <c r="K46" s="6"/>
      <c r="L46" s="6"/>
    </row>
    <row r="47" spans="1:29" x14ac:dyDescent="0.2">
      <c r="A47" s="6"/>
      <c r="B47" s="6"/>
      <c r="C47" s="6"/>
      <c r="D47" s="6"/>
      <c r="E47" s="6"/>
      <c r="F47" s="6"/>
      <c r="G47" s="6"/>
      <c r="H47" s="6"/>
      <c r="I47" s="6"/>
      <c r="J47" s="6"/>
      <c r="K47" s="6"/>
      <c r="L47" s="6"/>
    </row>
    <row r="48" spans="1:29"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6"/>
      <c r="B62" s="6"/>
      <c r="C62" s="6"/>
      <c r="D62" s="6"/>
      <c r="E62" s="6"/>
      <c r="F62" s="6"/>
      <c r="G62" s="6"/>
      <c r="H62" s="6"/>
      <c r="I62" s="6"/>
      <c r="J62" s="6"/>
      <c r="K62" s="6"/>
      <c r="L62" s="6"/>
    </row>
    <row r="63" spans="1:12" x14ac:dyDescent="0.2">
      <c r="A63" s="6"/>
      <c r="B63" s="6"/>
      <c r="C63" s="6"/>
      <c r="D63" s="6"/>
      <c r="E63" s="6"/>
      <c r="F63" s="6"/>
      <c r="G63" s="6"/>
      <c r="H63" s="6"/>
      <c r="I63" s="6"/>
      <c r="J63" s="6"/>
      <c r="K63" s="6"/>
      <c r="L63" s="6"/>
    </row>
    <row r="64" spans="1:12" x14ac:dyDescent="0.2">
      <c r="A64" s="6"/>
      <c r="B64" s="6"/>
      <c r="C64" s="6"/>
      <c r="D64" s="6"/>
      <c r="E64" s="6"/>
      <c r="F64" s="6"/>
      <c r="G64" s="6"/>
      <c r="H64" s="6"/>
      <c r="I64" s="6"/>
      <c r="J64" s="6"/>
      <c r="K64" s="6"/>
      <c r="L64" s="6"/>
    </row>
    <row r="65" spans="1:12" x14ac:dyDescent="0.2">
      <c r="A65" s="6"/>
      <c r="B65" s="6"/>
      <c r="C65" s="6"/>
      <c r="D65" s="6"/>
      <c r="E65" s="6"/>
      <c r="F65" s="6"/>
      <c r="G65" s="6"/>
      <c r="H65" s="6"/>
      <c r="I65" s="6"/>
      <c r="J65" s="6"/>
      <c r="K65" s="6"/>
      <c r="L65" s="6"/>
    </row>
    <row r="66" spans="1:12" x14ac:dyDescent="0.2">
      <c r="A66" s="6"/>
      <c r="B66" s="6"/>
      <c r="C66" s="6"/>
      <c r="D66" s="6"/>
      <c r="E66" s="6"/>
      <c r="F66" s="6"/>
      <c r="G66" s="6"/>
      <c r="H66" s="6"/>
      <c r="I66" s="6"/>
      <c r="J66" s="6"/>
      <c r="K66" s="6"/>
      <c r="L66" s="6"/>
    </row>
    <row r="67" spans="1:12" x14ac:dyDescent="0.2">
      <c r="A67" s="6"/>
      <c r="B67" s="6"/>
      <c r="C67" s="6"/>
      <c r="D67" s="6"/>
      <c r="E67" s="6"/>
      <c r="F67" s="6"/>
      <c r="G67" s="6"/>
      <c r="H67" s="6"/>
      <c r="I67" s="6"/>
      <c r="J67" s="6"/>
      <c r="K67" s="6"/>
      <c r="L67" s="6"/>
    </row>
    <row r="68" spans="1:12" x14ac:dyDescent="0.2">
      <c r="A68" s="6"/>
      <c r="B68" s="6"/>
      <c r="C68" s="6"/>
      <c r="D68" s="6"/>
      <c r="E68" s="6"/>
      <c r="F68" s="6"/>
      <c r="G68" s="6"/>
      <c r="H68" s="6"/>
      <c r="I68" s="6"/>
      <c r="J68" s="6"/>
      <c r="K68" s="6"/>
      <c r="L68" s="6"/>
    </row>
    <row r="69" spans="1:12" x14ac:dyDescent="0.2">
      <c r="A69" s="6"/>
      <c r="B69" s="6"/>
      <c r="C69" s="6"/>
      <c r="D69" s="6"/>
      <c r="E69" s="6"/>
      <c r="F69" s="6"/>
      <c r="G69" s="6"/>
      <c r="H69" s="6"/>
      <c r="I69" s="6"/>
      <c r="J69" s="6"/>
      <c r="K69" s="6"/>
      <c r="L69" s="6"/>
    </row>
    <row r="70" spans="1:12" x14ac:dyDescent="0.2">
      <c r="A70" s="6"/>
      <c r="B70" s="6"/>
      <c r="C70" s="6"/>
      <c r="D70" s="6"/>
      <c r="E70" s="6"/>
      <c r="F70" s="6"/>
      <c r="G70" s="6"/>
      <c r="H70" s="6"/>
      <c r="I70" s="6"/>
      <c r="J70" s="6"/>
      <c r="K70" s="6"/>
      <c r="L70" s="6"/>
    </row>
    <row r="71" spans="1:12" x14ac:dyDescent="0.2">
      <c r="A71" s="6"/>
      <c r="B71" s="6"/>
      <c r="C71" s="6"/>
      <c r="D71" s="6"/>
      <c r="E71" s="6"/>
      <c r="F71" s="6"/>
      <c r="G71" s="6"/>
      <c r="H71" s="6"/>
      <c r="I71" s="6"/>
      <c r="J71" s="6"/>
      <c r="K71" s="6"/>
      <c r="L71" s="6"/>
    </row>
    <row r="72" spans="1:12" x14ac:dyDescent="0.2">
      <c r="A72" s="6"/>
      <c r="B72" s="6"/>
      <c r="C72" s="6"/>
      <c r="D72" s="6"/>
      <c r="E72" s="6"/>
      <c r="F72" s="6"/>
      <c r="G72" s="6"/>
      <c r="H72" s="6"/>
      <c r="I72" s="6"/>
      <c r="J72" s="6"/>
      <c r="K72" s="6"/>
      <c r="L72" s="6"/>
    </row>
    <row r="73" spans="1:12" x14ac:dyDescent="0.2">
      <c r="A73" s="6"/>
      <c r="B73" s="6"/>
      <c r="C73" s="6"/>
      <c r="D73" s="6"/>
      <c r="E73" s="6"/>
      <c r="F73" s="6"/>
      <c r="G73" s="6"/>
      <c r="H73" s="6"/>
      <c r="I73" s="6"/>
      <c r="J73" s="6"/>
      <c r="K73" s="6"/>
      <c r="L73" s="6"/>
    </row>
    <row r="74" spans="1:12" x14ac:dyDescent="0.2">
      <c r="A74" s="6"/>
      <c r="B74" s="6"/>
      <c r="C74" s="6"/>
      <c r="D74" s="6"/>
      <c r="E74" s="6"/>
      <c r="F74" s="6"/>
      <c r="G74" s="6"/>
      <c r="H74" s="6"/>
      <c r="I74" s="6"/>
      <c r="J74" s="6"/>
      <c r="K74" s="6"/>
      <c r="L74" s="6"/>
    </row>
    <row r="75" spans="1:12" x14ac:dyDescent="0.2">
      <c r="A75" s="6"/>
      <c r="B75" s="6"/>
      <c r="C75" s="6"/>
      <c r="D75" s="6"/>
      <c r="E75" s="6"/>
      <c r="F75" s="6"/>
      <c r="G75" s="6"/>
      <c r="H75" s="6"/>
      <c r="I75" s="6"/>
      <c r="J75" s="6"/>
      <c r="K75" s="6"/>
      <c r="L75" s="6"/>
    </row>
    <row r="76" spans="1:12" x14ac:dyDescent="0.2">
      <c r="A76" s="6"/>
      <c r="B76" s="6"/>
      <c r="C76" s="6"/>
      <c r="D76" s="6"/>
      <c r="E76" s="6"/>
      <c r="F76" s="6"/>
      <c r="G76" s="6"/>
      <c r="H76" s="6"/>
      <c r="I76" s="6"/>
      <c r="J76" s="6"/>
      <c r="K76" s="6"/>
      <c r="L76" s="6"/>
    </row>
    <row r="77" spans="1:12" x14ac:dyDescent="0.2">
      <c r="A77" s="6"/>
      <c r="B77" s="6"/>
      <c r="C77" s="6"/>
      <c r="D77" s="6"/>
      <c r="E77" s="6"/>
      <c r="F77" s="6"/>
      <c r="G77" s="6"/>
      <c r="H77" s="6"/>
      <c r="I77" s="6"/>
      <c r="J77" s="6"/>
      <c r="K77" s="6"/>
      <c r="L77" s="6"/>
    </row>
    <row r="78" spans="1:12" x14ac:dyDescent="0.2">
      <c r="A78" s="6"/>
      <c r="B78" s="6"/>
      <c r="C78" s="6"/>
      <c r="D78" s="6"/>
      <c r="E78" s="6"/>
      <c r="F78" s="6"/>
      <c r="G78" s="6"/>
      <c r="H78" s="6"/>
      <c r="I78" s="6"/>
      <c r="J78" s="6"/>
      <c r="K78" s="6"/>
      <c r="L78" s="6"/>
    </row>
    <row r="79" spans="1:12" x14ac:dyDescent="0.2">
      <c r="A79" s="6"/>
      <c r="B79" s="6"/>
      <c r="C79" s="6"/>
      <c r="D79" s="6"/>
      <c r="E79" s="6"/>
      <c r="F79" s="6"/>
      <c r="G79" s="6"/>
      <c r="H79" s="6"/>
      <c r="I79" s="6"/>
      <c r="J79" s="6"/>
      <c r="K79" s="6"/>
      <c r="L79" s="6"/>
    </row>
    <row r="80" spans="1:12" x14ac:dyDescent="0.2">
      <c r="A80" s="6"/>
      <c r="B80" s="6"/>
      <c r="C80" s="6"/>
      <c r="D80" s="6"/>
      <c r="E80" s="6"/>
      <c r="F80" s="6"/>
      <c r="G80" s="6"/>
      <c r="H80" s="6"/>
      <c r="I80" s="6"/>
      <c r="J80" s="6"/>
      <c r="K80" s="6"/>
      <c r="L80" s="6"/>
    </row>
    <row r="81" spans="1:12" x14ac:dyDescent="0.2">
      <c r="A81" s="6"/>
      <c r="B81" s="6"/>
      <c r="C81" s="6"/>
      <c r="D81" s="6"/>
      <c r="E81" s="6"/>
      <c r="F81" s="6"/>
      <c r="G81" s="6"/>
      <c r="H81" s="6"/>
      <c r="I81" s="6"/>
      <c r="J81" s="6"/>
      <c r="K81" s="6"/>
      <c r="L81" s="6"/>
    </row>
    <row r="82" spans="1:12" x14ac:dyDescent="0.2">
      <c r="A82" s="6"/>
      <c r="B82" s="6"/>
      <c r="C82" s="6"/>
      <c r="D82" s="6"/>
      <c r="E82" s="6"/>
      <c r="F82" s="6"/>
      <c r="G82" s="6"/>
      <c r="H82" s="6"/>
      <c r="I82" s="6"/>
      <c r="J82" s="6"/>
      <c r="K82" s="6"/>
      <c r="L82" s="6"/>
    </row>
    <row r="83" spans="1:12" x14ac:dyDescent="0.2">
      <c r="A83" s="6"/>
      <c r="B83" s="6"/>
      <c r="C83" s="6"/>
      <c r="D83" s="6"/>
      <c r="E83" s="6"/>
      <c r="F83" s="6"/>
      <c r="G83" s="6"/>
      <c r="H83" s="6"/>
      <c r="I83" s="6"/>
      <c r="J83" s="6"/>
      <c r="K83" s="6"/>
      <c r="L83" s="6"/>
    </row>
    <row r="84" spans="1:12" x14ac:dyDescent="0.2">
      <c r="A84" s="6"/>
      <c r="B84" s="6"/>
      <c r="C84" s="6"/>
      <c r="D84" s="6"/>
      <c r="E84" s="6"/>
      <c r="F84" s="6"/>
      <c r="G84" s="6"/>
      <c r="H84" s="6"/>
      <c r="I84" s="6"/>
      <c r="J84" s="6"/>
      <c r="K84" s="6"/>
      <c r="L84" s="6"/>
    </row>
    <row r="85" spans="1:12" x14ac:dyDescent="0.2">
      <c r="A85" s="6"/>
      <c r="B85" s="6"/>
      <c r="C85" s="6"/>
      <c r="D85" s="6"/>
      <c r="E85" s="6"/>
      <c r="F85" s="6"/>
      <c r="G85" s="6"/>
      <c r="H85" s="6"/>
      <c r="I85" s="6"/>
      <c r="J85" s="6"/>
      <c r="K85" s="6"/>
      <c r="L85" s="6"/>
    </row>
    <row r="86" spans="1:12" x14ac:dyDescent="0.2">
      <c r="A86" s="6"/>
      <c r="B86" s="6"/>
      <c r="C86" s="6"/>
      <c r="D86" s="6"/>
      <c r="E86" s="6"/>
      <c r="F86" s="6"/>
      <c r="G86" s="6"/>
      <c r="H86" s="6"/>
      <c r="I86" s="6"/>
      <c r="J86" s="6"/>
      <c r="K86" s="6"/>
      <c r="L86" s="6"/>
    </row>
    <row r="87" spans="1:12" x14ac:dyDescent="0.2">
      <c r="A87" s="6"/>
      <c r="B87" s="6"/>
      <c r="C87" s="6"/>
      <c r="D87" s="6"/>
      <c r="E87" s="6"/>
      <c r="F87" s="6"/>
      <c r="G87" s="6"/>
      <c r="H87" s="6"/>
      <c r="I87" s="6"/>
      <c r="J87" s="6"/>
      <c r="K87" s="6"/>
      <c r="L87" s="6"/>
    </row>
    <row r="88" spans="1:12" x14ac:dyDescent="0.2">
      <c r="A88" s="6"/>
      <c r="B88" s="6"/>
      <c r="C88" s="6"/>
      <c r="D88" s="6"/>
      <c r="E88" s="6"/>
      <c r="F88" s="6"/>
      <c r="G88" s="6"/>
      <c r="H88" s="6"/>
      <c r="I88" s="6"/>
      <c r="J88" s="6"/>
      <c r="K88" s="6"/>
      <c r="L88" s="6"/>
    </row>
    <row r="89" spans="1:12" x14ac:dyDescent="0.2">
      <c r="A89" s="6"/>
      <c r="B89" s="6"/>
      <c r="C89" s="6"/>
      <c r="D89" s="6"/>
      <c r="E89" s="6"/>
      <c r="F89" s="6"/>
      <c r="G89" s="6"/>
      <c r="H89" s="6"/>
      <c r="I89" s="6"/>
      <c r="J89" s="6"/>
      <c r="K89" s="6"/>
      <c r="L89" s="6"/>
    </row>
    <row r="90" spans="1:12" x14ac:dyDescent="0.2">
      <c r="A90" s="6"/>
      <c r="B90" s="6"/>
      <c r="C90" s="6"/>
      <c r="D90" s="6"/>
      <c r="E90" s="6"/>
      <c r="F90" s="6"/>
      <c r="G90" s="6"/>
      <c r="H90" s="6"/>
      <c r="I90" s="6"/>
      <c r="J90" s="6"/>
      <c r="K90" s="6"/>
      <c r="L90" s="6"/>
    </row>
    <row r="91" spans="1:12" x14ac:dyDescent="0.2">
      <c r="A91" s="6"/>
      <c r="B91" s="6"/>
      <c r="C91" s="6"/>
      <c r="D91" s="6"/>
      <c r="E91" s="6"/>
      <c r="F91" s="6"/>
      <c r="G91" s="6"/>
      <c r="H91" s="6"/>
      <c r="I91" s="6"/>
      <c r="J91" s="6"/>
      <c r="K91" s="6"/>
      <c r="L91" s="6"/>
    </row>
    <row r="92" spans="1:12" x14ac:dyDescent="0.2">
      <c r="A92" s="6"/>
      <c r="B92" s="6"/>
      <c r="C92" s="6"/>
      <c r="D92" s="6"/>
      <c r="E92" s="6"/>
      <c r="F92" s="6"/>
      <c r="G92" s="6"/>
      <c r="H92" s="6"/>
      <c r="I92" s="6"/>
      <c r="J92" s="6"/>
      <c r="K92" s="6"/>
      <c r="L92" s="6"/>
    </row>
    <row r="93" spans="1:12" x14ac:dyDescent="0.2">
      <c r="A93" s="6"/>
      <c r="B93" s="6"/>
      <c r="C93" s="6"/>
      <c r="D93" s="6"/>
      <c r="E93" s="6"/>
      <c r="F93" s="6"/>
      <c r="G93" s="6"/>
      <c r="H93" s="6"/>
      <c r="I93" s="6"/>
      <c r="J93" s="6"/>
      <c r="K93" s="6"/>
      <c r="L93" s="6"/>
    </row>
    <row r="94" spans="1:12" x14ac:dyDescent="0.2">
      <c r="A94" s="6"/>
      <c r="B94" s="6"/>
      <c r="C94" s="6"/>
      <c r="D94" s="6"/>
      <c r="E94" s="6"/>
      <c r="F94" s="6"/>
      <c r="G94" s="6"/>
      <c r="H94" s="6"/>
      <c r="I94" s="6"/>
      <c r="J94" s="6"/>
      <c r="K94" s="6"/>
      <c r="L94" s="6"/>
    </row>
    <row r="95" spans="1:12" x14ac:dyDescent="0.2">
      <c r="A95" s="6"/>
      <c r="B95" s="6"/>
      <c r="C95" s="6"/>
      <c r="D95" s="6"/>
      <c r="E95" s="6"/>
      <c r="F95" s="6"/>
      <c r="G95" s="6"/>
      <c r="H95" s="6"/>
      <c r="I95" s="6"/>
      <c r="J95" s="6"/>
      <c r="K95" s="6"/>
      <c r="L95" s="6"/>
    </row>
    <row r="96" spans="1:12" x14ac:dyDescent="0.2">
      <c r="A96" s="6"/>
      <c r="B96" s="6"/>
      <c r="C96" s="6"/>
      <c r="D96" s="6"/>
      <c r="E96" s="6"/>
      <c r="F96" s="6"/>
      <c r="G96" s="6"/>
      <c r="H96" s="6"/>
      <c r="I96" s="6"/>
      <c r="J96" s="6"/>
      <c r="K96" s="6"/>
      <c r="L96" s="6"/>
    </row>
    <row r="97" spans="1:12" x14ac:dyDescent="0.2">
      <c r="A97" s="6"/>
      <c r="B97" s="6"/>
      <c r="C97" s="6"/>
      <c r="D97" s="6"/>
      <c r="E97" s="6"/>
      <c r="F97" s="6"/>
      <c r="G97" s="6"/>
      <c r="H97" s="6"/>
      <c r="I97" s="6"/>
      <c r="J97" s="6"/>
      <c r="K97" s="6"/>
      <c r="L97" s="6"/>
    </row>
    <row r="98" spans="1:12" x14ac:dyDescent="0.2">
      <c r="A98" s="6"/>
      <c r="B98" s="6"/>
      <c r="C98" s="6"/>
      <c r="D98" s="6"/>
      <c r="E98" s="6"/>
      <c r="F98" s="6"/>
      <c r="G98" s="6"/>
      <c r="H98" s="6"/>
      <c r="I98" s="6"/>
      <c r="J98" s="6"/>
      <c r="K98" s="6"/>
      <c r="L98" s="6"/>
    </row>
    <row r="99" spans="1:12" x14ac:dyDescent="0.2">
      <c r="A99" s="6"/>
      <c r="B99" s="6"/>
      <c r="C99" s="6"/>
      <c r="D99" s="6"/>
      <c r="E99" s="6"/>
      <c r="F99" s="6"/>
      <c r="G99" s="6"/>
      <c r="H99" s="6"/>
      <c r="I99" s="6"/>
      <c r="J99" s="6"/>
      <c r="K99" s="6"/>
      <c r="L99" s="6"/>
    </row>
    <row r="100" spans="1:12" x14ac:dyDescent="0.2">
      <c r="A100" s="6"/>
      <c r="B100" s="6"/>
      <c r="C100" s="6"/>
      <c r="D100" s="6"/>
      <c r="E100" s="6"/>
      <c r="F100" s="6"/>
      <c r="G100" s="6"/>
      <c r="H100" s="6"/>
      <c r="I100" s="6"/>
      <c r="J100" s="6"/>
      <c r="K100" s="6"/>
      <c r="L100" s="6"/>
    </row>
  </sheetData>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9646"/>
  </sheetPr>
  <dimension ref="A1:E17"/>
  <sheetViews>
    <sheetView showGridLines="0" workbookViewId="0"/>
  </sheetViews>
  <sheetFormatPr defaultRowHeight="15" x14ac:dyDescent="0.25"/>
  <cols>
    <col min="1" max="1" width="2.28515625" customWidth="1"/>
    <col min="2" max="2" width="6.28515625" bestFit="1" customWidth="1"/>
    <col min="3" max="3" width="12.42578125" bestFit="1" customWidth="1"/>
    <col min="4" max="4" width="14.28515625" bestFit="1" customWidth="1"/>
    <col min="5" max="5" width="10.85546875" bestFit="1" customWidth="1"/>
  </cols>
  <sheetData>
    <row r="1" spans="1:5" x14ac:dyDescent="0.25">
      <c r="A1" s="83" t="s">
        <v>64</v>
      </c>
    </row>
    <row r="2" spans="1:5" x14ac:dyDescent="0.25">
      <c r="A2" s="83" t="s">
        <v>211</v>
      </c>
    </row>
    <row r="3" spans="1:5" x14ac:dyDescent="0.25">
      <c r="A3" s="83" t="s">
        <v>250</v>
      </c>
    </row>
    <row r="6" spans="1:5" ht="15.75" thickBot="1" x14ac:dyDescent="0.3">
      <c r="A6" t="s">
        <v>65</v>
      </c>
    </row>
    <row r="7" spans="1:5" ht="15.75" thickBot="1" x14ac:dyDescent="0.3">
      <c r="B7" s="138" t="s">
        <v>66</v>
      </c>
      <c r="C7" s="138" t="s">
        <v>67</v>
      </c>
      <c r="D7" s="138" t="s">
        <v>68</v>
      </c>
      <c r="E7" s="138" t="s">
        <v>69</v>
      </c>
    </row>
    <row r="8" spans="1:5" ht="15.75" thickBot="1" x14ac:dyDescent="0.3">
      <c r="B8" s="84" t="s">
        <v>212</v>
      </c>
      <c r="C8" s="84" t="s">
        <v>213</v>
      </c>
      <c r="D8" s="85">
        <v>9424967.8100000005</v>
      </c>
      <c r="E8" s="85">
        <v>0</v>
      </c>
    </row>
    <row r="11" spans="1:5" ht="15.75" thickBot="1" x14ac:dyDescent="0.3">
      <c r="A11" t="s">
        <v>70</v>
      </c>
    </row>
    <row r="12" spans="1:5" ht="15.75" thickBot="1" x14ac:dyDescent="0.3">
      <c r="B12" s="138" t="s">
        <v>66</v>
      </c>
      <c r="C12" s="138" t="s">
        <v>67</v>
      </c>
      <c r="D12" s="138" t="s">
        <v>68</v>
      </c>
      <c r="E12" s="138" t="s">
        <v>69</v>
      </c>
    </row>
    <row r="13" spans="1:5" ht="15.75" thickBot="1" x14ac:dyDescent="0.3">
      <c r="B13" s="84" t="s">
        <v>100</v>
      </c>
      <c r="C13" s="84" t="s">
        <v>25</v>
      </c>
      <c r="D13" s="86">
        <v>22</v>
      </c>
      <c r="E13" s="86">
        <v>23.479900000000001</v>
      </c>
    </row>
    <row r="16" spans="1:5" x14ac:dyDescent="0.25">
      <c r="A16" t="s">
        <v>71</v>
      </c>
    </row>
    <row r="17" spans="2:2" x14ac:dyDescent="0.25">
      <c r="B17"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28"/>
  <sheetViews>
    <sheetView topLeftCell="A34" workbookViewId="0">
      <selection activeCell="D29" sqref="D29"/>
    </sheetView>
  </sheetViews>
  <sheetFormatPr defaultRowHeight="15.75" x14ac:dyDescent="0.25"/>
  <cols>
    <col min="1" max="1" width="4.7109375" style="1" customWidth="1"/>
    <col min="2" max="26" width="14.7109375" style="1" customWidth="1"/>
    <col min="27" max="36" width="10.7109375" style="1" customWidth="1"/>
    <col min="37" max="16384" width="9.140625" style="1"/>
  </cols>
  <sheetData>
    <row r="1" spans="1:11" ht="16.5" thickBot="1" x14ac:dyDescent="0.3"/>
    <row r="2" spans="1:11" s="15" customFormat="1" ht="21" x14ac:dyDescent="0.35">
      <c r="B2" s="87" t="s">
        <v>109</v>
      </c>
      <c r="C2" s="88"/>
      <c r="D2" s="88"/>
      <c r="E2" s="90"/>
    </row>
    <row r="3" spans="1:11" s="2" customFormat="1" ht="21.75" thickBot="1" x14ac:dyDescent="0.4">
      <c r="B3" s="91" t="s">
        <v>110</v>
      </c>
      <c r="C3" s="92"/>
      <c r="D3" s="92"/>
      <c r="E3" s="93"/>
    </row>
    <row r="5" spans="1:11" ht="47.25" customHeight="1" x14ac:dyDescent="0.25">
      <c r="A5" s="198" t="s">
        <v>111</v>
      </c>
      <c r="B5" s="198"/>
      <c r="C5" s="198"/>
      <c r="D5" s="198"/>
      <c r="E5" s="198"/>
      <c r="F5" s="198"/>
      <c r="G5" s="198"/>
      <c r="H5" s="198"/>
      <c r="I5" s="198"/>
      <c r="J5" s="198"/>
      <c r="K5" s="198"/>
    </row>
    <row r="7" spans="1:11" s="19" customFormat="1" x14ac:dyDescent="0.25">
      <c r="D7" s="115" t="s">
        <v>91</v>
      </c>
      <c r="E7" s="115" t="s">
        <v>92</v>
      </c>
      <c r="F7" s="115" t="s">
        <v>93</v>
      </c>
      <c r="G7" s="115" t="s">
        <v>94</v>
      </c>
      <c r="H7" s="115" t="s">
        <v>95</v>
      </c>
    </row>
    <row r="8" spans="1:11" x14ac:dyDescent="0.25">
      <c r="B8" s="19" t="s">
        <v>112</v>
      </c>
      <c r="D8" s="24">
        <v>4100</v>
      </c>
      <c r="E8" s="24">
        <v>5000</v>
      </c>
      <c r="F8" s="24">
        <v>5600</v>
      </c>
      <c r="G8" s="24">
        <v>4500</v>
      </c>
      <c r="H8" s="24">
        <v>0</v>
      </c>
    </row>
    <row r="9" spans="1:11" x14ac:dyDescent="0.25">
      <c r="B9" s="19" t="s">
        <v>116</v>
      </c>
      <c r="D9" s="23">
        <v>680</v>
      </c>
    </row>
    <row r="10" spans="1:11" s="19" customFormat="1" x14ac:dyDescent="0.25">
      <c r="B10" s="19" t="s">
        <v>113</v>
      </c>
      <c r="D10" s="22">
        <v>0</v>
      </c>
    </row>
    <row r="11" spans="1:11" s="19" customFormat="1" x14ac:dyDescent="0.25">
      <c r="B11" s="19" t="s">
        <v>115</v>
      </c>
      <c r="D11" s="22">
        <v>0</v>
      </c>
    </row>
    <row r="12" spans="1:11" s="19" customFormat="1" x14ac:dyDescent="0.25">
      <c r="B12" s="19" t="s">
        <v>8</v>
      </c>
      <c r="D12" s="22">
        <v>0.4</v>
      </c>
    </row>
    <row r="13" spans="1:11" s="19" customFormat="1" x14ac:dyDescent="0.25">
      <c r="B13" s="19" t="s">
        <v>117</v>
      </c>
      <c r="D13" s="23">
        <v>102</v>
      </c>
    </row>
    <row r="14" spans="1:11" s="19" customFormat="1" x14ac:dyDescent="0.25">
      <c r="B14" s="19" t="s">
        <v>118</v>
      </c>
      <c r="D14" s="22">
        <v>0</v>
      </c>
    </row>
    <row r="15" spans="1:11" s="19" customFormat="1" x14ac:dyDescent="0.25">
      <c r="B15" s="19" t="s">
        <v>119</v>
      </c>
      <c r="D15" s="21">
        <v>128000</v>
      </c>
    </row>
    <row r="16" spans="1:11" s="19" customFormat="1" x14ac:dyDescent="0.25">
      <c r="B16" s="19" t="s">
        <v>120</v>
      </c>
      <c r="D16" s="22">
        <v>0</v>
      </c>
    </row>
    <row r="17" spans="1:8" s="19" customFormat="1" x14ac:dyDescent="0.25">
      <c r="B17" s="19" t="s">
        <v>121</v>
      </c>
      <c r="D17" s="116">
        <v>0.33329999999999999</v>
      </c>
      <c r="E17" s="116">
        <v>0.44450000000000001</v>
      </c>
      <c r="F17" s="116">
        <v>0.14810000000000001</v>
      </c>
      <c r="G17" s="116">
        <v>7.4099999999999999E-2</v>
      </c>
      <c r="H17" s="116">
        <v>0</v>
      </c>
    </row>
    <row r="18" spans="1:8" s="19" customFormat="1" x14ac:dyDescent="0.25">
      <c r="B18" s="19" t="s">
        <v>122</v>
      </c>
      <c r="D18" s="21">
        <v>3800000</v>
      </c>
    </row>
    <row r="19" spans="1:8" x14ac:dyDescent="0.25">
      <c r="B19" s="19" t="s">
        <v>123</v>
      </c>
      <c r="D19" s="21">
        <v>1630000</v>
      </c>
    </row>
    <row r="20" spans="1:8" x14ac:dyDescent="0.25">
      <c r="B20" s="19" t="s">
        <v>21</v>
      </c>
      <c r="D20" s="21">
        <v>415000</v>
      </c>
    </row>
    <row r="21" spans="1:8" s="19" customFormat="1" x14ac:dyDescent="0.25">
      <c r="D21" s="22"/>
    </row>
    <row r="22" spans="1:8" x14ac:dyDescent="0.25">
      <c r="A22" s="19" t="s">
        <v>124</v>
      </c>
    </row>
    <row r="24" spans="1:8" x14ac:dyDescent="0.25">
      <c r="B24" s="52"/>
      <c r="C24" s="53"/>
      <c r="D24" s="113" t="s">
        <v>91</v>
      </c>
      <c r="E24" s="113" t="s">
        <v>92</v>
      </c>
      <c r="F24" s="113" t="s">
        <v>93</v>
      </c>
      <c r="G24" s="113" t="s">
        <v>94</v>
      </c>
      <c r="H24" s="114" t="s">
        <v>95</v>
      </c>
    </row>
    <row r="25" spans="1:8" s="19" customFormat="1" x14ac:dyDescent="0.25">
      <c r="B25" s="55" t="s">
        <v>11</v>
      </c>
      <c r="C25" s="56"/>
      <c r="D25" s="70">
        <f>$D$18*D17</f>
        <v>1266540</v>
      </c>
      <c r="E25" s="70">
        <f t="shared" ref="E25:H25" si="0">$D$18*E17</f>
        <v>1689100</v>
      </c>
      <c r="F25" s="70">
        <f t="shared" si="0"/>
        <v>562780</v>
      </c>
      <c r="G25" s="70">
        <f t="shared" si="0"/>
        <v>281580</v>
      </c>
      <c r="H25" s="59">
        <f t="shared" si="0"/>
        <v>0</v>
      </c>
    </row>
    <row r="26" spans="1:8" x14ac:dyDescent="0.25">
      <c r="B26" s="55" t="s">
        <v>125</v>
      </c>
      <c r="C26" s="56"/>
      <c r="D26" s="118">
        <f>D25</f>
        <v>1266540</v>
      </c>
      <c r="E26" s="118">
        <f>D26+E25</f>
        <v>2955640</v>
      </c>
      <c r="F26" s="118">
        <f t="shared" ref="F26:H26" si="1">E26+F25</f>
        <v>3518420</v>
      </c>
      <c r="G26" s="118">
        <f t="shared" si="1"/>
        <v>3800000</v>
      </c>
      <c r="H26" s="112">
        <f t="shared" si="1"/>
        <v>3800000</v>
      </c>
    </row>
    <row r="27" spans="1:8" x14ac:dyDescent="0.25">
      <c r="B27" s="55" t="s">
        <v>126</v>
      </c>
      <c r="C27" s="56"/>
      <c r="D27" s="118">
        <f>$D$18-D26</f>
        <v>2533460</v>
      </c>
      <c r="E27" s="118">
        <f t="shared" ref="E27:H27" si="2">$D$18-E26</f>
        <v>844360</v>
      </c>
      <c r="F27" s="118">
        <f t="shared" si="2"/>
        <v>281580</v>
      </c>
      <c r="G27" s="118">
        <f t="shared" si="2"/>
        <v>0</v>
      </c>
      <c r="H27" s="112">
        <f t="shared" si="2"/>
        <v>0</v>
      </c>
    </row>
    <row r="28" spans="1:8" x14ac:dyDescent="0.25">
      <c r="B28" s="55" t="s">
        <v>46</v>
      </c>
      <c r="C28" s="56"/>
      <c r="D28" s="75">
        <f>D9</f>
        <v>680</v>
      </c>
      <c r="E28" s="75">
        <f>D28*(1+$D$10)</f>
        <v>680</v>
      </c>
      <c r="F28" s="75">
        <f t="shared" ref="F28:H28" si="3">E28*(1+$D$10)</f>
        <v>680</v>
      </c>
      <c r="G28" s="75">
        <f t="shared" si="3"/>
        <v>680</v>
      </c>
      <c r="H28" s="74">
        <f t="shared" si="3"/>
        <v>680</v>
      </c>
    </row>
    <row r="29" spans="1:8" x14ac:dyDescent="0.25">
      <c r="B29" s="55" t="s">
        <v>127</v>
      </c>
      <c r="C29" s="56"/>
      <c r="D29" s="118">
        <f>D28*D8</f>
        <v>2788000</v>
      </c>
      <c r="E29" s="118">
        <f>E28*E8</f>
        <v>3400000</v>
      </c>
      <c r="F29" s="118">
        <f>F28*F8</f>
        <v>3808000</v>
      </c>
      <c r="G29" s="118">
        <f>G28*G8</f>
        <v>3060000</v>
      </c>
      <c r="H29" s="112">
        <f>H28*H8</f>
        <v>0</v>
      </c>
    </row>
    <row r="30" spans="1:8" x14ac:dyDescent="0.25">
      <c r="B30" s="55" t="s">
        <v>128</v>
      </c>
      <c r="C30" s="56"/>
      <c r="D30" s="75">
        <f>D13</f>
        <v>102</v>
      </c>
      <c r="E30" s="75">
        <f>D30*(1+$D$14)</f>
        <v>102</v>
      </c>
      <c r="F30" s="75">
        <f t="shared" ref="F30:H30" si="4">E30*(1+$D$14)</f>
        <v>102</v>
      </c>
      <c r="G30" s="75">
        <f t="shared" si="4"/>
        <v>102</v>
      </c>
      <c r="H30" s="74">
        <f t="shared" si="4"/>
        <v>102</v>
      </c>
    </row>
    <row r="31" spans="1:8" x14ac:dyDescent="0.25">
      <c r="B31" s="60" t="s">
        <v>129</v>
      </c>
      <c r="C31" s="61"/>
      <c r="D31" s="119">
        <f>D30*D8</f>
        <v>418200</v>
      </c>
      <c r="E31" s="119">
        <f>E30*E8</f>
        <v>510000</v>
      </c>
      <c r="F31" s="119">
        <f>F30*F8</f>
        <v>571200</v>
      </c>
      <c r="G31" s="119">
        <f>G30*G8</f>
        <v>459000</v>
      </c>
      <c r="H31" s="120">
        <f>H30*H8</f>
        <v>0</v>
      </c>
    </row>
    <row r="33" spans="1:11" ht="31.5" customHeight="1" x14ac:dyDescent="0.25">
      <c r="A33" s="198" t="s">
        <v>132</v>
      </c>
      <c r="B33" s="198"/>
      <c r="C33" s="198"/>
      <c r="D33" s="198"/>
      <c r="E33" s="198"/>
      <c r="F33" s="198"/>
      <c r="G33" s="198"/>
      <c r="H33" s="198"/>
      <c r="I33" s="198"/>
      <c r="J33" s="198"/>
      <c r="K33" s="198"/>
    </row>
    <row r="35" spans="1:11" s="19" customFormat="1" x14ac:dyDescent="0.25">
      <c r="B35" s="52" t="s">
        <v>20</v>
      </c>
      <c r="C35" s="53"/>
      <c r="D35" s="53"/>
      <c r="E35" s="53"/>
      <c r="F35" s="53"/>
      <c r="G35" s="53"/>
      <c r="H35" s="121"/>
    </row>
    <row r="36" spans="1:11" x14ac:dyDescent="0.25">
      <c r="B36" s="55" t="s">
        <v>131</v>
      </c>
      <c r="C36" s="56"/>
      <c r="D36" s="70">
        <f>D15</f>
        <v>128000</v>
      </c>
      <c r="E36" s="70">
        <f>D37</f>
        <v>0</v>
      </c>
      <c r="F36" s="70">
        <f t="shared" ref="F36:H36" si="5">E37</f>
        <v>0</v>
      </c>
      <c r="G36" s="70">
        <f t="shared" si="5"/>
        <v>0</v>
      </c>
      <c r="H36" s="59">
        <f t="shared" si="5"/>
        <v>0</v>
      </c>
    </row>
    <row r="37" spans="1:11" x14ac:dyDescent="0.25">
      <c r="B37" s="55" t="s">
        <v>130</v>
      </c>
      <c r="C37" s="56"/>
      <c r="D37" s="51">
        <f>D29*$D$16</f>
        <v>0</v>
      </c>
      <c r="E37" s="51">
        <f>E29*$D$16</f>
        <v>0</v>
      </c>
      <c r="F37" s="51">
        <f>F29*$D$16</f>
        <v>0</v>
      </c>
      <c r="G37" s="51">
        <f>G29*$D$16</f>
        <v>0</v>
      </c>
      <c r="H37" s="58">
        <v>0</v>
      </c>
    </row>
    <row r="38" spans="1:11" x14ac:dyDescent="0.25">
      <c r="B38" s="60" t="s">
        <v>33</v>
      </c>
      <c r="C38" s="61"/>
      <c r="D38" s="72">
        <f>D36-D37</f>
        <v>128000</v>
      </c>
      <c r="E38" s="72">
        <f t="shared" ref="E38:H38" si="6">E36-E37</f>
        <v>0</v>
      </c>
      <c r="F38" s="72">
        <f t="shared" si="6"/>
        <v>0</v>
      </c>
      <c r="G38" s="72">
        <f t="shared" si="6"/>
        <v>0</v>
      </c>
      <c r="H38" s="62">
        <f t="shared" si="6"/>
        <v>0</v>
      </c>
    </row>
    <row r="40" spans="1:11" s="19" customFormat="1" x14ac:dyDescent="0.25">
      <c r="A40" s="198" t="s">
        <v>136</v>
      </c>
      <c r="B40" s="198"/>
      <c r="C40" s="198"/>
      <c r="D40" s="198"/>
      <c r="E40" s="198"/>
      <c r="F40" s="198"/>
      <c r="G40" s="198"/>
      <c r="H40" s="198"/>
      <c r="I40" s="198"/>
      <c r="J40" s="198"/>
      <c r="K40" s="198"/>
    </row>
    <row r="41" spans="1:11" s="19" customFormat="1" x14ac:dyDescent="0.25"/>
    <row r="42" spans="1:11" s="19" customFormat="1" x14ac:dyDescent="0.25">
      <c r="B42" s="52" t="s">
        <v>45</v>
      </c>
      <c r="C42" s="53"/>
      <c r="D42" s="54">
        <f>D20</f>
        <v>415000</v>
      </c>
    </row>
    <row r="43" spans="1:11" s="19" customFormat="1" x14ac:dyDescent="0.25">
      <c r="B43" s="55" t="s">
        <v>137</v>
      </c>
      <c r="C43" s="56"/>
      <c r="D43" s="58">
        <f>(D20-H27)*D12</f>
        <v>166000</v>
      </c>
    </row>
    <row r="44" spans="1:11" s="19" customFormat="1" x14ac:dyDescent="0.25">
      <c r="B44" s="60" t="s">
        <v>138</v>
      </c>
      <c r="C44" s="61"/>
      <c r="D44" s="62">
        <f>D42-D43</f>
        <v>249000</v>
      </c>
    </row>
    <row r="45" spans="1:11" s="19" customFormat="1" x14ac:dyDescent="0.25"/>
    <row r="46" spans="1:11" s="19" customFormat="1" x14ac:dyDescent="0.25">
      <c r="A46" s="198" t="s">
        <v>134</v>
      </c>
      <c r="B46" s="198"/>
      <c r="C46" s="198"/>
      <c r="D46" s="198"/>
      <c r="E46" s="198"/>
      <c r="F46" s="198"/>
      <c r="G46" s="198"/>
      <c r="H46" s="198"/>
      <c r="I46" s="198"/>
      <c r="J46" s="198"/>
      <c r="K46" s="198"/>
    </row>
    <row r="47" spans="1:11" s="19" customFormat="1" x14ac:dyDescent="0.25"/>
    <row r="48" spans="1:11" s="19" customFormat="1" x14ac:dyDescent="0.25">
      <c r="B48" s="52" t="s">
        <v>127</v>
      </c>
      <c r="C48" s="53"/>
      <c r="D48" s="122">
        <f>D29</f>
        <v>2788000</v>
      </c>
      <c r="E48" s="122">
        <f t="shared" ref="E48:H48" si="7">E29</f>
        <v>3400000</v>
      </c>
      <c r="F48" s="122">
        <f t="shared" si="7"/>
        <v>3808000</v>
      </c>
      <c r="G48" s="122">
        <f t="shared" si="7"/>
        <v>3060000</v>
      </c>
      <c r="H48" s="54">
        <f t="shared" si="7"/>
        <v>0</v>
      </c>
    </row>
    <row r="49" spans="1:11" s="19" customFormat="1" x14ac:dyDescent="0.25">
      <c r="B49" s="55" t="s">
        <v>129</v>
      </c>
      <c r="C49" s="56"/>
      <c r="D49" s="118">
        <f>D31</f>
        <v>418200</v>
      </c>
      <c r="E49" s="118">
        <f t="shared" ref="E49:H49" si="8">E31</f>
        <v>510000</v>
      </c>
      <c r="F49" s="118">
        <f t="shared" si="8"/>
        <v>571200</v>
      </c>
      <c r="G49" s="118">
        <f t="shared" si="8"/>
        <v>459000</v>
      </c>
      <c r="H49" s="112">
        <f t="shared" si="8"/>
        <v>0</v>
      </c>
    </row>
    <row r="50" spans="1:11" s="19" customFormat="1" x14ac:dyDescent="0.25">
      <c r="B50" s="55" t="s">
        <v>11</v>
      </c>
      <c r="C50" s="56"/>
      <c r="D50" s="51">
        <f>D25</f>
        <v>1266540</v>
      </c>
      <c r="E50" s="51">
        <f t="shared" ref="E50:H50" si="9">E25</f>
        <v>1689100</v>
      </c>
      <c r="F50" s="51">
        <f t="shared" si="9"/>
        <v>562780</v>
      </c>
      <c r="G50" s="51">
        <f t="shared" si="9"/>
        <v>281580</v>
      </c>
      <c r="H50" s="58">
        <f t="shared" si="9"/>
        <v>0</v>
      </c>
    </row>
    <row r="51" spans="1:11" s="19" customFormat="1" x14ac:dyDescent="0.25">
      <c r="B51" s="55" t="s">
        <v>133</v>
      </c>
      <c r="C51" s="56"/>
      <c r="D51" s="70">
        <f>D48-D49-D50</f>
        <v>1103260</v>
      </c>
      <c r="E51" s="70">
        <f t="shared" ref="E51:H51" si="10">E48-E49-E50</f>
        <v>1200900</v>
      </c>
      <c r="F51" s="70">
        <f t="shared" si="10"/>
        <v>2674020</v>
      </c>
      <c r="G51" s="70">
        <f t="shared" si="10"/>
        <v>2319420</v>
      </c>
      <c r="H51" s="59">
        <f t="shared" si="10"/>
        <v>0</v>
      </c>
    </row>
    <row r="52" spans="1:11" s="19" customFormat="1" x14ac:dyDescent="0.25">
      <c r="B52" s="55" t="str">
        <f>"Taxes at "&amp;D12*100&amp;" percent"</f>
        <v>Taxes at 40 percent</v>
      </c>
      <c r="C52" s="56"/>
      <c r="D52" s="118">
        <f>D51*$D$12</f>
        <v>441304</v>
      </c>
      <c r="E52" s="118">
        <f t="shared" ref="E52:H52" si="11">E51*$D$12</f>
        <v>480360</v>
      </c>
      <c r="F52" s="118">
        <f t="shared" si="11"/>
        <v>1069608</v>
      </c>
      <c r="G52" s="118">
        <f t="shared" si="11"/>
        <v>927768</v>
      </c>
      <c r="H52" s="112">
        <f t="shared" si="11"/>
        <v>0</v>
      </c>
    </row>
    <row r="53" spans="1:11" s="19" customFormat="1" ht="16.5" thickBot="1" x14ac:dyDescent="0.3">
      <c r="B53" s="55" t="s">
        <v>13</v>
      </c>
      <c r="C53" s="56"/>
      <c r="D53" s="63">
        <f>D51-D52</f>
        <v>661956</v>
      </c>
      <c r="E53" s="63">
        <f t="shared" ref="E53:H53" si="12">E51-E52</f>
        <v>720540</v>
      </c>
      <c r="F53" s="63">
        <f t="shared" si="12"/>
        <v>1604412</v>
      </c>
      <c r="G53" s="63">
        <f t="shared" si="12"/>
        <v>1391652</v>
      </c>
      <c r="H53" s="67">
        <f t="shared" si="12"/>
        <v>0</v>
      </c>
    </row>
    <row r="54" spans="1:11" s="19" customFormat="1" ht="16.5" thickTop="1" x14ac:dyDescent="0.25">
      <c r="B54" s="60"/>
      <c r="C54" s="61"/>
      <c r="D54" s="61"/>
      <c r="E54" s="61"/>
      <c r="F54" s="61"/>
      <c r="G54" s="61"/>
      <c r="H54" s="68"/>
    </row>
    <row r="56" spans="1:11" x14ac:dyDescent="0.25">
      <c r="A56" s="198" t="s">
        <v>135</v>
      </c>
      <c r="B56" s="198"/>
      <c r="C56" s="198"/>
      <c r="D56" s="198"/>
      <c r="E56" s="198"/>
      <c r="F56" s="198"/>
      <c r="G56" s="198"/>
      <c r="H56" s="198"/>
      <c r="I56" s="198"/>
      <c r="J56" s="198"/>
      <c r="K56" s="198"/>
    </row>
    <row r="58" spans="1:11" s="19" customFormat="1" x14ac:dyDescent="0.25">
      <c r="B58" s="52"/>
      <c r="C58" s="53"/>
      <c r="D58" s="113" t="s">
        <v>140</v>
      </c>
      <c r="E58" s="113" t="s">
        <v>91</v>
      </c>
      <c r="F58" s="113" t="s">
        <v>92</v>
      </c>
      <c r="G58" s="113" t="s">
        <v>93</v>
      </c>
      <c r="H58" s="113" t="s">
        <v>94</v>
      </c>
      <c r="I58" s="114" t="s">
        <v>95</v>
      </c>
    </row>
    <row r="59" spans="1:11" s="19" customFormat="1" x14ac:dyDescent="0.25">
      <c r="B59" s="55" t="s">
        <v>127</v>
      </c>
      <c r="C59" s="56"/>
      <c r="D59" s="56"/>
      <c r="E59" s="70">
        <f>D48</f>
        <v>2788000</v>
      </c>
      <c r="F59" s="70">
        <f t="shared" ref="F59:I59" si="13">E48</f>
        <v>3400000</v>
      </c>
      <c r="G59" s="70">
        <f t="shared" si="13"/>
        <v>3808000</v>
      </c>
      <c r="H59" s="70">
        <f t="shared" si="13"/>
        <v>3060000</v>
      </c>
      <c r="I59" s="59">
        <f t="shared" si="13"/>
        <v>0</v>
      </c>
    </row>
    <row r="60" spans="1:11" s="19" customFormat="1" x14ac:dyDescent="0.25">
      <c r="B60" s="55" t="s">
        <v>129</v>
      </c>
      <c r="C60" s="56"/>
      <c r="D60" s="56"/>
      <c r="E60" s="118">
        <f>D49</f>
        <v>418200</v>
      </c>
      <c r="F60" s="118">
        <f t="shared" ref="F60:I60" si="14">E49</f>
        <v>510000</v>
      </c>
      <c r="G60" s="118">
        <f t="shared" si="14"/>
        <v>571200</v>
      </c>
      <c r="H60" s="118">
        <f t="shared" si="14"/>
        <v>459000</v>
      </c>
      <c r="I60" s="112">
        <f t="shared" si="14"/>
        <v>0</v>
      </c>
    </row>
    <row r="61" spans="1:11" s="19" customFormat="1" x14ac:dyDescent="0.25">
      <c r="B61" s="55" t="s">
        <v>97</v>
      </c>
      <c r="C61" s="56"/>
      <c r="D61" s="56"/>
      <c r="E61" s="119">
        <f>D52</f>
        <v>441304</v>
      </c>
      <c r="F61" s="119">
        <f t="shared" ref="F61:I61" si="15">E52</f>
        <v>480360</v>
      </c>
      <c r="G61" s="119">
        <f t="shared" si="15"/>
        <v>1069608</v>
      </c>
      <c r="H61" s="119">
        <f t="shared" si="15"/>
        <v>927768</v>
      </c>
      <c r="I61" s="120">
        <f t="shared" si="15"/>
        <v>0</v>
      </c>
    </row>
    <row r="62" spans="1:11" s="19" customFormat="1" x14ac:dyDescent="0.25">
      <c r="B62" s="55" t="s">
        <v>139</v>
      </c>
      <c r="C62" s="56"/>
      <c r="D62" s="56"/>
      <c r="E62" s="70">
        <f>E59-E60-E61</f>
        <v>1928496</v>
      </c>
      <c r="F62" s="70">
        <f t="shared" ref="F62:I62" si="16">F59-F60-F61</f>
        <v>2409640</v>
      </c>
      <c r="G62" s="70">
        <f t="shared" si="16"/>
        <v>2167192</v>
      </c>
      <c r="H62" s="70">
        <f t="shared" si="16"/>
        <v>1673232</v>
      </c>
      <c r="I62" s="59">
        <f t="shared" si="16"/>
        <v>0</v>
      </c>
    </row>
    <row r="63" spans="1:11" s="19" customFormat="1" x14ac:dyDescent="0.25">
      <c r="B63" s="55" t="s">
        <v>141</v>
      </c>
      <c r="C63" s="56"/>
      <c r="D63" s="70">
        <f>-D18</f>
        <v>-3800000</v>
      </c>
      <c r="E63" s="66"/>
      <c r="F63" s="66"/>
      <c r="G63" s="66"/>
      <c r="H63" s="66"/>
      <c r="I63" s="57">
        <f>D44</f>
        <v>249000</v>
      </c>
    </row>
    <row r="64" spans="1:11" s="19" customFormat="1" x14ac:dyDescent="0.25">
      <c r="B64" s="55" t="s">
        <v>142</v>
      </c>
      <c r="C64" s="56"/>
      <c r="D64" s="66">
        <f>-D19</f>
        <v>-1630000</v>
      </c>
      <c r="E64" s="66"/>
      <c r="F64" s="66"/>
      <c r="G64" s="66"/>
      <c r="H64" s="66"/>
      <c r="I64" s="57">
        <f>D19</f>
        <v>1630000</v>
      </c>
    </row>
    <row r="65" spans="1:11" s="19" customFormat="1" x14ac:dyDescent="0.25">
      <c r="B65" s="55" t="s">
        <v>20</v>
      </c>
      <c r="C65" s="56"/>
      <c r="D65" s="66">
        <f>-D15</f>
        <v>-128000</v>
      </c>
      <c r="E65" s="66">
        <f>D38</f>
        <v>128000</v>
      </c>
      <c r="F65" s="66">
        <f t="shared" ref="F65:I65" si="17">E38</f>
        <v>0</v>
      </c>
      <c r="G65" s="66">
        <f t="shared" si="17"/>
        <v>0</v>
      </c>
      <c r="H65" s="66">
        <f t="shared" si="17"/>
        <v>0</v>
      </c>
      <c r="I65" s="57">
        <f t="shared" si="17"/>
        <v>0</v>
      </c>
    </row>
    <row r="66" spans="1:11" s="19" customFormat="1" ht="16.5" thickBot="1" x14ac:dyDescent="0.3">
      <c r="B66" s="55" t="s">
        <v>143</v>
      </c>
      <c r="C66" s="56"/>
      <c r="D66" s="63">
        <f>D62+D63+D64+D65</f>
        <v>-5558000</v>
      </c>
      <c r="E66" s="63">
        <f t="shared" ref="E66:I66" si="18">E62+E63+E64+E65</f>
        <v>2056496</v>
      </c>
      <c r="F66" s="63">
        <f t="shared" si="18"/>
        <v>2409640</v>
      </c>
      <c r="G66" s="63">
        <f t="shared" si="18"/>
        <v>2167192</v>
      </c>
      <c r="H66" s="63">
        <f t="shared" si="18"/>
        <v>1673232</v>
      </c>
      <c r="I66" s="67">
        <f t="shared" si="18"/>
        <v>1879000</v>
      </c>
    </row>
    <row r="67" spans="1:11" s="19" customFormat="1" ht="16.5" thickTop="1" x14ac:dyDescent="0.25">
      <c r="B67" s="55"/>
      <c r="C67" s="56"/>
      <c r="D67" s="56"/>
      <c r="E67" s="56"/>
      <c r="F67" s="56"/>
      <c r="G67" s="56"/>
      <c r="H67" s="56"/>
      <c r="I67" s="124"/>
    </row>
    <row r="68" spans="1:11" s="19" customFormat="1" x14ac:dyDescent="0.25">
      <c r="B68" s="55" t="s">
        <v>18</v>
      </c>
      <c r="C68" s="56"/>
      <c r="D68" s="56"/>
      <c r="E68" s="56"/>
      <c r="F68" s="56"/>
      <c r="G68" s="56"/>
      <c r="H68" s="56"/>
      <c r="I68" s="124"/>
    </row>
    <row r="69" spans="1:11" s="19" customFormat="1" x14ac:dyDescent="0.25">
      <c r="B69" s="125">
        <v>0.04</v>
      </c>
      <c r="C69" s="79">
        <f>NPV(B69,$E$66:$I$66)+$D$66</f>
        <v>3548560.1894427016</v>
      </c>
      <c r="D69" s="56"/>
      <c r="E69" s="56"/>
      <c r="F69" s="56"/>
      <c r="G69" s="56"/>
      <c r="H69" s="56"/>
      <c r="I69" s="124"/>
    </row>
    <row r="70" spans="1:11" s="19" customFormat="1" x14ac:dyDescent="0.25">
      <c r="B70" s="125">
        <v>0.13</v>
      </c>
      <c r="C70" s="79">
        <f t="shared" ref="C70:C73" si="19">NPV(B70,$E$66:$I$66)+$D$66</f>
        <v>1697052.7471089112</v>
      </c>
      <c r="D70" s="56"/>
      <c r="E70" s="56"/>
      <c r="F70" s="56"/>
      <c r="G70" s="56"/>
      <c r="H70" s="56"/>
      <c r="I70" s="124"/>
    </row>
    <row r="71" spans="1:11" s="19" customFormat="1" x14ac:dyDescent="0.25">
      <c r="B71" s="125">
        <v>0.15</v>
      </c>
      <c r="C71" s="79">
        <f t="shared" si="19"/>
        <v>1368126.2488217317</v>
      </c>
      <c r="D71" s="56"/>
      <c r="E71" s="56"/>
      <c r="F71" s="56"/>
      <c r="G71" s="56"/>
      <c r="H71" s="56"/>
      <c r="I71" s="124"/>
    </row>
    <row r="72" spans="1:11" s="19" customFormat="1" x14ac:dyDescent="0.25">
      <c r="B72" s="126">
        <f>IRR(D66:I66)</f>
        <v>0.25362781292553072</v>
      </c>
      <c r="C72" s="79">
        <f t="shared" si="19"/>
        <v>0</v>
      </c>
      <c r="D72" s="56"/>
      <c r="E72" s="56"/>
      <c r="F72" s="56"/>
      <c r="G72" s="56"/>
      <c r="H72" s="56"/>
      <c r="I72" s="124"/>
    </row>
    <row r="73" spans="1:11" s="19" customFormat="1" x14ac:dyDescent="0.25">
      <c r="B73" s="127">
        <v>0.2</v>
      </c>
      <c r="C73" s="128">
        <f t="shared" si="19"/>
        <v>645319.06893004198</v>
      </c>
      <c r="D73" s="61"/>
      <c r="E73" s="61"/>
      <c r="F73" s="61"/>
      <c r="G73" s="61"/>
      <c r="H73" s="61"/>
      <c r="I73" s="68"/>
    </row>
    <row r="74" spans="1:11" s="19" customFormat="1" x14ac:dyDescent="0.25"/>
    <row r="75" spans="1:11" s="19" customFormat="1" x14ac:dyDescent="0.25"/>
    <row r="76" spans="1:11" s="15" customFormat="1" x14ac:dyDescent="0.25">
      <c r="A76" s="197" t="s">
        <v>144</v>
      </c>
      <c r="B76" s="197"/>
      <c r="C76" s="197"/>
      <c r="D76" s="197"/>
      <c r="E76" s="197"/>
      <c r="F76" s="197"/>
      <c r="G76" s="197"/>
      <c r="H76" s="197"/>
      <c r="I76" s="197"/>
      <c r="J76" s="197"/>
    </row>
    <row r="77" spans="1:11" s="15" customFormat="1" x14ac:dyDescent="0.25"/>
    <row r="78" spans="1:11" s="15" customFormat="1" ht="63" customHeight="1" x14ac:dyDescent="0.25">
      <c r="A78" s="198" t="s">
        <v>216</v>
      </c>
      <c r="B78" s="198"/>
      <c r="C78" s="198"/>
      <c r="D78" s="198"/>
      <c r="E78" s="198"/>
      <c r="F78" s="198"/>
      <c r="G78" s="198"/>
      <c r="H78" s="198"/>
      <c r="I78" s="198"/>
      <c r="J78" s="198"/>
      <c r="K78" s="198"/>
    </row>
    <row r="79" spans="1:11" s="15" customFormat="1" x14ac:dyDescent="0.25"/>
    <row r="80" spans="1:11" s="15" customFormat="1" x14ac:dyDescent="0.25">
      <c r="C80" s="52"/>
      <c r="D80" s="199" t="s">
        <v>80</v>
      </c>
      <c r="E80" s="199"/>
      <c r="F80" s="199"/>
      <c r="G80" s="199"/>
      <c r="H80" s="199"/>
      <c r="I80" s="200"/>
    </row>
    <row r="81" spans="3:9" s="15" customFormat="1" x14ac:dyDescent="0.25">
      <c r="C81" s="98" t="s">
        <v>14</v>
      </c>
      <c r="D81" s="99">
        <v>3</v>
      </c>
      <c r="E81" s="99">
        <v>5</v>
      </c>
      <c r="F81" s="99">
        <v>7</v>
      </c>
      <c r="G81" s="99">
        <v>10</v>
      </c>
      <c r="H81" s="99">
        <v>15</v>
      </c>
      <c r="I81" s="100">
        <v>20</v>
      </c>
    </row>
    <row r="82" spans="3:9" s="15" customFormat="1" x14ac:dyDescent="0.25">
      <c r="C82" s="101">
        <v>1</v>
      </c>
      <c r="D82" s="102">
        <f>VDB(1,0,D$81,0,$C82-0.5,2)</f>
        <v>0.33333333333333331</v>
      </c>
      <c r="E82" s="102">
        <f>VDB(1,0,E$81,0,$C82-0.5,2)</f>
        <v>0.2</v>
      </c>
      <c r="F82" s="102">
        <f>VDB(1,0,F$81,0,$C82-0.5,2)</f>
        <v>0.14285714285714285</v>
      </c>
      <c r="G82" s="102">
        <f>VDB(1,0,G$81,0,$C82-0.5,2)</f>
        <v>0.1</v>
      </c>
      <c r="H82" s="102">
        <f>VDB(1,0,H$81,0,$C82-0.5,1.5)</f>
        <v>0.05</v>
      </c>
      <c r="I82" s="103">
        <f>VDB(1,0,I$81,0,$C82-0.5,1.5)</f>
        <v>3.7499999999999999E-2</v>
      </c>
    </row>
    <row r="83" spans="3:9" s="15" customFormat="1" x14ac:dyDescent="0.25">
      <c r="C83" s="101">
        <v>2</v>
      </c>
      <c r="D83" s="102">
        <f>VDB(1,0,D$81,$C82-0.5,MIN($C83-0.5,D$81))</f>
        <v>0.44444444444444448</v>
      </c>
      <c r="E83" s="102">
        <f t="shared" ref="E83:G87" si="20">VDB(1,0,E$81,$C82-0.5,MIN($C83-0.5,E$81),2)</f>
        <v>0.32000000000000006</v>
      </c>
      <c r="F83" s="102">
        <f t="shared" si="20"/>
        <v>0.24489795918367346</v>
      </c>
      <c r="G83" s="102">
        <f t="shared" si="20"/>
        <v>0.18000000000000002</v>
      </c>
      <c r="H83" s="102">
        <f t="shared" ref="H83:H97" si="21">VDB(1,0,H$81,$C82-0.5,MIN($C83-0.5,H$81),1.5)</f>
        <v>9.5000000000000001E-2</v>
      </c>
      <c r="I83" s="103">
        <f t="shared" ref="I83:I97" si="22">VDB(1,0,I$81,$C82-0.5,MIN($C83-0.5,I$81),1.5)</f>
        <v>7.2187500000000002E-2</v>
      </c>
    </row>
    <row r="84" spans="3:9" s="15" customFormat="1" x14ac:dyDescent="0.25">
      <c r="C84" s="101">
        <v>3</v>
      </c>
      <c r="D84" s="102">
        <f>VDB(1,0,D$81,$C83-0.5,MIN($C84-0.5,D$81),2)</f>
        <v>0.14814814814814817</v>
      </c>
      <c r="E84" s="102">
        <f t="shared" si="20"/>
        <v>0.192</v>
      </c>
      <c r="F84" s="102">
        <f t="shared" si="20"/>
        <v>0.1749271137026239</v>
      </c>
      <c r="G84" s="102">
        <f t="shared" si="20"/>
        <v>0.14399999999999999</v>
      </c>
      <c r="H84" s="102">
        <f t="shared" si="21"/>
        <v>8.5500000000000007E-2</v>
      </c>
      <c r="I84" s="103">
        <f t="shared" si="22"/>
        <v>6.6773437500000005E-2</v>
      </c>
    </row>
    <row r="85" spans="3:9" s="15" customFormat="1" x14ac:dyDescent="0.25">
      <c r="C85" s="101">
        <v>4</v>
      </c>
      <c r="D85" s="102">
        <f>VDB(1,0,D$81,$C84-0.5,MIN($C85-0.5,D$81),2)</f>
        <v>7.4074074074074098E-2</v>
      </c>
      <c r="E85" s="102">
        <f t="shared" si="20"/>
        <v>0.1152</v>
      </c>
      <c r="F85" s="102">
        <f t="shared" si="20"/>
        <v>0.12494793835901707</v>
      </c>
      <c r="G85" s="102">
        <f t="shared" si="20"/>
        <v>0.1152</v>
      </c>
      <c r="H85" s="102">
        <f t="shared" si="21"/>
        <v>7.6950000000000005E-2</v>
      </c>
      <c r="I85" s="103">
        <f t="shared" si="22"/>
        <v>6.1765429687500005E-2</v>
      </c>
    </row>
    <row r="86" spans="3:9" s="19" customFormat="1" x14ac:dyDescent="0.25">
      <c r="C86" s="101">
        <v>5</v>
      </c>
      <c r="D86" s="102"/>
      <c r="E86" s="102">
        <f t="shared" si="20"/>
        <v>0.11519999999999998</v>
      </c>
      <c r="F86" s="102">
        <f t="shared" si="20"/>
        <v>8.9248527399297908E-2</v>
      </c>
      <c r="G86" s="102">
        <f t="shared" si="20"/>
        <v>9.2160000000000006E-2</v>
      </c>
      <c r="H86" s="102">
        <f t="shared" si="21"/>
        <v>6.9254999999999997E-2</v>
      </c>
      <c r="I86" s="103">
        <f t="shared" si="22"/>
        <v>5.7133022460937502E-2</v>
      </c>
    </row>
    <row r="87" spans="3:9" s="19" customFormat="1" x14ac:dyDescent="0.25">
      <c r="C87" s="101">
        <v>6</v>
      </c>
      <c r="D87" s="102"/>
      <c r="E87" s="102">
        <f t="shared" si="20"/>
        <v>5.7599999999999991E-2</v>
      </c>
      <c r="F87" s="102">
        <f t="shared" si="20"/>
        <v>8.9248527399297922E-2</v>
      </c>
      <c r="G87" s="102">
        <f t="shared" si="20"/>
        <v>7.3728000000000002E-2</v>
      </c>
      <c r="H87" s="102">
        <f t="shared" si="21"/>
        <v>6.232950000000001E-2</v>
      </c>
      <c r="I87" s="103">
        <f t="shared" si="22"/>
        <v>5.2848045776367189E-2</v>
      </c>
    </row>
    <row r="88" spans="3:9" s="19" customFormat="1" x14ac:dyDescent="0.25">
      <c r="C88" s="101">
        <v>7</v>
      </c>
      <c r="D88" s="102"/>
      <c r="E88" s="102"/>
      <c r="F88" s="102">
        <f>VDB(1,0,F$81,$C87-0.5,MIN($C88-0.5,F$81),2)</f>
        <v>8.9248527399297922E-2</v>
      </c>
      <c r="G88" s="102">
        <f>VDB(1,0,G$81,$C87-0.5,MIN($C88-0.5,G$81),2)</f>
        <v>6.5535999999999983E-2</v>
      </c>
      <c r="H88" s="102">
        <f t="shared" si="21"/>
        <v>5.9048999999999997E-2</v>
      </c>
      <c r="I88" s="103">
        <f t="shared" si="22"/>
        <v>4.8884442343139656E-2</v>
      </c>
    </row>
    <row r="89" spans="3:9" s="19" customFormat="1" x14ac:dyDescent="0.25">
      <c r="C89" s="101">
        <v>8</v>
      </c>
      <c r="D89" s="104"/>
      <c r="E89" s="104"/>
      <c r="F89" s="102">
        <f>VDB(1,0,F$81,$C88-0.5,MIN($C89-0.5,F$81),2)</f>
        <v>4.4624263699648961E-2</v>
      </c>
      <c r="G89" s="102">
        <f>VDB(1,0,G$81,$C88-0.5,MIN($C89-0.5,G$81),2)</f>
        <v>6.5535999999999983E-2</v>
      </c>
      <c r="H89" s="102">
        <f t="shared" si="21"/>
        <v>5.9048999999999997E-2</v>
      </c>
      <c r="I89" s="103">
        <f t="shared" si="22"/>
        <v>4.5218109167404187E-2</v>
      </c>
    </row>
    <row r="90" spans="3:9" s="19" customFormat="1" x14ac:dyDescent="0.25">
      <c r="C90" s="101">
        <v>9</v>
      </c>
      <c r="D90" s="104"/>
      <c r="E90" s="104"/>
      <c r="F90" s="104"/>
      <c r="G90" s="102">
        <f>VDB(1,0,G$81,$C89-0.5,MIN($C90-0.5,G$81),2)</f>
        <v>6.5535999999999983E-2</v>
      </c>
      <c r="H90" s="102">
        <f t="shared" si="21"/>
        <v>5.9048999999999997E-2</v>
      </c>
      <c r="I90" s="103">
        <f t="shared" si="22"/>
        <v>4.461520104517213E-2</v>
      </c>
    </row>
    <row r="91" spans="3:9" s="19" customFormat="1" x14ac:dyDescent="0.25">
      <c r="C91" s="101">
        <v>10</v>
      </c>
      <c r="D91" s="104"/>
      <c r="E91" s="104"/>
      <c r="F91" s="104"/>
      <c r="G91" s="102">
        <f>VDB(1,0,G$81,$C90-0.5,MIN($C91-0.5,G$81),2)</f>
        <v>6.5535999999999983E-2</v>
      </c>
      <c r="H91" s="102">
        <f t="shared" si="21"/>
        <v>5.9048999999999997E-2</v>
      </c>
      <c r="I91" s="103">
        <f t="shared" si="22"/>
        <v>4.461520104517213E-2</v>
      </c>
    </row>
    <row r="92" spans="3:9" s="19" customFormat="1" x14ac:dyDescent="0.25">
      <c r="C92" s="101">
        <v>11</v>
      </c>
      <c r="D92" s="104"/>
      <c r="E92" s="104"/>
      <c r="F92" s="104"/>
      <c r="G92" s="102">
        <f>VDB(1,0,G$81,$C91-0.5,MIN($C92-0.5,G$81),2)</f>
        <v>3.2767999999999992E-2</v>
      </c>
      <c r="H92" s="102">
        <f t="shared" si="21"/>
        <v>5.9048999999999997E-2</v>
      </c>
      <c r="I92" s="103">
        <f t="shared" si="22"/>
        <v>4.461520104517213E-2</v>
      </c>
    </row>
    <row r="93" spans="3:9" s="19" customFormat="1" x14ac:dyDescent="0.25">
      <c r="C93" s="101">
        <v>12</v>
      </c>
      <c r="D93" s="104"/>
      <c r="E93" s="104"/>
      <c r="F93" s="104"/>
      <c r="G93" s="102"/>
      <c r="H93" s="102">
        <f t="shared" si="21"/>
        <v>5.9048999999999997E-2</v>
      </c>
      <c r="I93" s="103">
        <f t="shared" si="22"/>
        <v>4.461520104517213E-2</v>
      </c>
    </row>
    <row r="94" spans="3:9" s="19" customFormat="1" x14ac:dyDescent="0.25">
      <c r="C94" s="101">
        <v>13</v>
      </c>
      <c r="D94" s="104"/>
      <c r="E94" s="104"/>
      <c r="F94" s="104"/>
      <c r="G94" s="102"/>
      <c r="H94" s="102">
        <f t="shared" si="21"/>
        <v>5.9048999999999997E-2</v>
      </c>
      <c r="I94" s="103">
        <f t="shared" si="22"/>
        <v>4.461520104517213E-2</v>
      </c>
    </row>
    <row r="95" spans="3:9" s="19" customFormat="1" x14ac:dyDescent="0.25">
      <c r="C95" s="101">
        <v>14</v>
      </c>
      <c r="D95" s="104"/>
      <c r="E95" s="104"/>
      <c r="F95" s="104"/>
      <c r="G95" s="102"/>
      <c r="H95" s="102">
        <f t="shared" si="21"/>
        <v>5.9048999999999997E-2</v>
      </c>
      <c r="I95" s="103">
        <f t="shared" si="22"/>
        <v>4.461520104517213E-2</v>
      </c>
    </row>
    <row r="96" spans="3:9" s="19" customFormat="1" x14ac:dyDescent="0.25">
      <c r="C96" s="101">
        <v>15</v>
      </c>
      <c r="D96" s="104"/>
      <c r="E96" s="104"/>
      <c r="F96" s="104"/>
      <c r="G96" s="102"/>
      <c r="H96" s="102">
        <f t="shared" si="21"/>
        <v>5.9048999999999997E-2</v>
      </c>
      <c r="I96" s="103">
        <f t="shared" si="22"/>
        <v>4.461520104517213E-2</v>
      </c>
    </row>
    <row r="97" spans="1:14" s="19" customFormat="1" x14ac:dyDescent="0.25">
      <c r="C97" s="101">
        <v>16</v>
      </c>
      <c r="D97" s="104"/>
      <c r="E97" s="104"/>
      <c r="F97" s="104"/>
      <c r="G97" s="102"/>
      <c r="H97" s="102">
        <f t="shared" si="21"/>
        <v>2.9524499999999999E-2</v>
      </c>
      <c r="I97" s="103">
        <f t="shared" si="22"/>
        <v>4.461520104517213E-2</v>
      </c>
    </row>
    <row r="98" spans="1:14" s="19" customFormat="1" x14ac:dyDescent="0.25">
      <c r="C98" s="101">
        <v>17</v>
      </c>
      <c r="D98" s="104"/>
      <c r="E98" s="104"/>
      <c r="F98" s="104"/>
      <c r="G98" s="102"/>
      <c r="H98" s="102"/>
      <c r="I98" s="103">
        <f>VDB(1,0,I$81,$C97-0.5,MIN($C98-0.5,I$81),1.5)</f>
        <v>4.461520104517213E-2</v>
      </c>
    </row>
    <row r="99" spans="1:14" s="19" customFormat="1" x14ac:dyDescent="0.25">
      <c r="C99" s="101">
        <v>18</v>
      </c>
      <c r="D99" s="104"/>
      <c r="E99" s="104"/>
      <c r="F99" s="104"/>
      <c r="G99" s="102"/>
      <c r="H99" s="102"/>
      <c r="I99" s="103">
        <f>VDB(1,0,I$81,$C98-0.5,MIN($C99-0.5,I$81),1.5)</f>
        <v>4.461520104517213E-2</v>
      </c>
    </row>
    <row r="100" spans="1:14" s="19" customFormat="1" x14ac:dyDescent="0.25">
      <c r="C100" s="101">
        <v>19</v>
      </c>
      <c r="D100" s="104"/>
      <c r="E100" s="104"/>
      <c r="F100" s="104"/>
      <c r="G100" s="102"/>
      <c r="H100" s="102"/>
      <c r="I100" s="103">
        <f>VDB(1,0,I$81,$C99-0.5,MIN($C100-0.5,I$81),1.5)</f>
        <v>4.461520104517213E-2</v>
      </c>
    </row>
    <row r="101" spans="1:14" s="19" customFormat="1" x14ac:dyDescent="0.25">
      <c r="C101" s="101">
        <v>20</v>
      </c>
      <c r="D101" s="104"/>
      <c r="E101" s="104"/>
      <c r="F101" s="104"/>
      <c r="G101" s="102"/>
      <c r="H101" s="102"/>
      <c r="I101" s="103">
        <f>VDB(1,0,I$81,$C100-0.5,MIN($C101-0.5,I$81),1.5)</f>
        <v>4.461520104517213E-2</v>
      </c>
    </row>
    <row r="102" spans="1:14" s="19" customFormat="1" x14ac:dyDescent="0.25">
      <c r="C102" s="105">
        <v>21</v>
      </c>
      <c r="D102" s="106"/>
      <c r="E102" s="106"/>
      <c r="F102" s="106"/>
      <c r="G102" s="107"/>
      <c r="H102" s="107"/>
      <c r="I102" s="108">
        <f>VDB(1,0,I$81,$C101-0.5,MIN($C102-0.5,I$81),1.5)</f>
        <v>2.2307600522586065E-2</v>
      </c>
    </row>
    <row r="103" spans="1:14" s="19" customFormat="1" x14ac:dyDescent="0.25"/>
    <row r="104" spans="1:14" s="33" customFormat="1" x14ac:dyDescent="0.25">
      <c r="A104" s="30" t="s">
        <v>31</v>
      </c>
      <c r="B104" s="31"/>
      <c r="C104" s="31"/>
      <c r="D104" s="31"/>
      <c r="E104" s="32"/>
      <c r="F104" s="31"/>
      <c r="G104" s="31"/>
      <c r="H104" s="31"/>
      <c r="I104" s="31"/>
      <c r="J104" s="31"/>
      <c r="K104" s="31"/>
      <c r="L104" s="31"/>
      <c r="M104" s="31"/>
      <c r="N104" s="31"/>
    </row>
    <row r="105" spans="1:14" s="33" customFormat="1" ht="31.5" customHeight="1" x14ac:dyDescent="0.25">
      <c r="A105" s="195" t="s">
        <v>101</v>
      </c>
      <c r="B105" s="195"/>
      <c r="C105" s="195"/>
      <c r="D105" s="195"/>
      <c r="E105" s="195"/>
      <c r="F105" s="195"/>
      <c r="G105" s="195"/>
      <c r="H105" s="195"/>
      <c r="I105" s="195"/>
      <c r="J105" s="195"/>
      <c r="K105" s="195"/>
      <c r="L105" s="31"/>
      <c r="M105" s="31"/>
      <c r="N105" s="31"/>
    </row>
    <row r="106" spans="1:14" s="33" customFormat="1" x14ac:dyDescent="0.25"/>
    <row r="107" spans="1:14" s="33" customFormat="1" x14ac:dyDescent="0.25">
      <c r="I107" s="129"/>
    </row>
    <row r="108" spans="1:14" s="33" customFormat="1" x14ac:dyDescent="0.25"/>
    <row r="109" spans="1:14" s="33" customFormat="1" x14ac:dyDescent="0.25"/>
    <row r="110" spans="1:14" s="33" customFormat="1" x14ac:dyDescent="0.25"/>
    <row r="111" spans="1:14" s="33" customFormat="1" x14ac:dyDescent="0.25"/>
    <row r="112" spans="1:14" s="33" customFormat="1" x14ac:dyDescent="0.25"/>
    <row r="113" spans="1:11" s="33" customFormat="1" x14ac:dyDescent="0.25"/>
    <row r="114" spans="1:11" s="33" customFormat="1" x14ac:dyDescent="0.25"/>
    <row r="115" spans="1:11" s="33" customFormat="1" x14ac:dyDescent="0.25"/>
    <row r="116" spans="1:11" s="33" customFormat="1" x14ac:dyDescent="0.25"/>
    <row r="117" spans="1:11" s="33" customFormat="1" x14ac:dyDescent="0.25"/>
    <row r="118" spans="1:11" s="33" customFormat="1" x14ac:dyDescent="0.25"/>
    <row r="119" spans="1:11" s="33" customFormat="1" x14ac:dyDescent="0.25"/>
    <row r="120" spans="1:11" s="33" customFormat="1" x14ac:dyDescent="0.25"/>
    <row r="121" spans="1:11" s="33" customFormat="1" x14ac:dyDescent="0.25"/>
    <row r="122" spans="1:11" s="33" customFormat="1" x14ac:dyDescent="0.25"/>
    <row r="123" spans="1:11" s="33" customFormat="1" x14ac:dyDescent="0.25"/>
    <row r="124" spans="1:11" s="33" customFormat="1" x14ac:dyDescent="0.25"/>
    <row r="125" spans="1:11" s="33" customFormat="1" ht="126" customHeight="1" x14ac:dyDescent="0.25">
      <c r="A125" s="196" t="s">
        <v>108</v>
      </c>
      <c r="B125" s="196"/>
      <c r="C125" s="196"/>
      <c r="D125" s="196"/>
      <c r="E125" s="196"/>
      <c r="F125" s="196"/>
      <c r="G125" s="196"/>
      <c r="H125" s="196"/>
      <c r="I125" s="196"/>
      <c r="J125" s="196"/>
      <c r="K125" s="196"/>
    </row>
    <row r="126" spans="1:11" s="33" customFormat="1" x14ac:dyDescent="0.25"/>
    <row r="127" spans="1:11" s="33" customFormat="1" ht="63" customHeight="1" x14ac:dyDescent="0.25">
      <c r="A127" s="196" t="s">
        <v>217</v>
      </c>
      <c r="B127" s="196"/>
      <c r="C127" s="196"/>
      <c r="D127" s="196"/>
      <c r="E127" s="196"/>
      <c r="F127" s="196"/>
      <c r="G127" s="196"/>
      <c r="H127" s="196"/>
      <c r="I127" s="196"/>
      <c r="J127" s="196"/>
      <c r="K127" s="196"/>
    </row>
    <row r="128" spans="1:11" s="33" customFormat="1" x14ac:dyDescent="0.25"/>
  </sheetData>
  <mergeCells count="11">
    <mergeCell ref="A105:K105"/>
    <mergeCell ref="A125:K125"/>
    <mergeCell ref="A127:K127"/>
    <mergeCell ref="A76:J76"/>
    <mergeCell ref="A5:K5"/>
    <mergeCell ref="A33:K33"/>
    <mergeCell ref="A46:K46"/>
    <mergeCell ref="A56:K56"/>
    <mergeCell ref="A40:K40"/>
    <mergeCell ref="A78:K78"/>
    <mergeCell ref="D80:I8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zoomScaleNormal="100" workbookViewId="0"/>
  </sheetViews>
  <sheetFormatPr defaultRowHeight="15.75" x14ac:dyDescent="0.25"/>
  <cols>
    <col min="1" max="1" width="4.7109375" style="19" customWidth="1"/>
    <col min="2" max="2" width="16.7109375" style="19" customWidth="1"/>
    <col min="3" max="26" width="14.7109375" style="19" customWidth="1"/>
    <col min="27" max="36" width="10.7109375" style="19" customWidth="1"/>
    <col min="37" max="16384" width="9.140625" style="19"/>
  </cols>
  <sheetData>
    <row r="1" spans="1:11" ht="16.5" thickBot="1" x14ac:dyDescent="0.3"/>
    <row r="2" spans="1:11" ht="21" x14ac:dyDescent="0.35">
      <c r="B2" s="87" t="s">
        <v>145</v>
      </c>
      <c r="C2" s="88"/>
      <c r="D2" s="90"/>
    </row>
    <row r="3" spans="1:11" s="2" customFormat="1" ht="21.75" thickBot="1" x14ac:dyDescent="0.4">
      <c r="B3" s="91" t="s">
        <v>146</v>
      </c>
      <c r="C3" s="92"/>
      <c r="D3" s="93"/>
    </row>
    <row r="5" spans="1:11" ht="31.5" customHeight="1" x14ac:dyDescent="0.25">
      <c r="A5" s="198" t="s">
        <v>147</v>
      </c>
      <c r="B5" s="198"/>
      <c r="C5" s="198"/>
      <c r="D5" s="198"/>
      <c r="E5" s="198"/>
      <c r="F5" s="198"/>
      <c r="G5" s="198"/>
      <c r="H5" s="198"/>
      <c r="I5" s="198"/>
      <c r="J5" s="198"/>
      <c r="K5" s="198"/>
    </row>
    <row r="7" spans="1:11" x14ac:dyDescent="0.25">
      <c r="A7" s="197" t="s">
        <v>148</v>
      </c>
      <c r="B7" s="197"/>
      <c r="C7" s="197"/>
      <c r="D7" s="197"/>
    </row>
    <row r="8" spans="1:11" ht="31.5" customHeight="1" x14ac:dyDescent="0.25">
      <c r="A8" s="198" t="s">
        <v>218</v>
      </c>
      <c r="B8" s="198"/>
      <c r="C8" s="198"/>
      <c r="D8" s="198"/>
      <c r="E8" s="198"/>
      <c r="F8" s="198"/>
      <c r="G8" s="198"/>
      <c r="H8" s="198"/>
      <c r="I8" s="198"/>
      <c r="J8" s="198"/>
      <c r="K8" s="198"/>
    </row>
    <row r="10" spans="1:11" x14ac:dyDescent="0.25">
      <c r="D10" s="115" t="s">
        <v>140</v>
      </c>
      <c r="E10" s="115" t="s">
        <v>91</v>
      </c>
      <c r="F10" s="115" t="s">
        <v>92</v>
      </c>
    </row>
    <row r="11" spans="1:11" x14ac:dyDescent="0.25">
      <c r="B11" s="19" t="s">
        <v>149</v>
      </c>
      <c r="D11" s="130">
        <v>1210</v>
      </c>
      <c r="E11" s="130"/>
      <c r="F11" s="130"/>
    </row>
    <row r="12" spans="1:11" x14ac:dyDescent="0.25">
      <c r="B12" s="19" t="s">
        <v>150</v>
      </c>
      <c r="D12" s="130"/>
      <c r="E12" s="130">
        <v>1900</v>
      </c>
      <c r="F12" s="130">
        <v>2000</v>
      </c>
    </row>
    <row r="13" spans="1:11" x14ac:dyDescent="0.25">
      <c r="B13" s="19" t="s">
        <v>151</v>
      </c>
      <c r="D13" s="131"/>
      <c r="E13" s="132">
        <v>950</v>
      </c>
      <c r="F13" s="132">
        <v>1000</v>
      </c>
    </row>
    <row r="14" spans="1:11" x14ac:dyDescent="0.25">
      <c r="B14" s="19" t="s">
        <v>152</v>
      </c>
      <c r="E14" s="117">
        <f>SLN(D11,0,2)</f>
        <v>605</v>
      </c>
      <c r="F14" s="117">
        <f>SLN(D11,0,2)</f>
        <v>605</v>
      </c>
    </row>
    <row r="16" spans="1:11" x14ac:dyDescent="0.25">
      <c r="B16" s="19" t="s">
        <v>115</v>
      </c>
      <c r="C16" s="133">
        <v>0.1</v>
      </c>
    </row>
    <row r="17" spans="1:14" x14ac:dyDescent="0.25">
      <c r="B17" s="19" t="s">
        <v>153</v>
      </c>
      <c r="C17" s="133">
        <v>0.155</v>
      </c>
    </row>
    <row r="18" spans="1:14" x14ac:dyDescent="0.25">
      <c r="B18" s="19" t="s">
        <v>154</v>
      </c>
      <c r="C18" s="123">
        <f>((1+C17)/(1+C16))-1</f>
        <v>5.0000000000000044E-2</v>
      </c>
    </row>
    <row r="19" spans="1:14" x14ac:dyDescent="0.25">
      <c r="B19" s="19" t="s">
        <v>8</v>
      </c>
      <c r="C19" s="133">
        <v>0.4</v>
      </c>
    </row>
    <row r="21" spans="1:14" s="33" customFormat="1" x14ac:dyDescent="0.25">
      <c r="A21" s="30" t="s">
        <v>31</v>
      </c>
      <c r="B21" s="31"/>
      <c r="C21" s="31"/>
      <c r="D21" s="31"/>
      <c r="E21" s="32"/>
      <c r="F21" s="31"/>
      <c r="G21" s="31"/>
      <c r="H21" s="31"/>
      <c r="I21" s="31"/>
      <c r="J21" s="31"/>
      <c r="K21" s="31"/>
      <c r="L21" s="31"/>
      <c r="M21" s="31"/>
      <c r="N21" s="31"/>
    </row>
    <row r="22" spans="1:14" s="33" customFormat="1" ht="31.5" customHeight="1" x14ac:dyDescent="0.25">
      <c r="A22" s="195" t="s">
        <v>107</v>
      </c>
      <c r="B22" s="195"/>
      <c r="C22" s="195"/>
      <c r="D22" s="195"/>
      <c r="E22" s="195"/>
      <c r="F22" s="195"/>
      <c r="G22" s="195"/>
      <c r="H22" s="195"/>
      <c r="I22" s="195"/>
      <c r="J22" s="195"/>
      <c r="K22" s="195"/>
      <c r="L22" s="31"/>
      <c r="M22" s="31"/>
      <c r="N22" s="31"/>
    </row>
    <row r="23" spans="1:14" s="33" customFormat="1" ht="15.75" customHeight="1" x14ac:dyDescent="0.25">
      <c r="A23" s="50"/>
      <c r="B23" s="50"/>
      <c r="C23" s="50"/>
      <c r="D23" s="50"/>
      <c r="E23" s="50"/>
      <c r="F23" s="50"/>
      <c r="G23" s="50"/>
      <c r="H23" s="50"/>
      <c r="I23" s="50"/>
      <c r="J23" s="50"/>
      <c r="K23" s="50"/>
      <c r="L23" s="31"/>
      <c r="M23" s="31"/>
      <c r="N23" s="31"/>
    </row>
    <row r="24" spans="1:14" s="33" customFormat="1" ht="15.75" customHeight="1" x14ac:dyDescent="0.25">
      <c r="A24" s="50"/>
      <c r="B24" s="50"/>
      <c r="C24" s="50"/>
      <c r="D24" s="50"/>
      <c r="E24" s="50"/>
      <c r="F24" s="50"/>
      <c r="G24" s="50"/>
      <c r="H24" s="50"/>
      <c r="I24" s="50"/>
      <c r="J24" s="50"/>
      <c r="K24" s="50"/>
      <c r="L24" s="31"/>
      <c r="M24" s="31"/>
      <c r="N24" s="31"/>
    </row>
    <row r="25" spans="1:14" s="33" customFormat="1" ht="15.75" customHeight="1" x14ac:dyDescent="0.25">
      <c r="A25" s="50"/>
      <c r="B25" s="50"/>
      <c r="C25" s="50"/>
      <c r="D25" s="50"/>
      <c r="E25" s="50"/>
      <c r="F25" s="50"/>
      <c r="G25" s="50"/>
      <c r="H25" s="50"/>
      <c r="I25" s="50"/>
      <c r="J25" s="50"/>
      <c r="K25" s="50"/>
      <c r="L25" s="31"/>
      <c r="M25" s="31"/>
      <c r="N25" s="31"/>
    </row>
    <row r="26" spans="1:14" s="33" customFormat="1" ht="15.75" customHeight="1" x14ac:dyDescent="0.25">
      <c r="A26" s="50"/>
      <c r="B26" s="50"/>
      <c r="C26" s="50"/>
      <c r="D26" s="50"/>
      <c r="E26" s="50"/>
      <c r="F26" s="50"/>
      <c r="G26" s="50"/>
      <c r="H26" s="50"/>
      <c r="I26" s="50"/>
      <c r="J26" s="50"/>
      <c r="K26" s="50"/>
      <c r="L26" s="31"/>
      <c r="M26" s="31"/>
      <c r="N26" s="31"/>
    </row>
    <row r="27" spans="1:14" s="33" customFormat="1" ht="15.75" customHeight="1" x14ac:dyDescent="0.25">
      <c r="A27" s="50"/>
      <c r="B27" s="50"/>
      <c r="C27" s="50"/>
      <c r="D27" s="50"/>
      <c r="E27" s="50"/>
      <c r="F27" s="50"/>
      <c r="G27" s="50"/>
      <c r="H27" s="50"/>
      <c r="I27" s="50"/>
      <c r="J27" s="50"/>
      <c r="K27" s="50"/>
      <c r="L27" s="31"/>
      <c r="M27" s="31"/>
      <c r="N27" s="31"/>
    </row>
    <row r="28" spans="1:14" s="33" customFormat="1" ht="15.75" customHeight="1" x14ac:dyDescent="0.25">
      <c r="A28" s="50"/>
      <c r="B28" s="50"/>
      <c r="C28" s="50"/>
      <c r="D28" s="50"/>
      <c r="E28" s="50"/>
      <c r="F28" s="50"/>
      <c r="G28" s="50"/>
      <c r="H28" s="50"/>
      <c r="I28" s="50"/>
      <c r="J28" s="50"/>
      <c r="K28" s="50"/>
      <c r="L28" s="31"/>
      <c r="M28" s="31"/>
      <c r="N28" s="31"/>
    </row>
    <row r="29" spans="1:14" s="33" customFormat="1" ht="15.75" customHeight="1" x14ac:dyDescent="0.25">
      <c r="A29" s="50"/>
      <c r="B29" s="50"/>
      <c r="C29" s="50"/>
      <c r="D29" s="50"/>
      <c r="E29" s="50"/>
      <c r="F29" s="50"/>
      <c r="G29" s="50"/>
      <c r="H29" s="50"/>
      <c r="I29" s="50"/>
      <c r="J29" s="50"/>
      <c r="K29" s="50"/>
      <c r="L29" s="31"/>
      <c r="M29" s="31"/>
      <c r="N29" s="31"/>
    </row>
    <row r="30" spans="1:14" s="33" customFormat="1" ht="15.75" customHeight="1" x14ac:dyDescent="0.25">
      <c r="A30" s="50"/>
      <c r="B30" s="50"/>
      <c r="C30" s="50"/>
      <c r="D30" s="50"/>
      <c r="E30" s="50"/>
      <c r="F30" s="50"/>
      <c r="G30" s="50"/>
      <c r="H30" s="50"/>
      <c r="I30" s="50"/>
      <c r="J30" s="50"/>
      <c r="K30" s="50"/>
      <c r="L30" s="31"/>
      <c r="M30" s="31"/>
      <c r="N30" s="31"/>
    </row>
    <row r="31" spans="1:14" s="33" customFormat="1" x14ac:dyDescent="0.25">
      <c r="D31" s="73"/>
    </row>
    <row r="32" spans="1:14" s="33" customFormat="1" x14ac:dyDescent="0.25">
      <c r="D32" s="73"/>
    </row>
    <row r="33" spans="1:11" s="33" customFormat="1" x14ac:dyDescent="0.25">
      <c r="D33" s="73"/>
    </row>
    <row r="34" spans="1:11" s="33" customFormat="1" x14ac:dyDescent="0.25">
      <c r="D34" s="73"/>
    </row>
    <row r="35" spans="1:11" s="33" customFormat="1" x14ac:dyDescent="0.25">
      <c r="D35" s="73"/>
    </row>
    <row r="36" spans="1:11" s="33" customFormat="1" x14ac:dyDescent="0.25">
      <c r="D36" s="73"/>
    </row>
    <row r="37" spans="1:11" s="33" customFormat="1" x14ac:dyDescent="0.25">
      <c r="D37" s="73"/>
    </row>
    <row r="38" spans="1:11" s="33" customFormat="1" x14ac:dyDescent="0.25">
      <c r="D38" s="73"/>
    </row>
    <row r="39" spans="1:11" s="33" customFormat="1" ht="31.5" customHeight="1" x14ac:dyDescent="0.25">
      <c r="A39" s="196" t="s">
        <v>106</v>
      </c>
      <c r="B39" s="196"/>
      <c r="C39" s="196"/>
      <c r="D39" s="196"/>
      <c r="E39" s="196"/>
      <c r="F39" s="196"/>
      <c r="G39" s="196"/>
      <c r="H39" s="196"/>
      <c r="I39" s="196"/>
      <c r="J39" s="196"/>
      <c r="K39" s="196"/>
    </row>
    <row r="40" spans="1:11" s="33" customFormat="1" x14ac:dyDescent="0.25">
      <c r="D40" s="73"/>
    </row>
    <row r="42" spans="1:11" x14ac:dyDescent="0.25">
      <c r="A42" s="198" t="s">
        <v>155</v>
      </c>
      <c r="B42" s="198"/>
      <c r="C42" s="198"/>
      <c r="D42" s="198"/>
      <c r="E42" s="198"/>
      <c r="F42" s="198"/>
      <c r="G42" s="198"/>
      <c r="H42" s="198"/>
      <c r="I42" s="198"/>
      <c r="J42" s="198"/>
      <c r="K42" s="198"/>
    </row>
    <row r="44" spans="1:11" x14ac:dyDescent="0.25">
      <c r="B44" s="201" t="s">
        <v>221</v>
      </c>
      <c r="C44" s="199"/>
      <c r="D44" s="199"/>
      <c r="E44" s="199"/>
      <c r="F44" s="200"/>
    </row>
    <row r="45" spans="1:11" x14ac:dyDescent="0.25">
      <c r="B45" s="55"/>
      <c r="C45" s="56"/>
      <c r="D45" s="135" t="s">
        <v>140</v>
      </c>
      <c r="E45" s="135" t="s">
        <v>91</v>
      </c>
      <c r="F45" s="136" t="s">
        <v>92</v>
      </c>
    </row>
    <row r="46" spans="1:11" x14ac:dyDescent="0.25">
      <c r="B46" s="55" t="s">
        <v>156</v>
      </c>
      <c r="C46" s="56"/>
      <c r="D46" s="70">
        <f>-D11</f>
        <v>-1210</v>
      </c>
      <c r="E46" s="56"/>
      <c r="F46" s="124"/>
    </row>
    <row r="47" spans="1:11" x14ac:dyDescent="0.25">
      <c r="B47" s="55" t="s">
        <v>29</v>
      </c>
      <c r="C47" s="56"/>
      <c r="D47" s="56"/>
      <c r="E47" s="70">
        <f>E12*(1+C16)</f>
        <v>2090</v>
      </c>
      <c r="F47" s="59">
        <f>F12*(1+C16)^2</f>
        <v>2420.0000000000005</v>
      </c>
    </row>
    <row r="48" spans="1:11" x14ac:dyDescent="0.25">
      <c r="B48" s="55" t="s">
        <v>157</v>
      </c>
      <c r="C48" s="56"/>
      <c r="D48" s="56"/>
      <c r="E48" s="66">
        <f>E13*(1+C16)</f>
        <v>1045</v>
      </c>
      <c r="F48" s="57">
        <f>F13*(1+C16)^2</f>
        <v>1210.0000000000002</v>
      </c>
    </row>
    <row r="49" spans="1:11" x14ac:dyDescent="0.25">
      <c r="B49" s="55" t="s">
        <v>11</v>
      </c>
      <c r="C49" s="56"/>
      <c r="D49" s="56"/>
      <c r="E49" s="51">
        <f>E14</f>
        <v>605</v>
      </c>
      <c r="F49" s="58">
        <f>F14</f>
        <v>605</v>
      </c>
    </row>
    <row r="50" spans="1:11" x14ac:dyDescent="0.25">
      <c r="B50" s="55" t="s">
        <v>158</v>
      </c>
      <c r="C50" s="56"/>
      <c r="D50" s="56"/>
      <c r="E50" s="70">
        <f>E47-E48-E49</f>
        <v>440</v>
      </c>
      <c r="F50" s="59">
        <f>F47-F48-F49</f>
        <v>605.00000000000023</v>
      </c>
    </row>
    <row r="51" spans="1:11" x14ac:dyDescent="0.25">
      <c r="B51" s="55" t="str">
        <f>"Taxes ("&amp;C19*100&amp;"%)"</f>
        <v>Taxes (40%)</v>
      </c>
      <c r="C51" s="56"/>
      <c r="D51" s="56"/>
      <c r="E51" s="51">
        <f>E50*$C$19</f>
        <v>176</v>
      </c>
      <c r="F51" s="58">
        <f>F50*$C$19</f>
        <v>242.00000000000011</v>
      </c>
    </row>
    <row r="52" spans="1:11" x14ac:dyDescent="0.25">
      <c r="B52" s="55" t="s">
        <v>159</v>
      </c>
      <c r="C52" s="56"/>
      <c r="D52" s="56"/>
      <c r="E52" s="70">
        <f>E50-E51</f>
        <v>264</v>
      </c>
      <c r="F52" s="59">
        <f>F50-F51</f>
        <v>363.00000000000011</v>
      </c>
    </row>
    <row r="53" spans="1:11" x14ac:dyDescent="0.25">
      <c r="B53" s="55" t="s">
        <v>11</v>
      </c>
      <c r="C53" s="56"/>
      <c r="D53" s="56"/>
      <c r="E53" s="51">
        <f>E49</f>
        <v>605</v>
      </c>
      <c r="F53" s="58">
        <f>F49</f>
        <v>605</v>
      </c>
    </row>
    <row r="54" spans="1:11" x14ac:dyDescent="0.25">
      <c r="B54" s="55" t="s">
        <v>99</v>
      </c>
      <c r="C54" s="56"/>
      <c r="D54" s="56"/>
      <c r="E54" s="70">
        <f>E52+E53</f>
        <v>869</v>
      </c>
      <c r="F54" s="59">
        <f>F52+F53</f>
        <v>968.00000000000011</v>
      </c>
    </row>
    <row r="55" spans="1:11" x14ac:dyDescent="0.25">
      <c r="B55" s="55"/>
      <c r="C55" s="56"/>
      <c r="D55" s="56"/>
      <c r="E55" s="56"/>
      <c r="F55" s="124"/>
    </row>
    <row r="56" spans="1:11" x14ac:dyDescent="0.25">
      <c r="B56" s="60" t="str">
        <f>"NPV @ "&amp;C17*100&amp;"%"</f>
        <v>NPV @ 15.5%</v>
      </c>
      <c r="C56" s="134">
        <f>NPV(C17,E54:F54)+D46</f>
        <v>268.00453514739229</v>
      </c>
      <c r="D56" s="61"/>
      <c r="E56" s="61"/>
      <c r="F56" s="68"/>
    </row>
    <row r="58" spans="1:11" x14ac:dyDescent="0.25">
      <c r="A58" s="198" t="s">
        <v>160</v>
      </c>
      <c r="B58" s="198"/>
      <c r="C58" s="198"/>
      <c r="D58" s="198"/>
      <c r="E58" s="198"/>
      <c r="F58" s="198"/>
      <c r="G58" s="198"/>
      <c r="H58" s="198"/>
      <c r="I58" s="198"/>
      <c r="J58" s="198"/>
      <c r="K58" s="198"/>
    </row>
    <row r="60" spans="1:11" x14ac:dyDescent="0.25">
      <c r="B60" s="201" t="s">
        <v>222</v>
      </c>
      <c r="C60" s="199"/>
      <c r="D60" s="199"/>
      <c r="E60" s="199"/>
      <c r="F60" s="200"/>
    </row>
    <row r="61" spans="1:11" x14ac:dyDescent="0.25">
      <c r="B61" s="55"/>
      <c r="C61" s="56"/>
      <c r="D61" s="135" t="s">
        <v>140</v>
      </c>
      <c r="E61" s="135" t="s">
        <v>91</v>
      </c>
      <c r="F61" s="136" t="s">
        <v>92</v>
      </c>
    </row>
    <row r="62" spans="1:11" x14ac:dyDescent="0.25">
      <c r="B62" s="55" t="s">
        <v>156</v>
      </c>
      <c r="C62" s="56"/>
      <c r="D62" s="70">
        <f>-D11</f>
        <v>-1210</v>
      </c>
      <c r="E62" s="56"/>
      <c r="F62" s="124"/>
    </row>
    <row r="63" spans="1:11" x14ac:dyDescent="0.25">
      <c r="B63" s="55" t="s">
        <v>29</v>
      </c>
      <c r="C63" s="56"/>
      <c r="D63" s="56"/>
      <c r="E63" s="70">
        <f>E12</f>
        <v>1900</v>
      </c>
      <c r="F63" s="59">
        <f>F12</f>
        <v>2000</v>
      </c>
    </row>
    <row r="64" spans="1:11" x14ac:dyDescent="0.25">
      <c r="B64" s="55" t="s">
        <v>157</v>
      </c>
      <c r="C64" s="56"/>
      <c r="D64" s="56"/>
      <c r="E64" s="66">
        <f>E13</f>
        <v>950</v>
      </c>
      <c r="F64" s="57">
        <f>F13</f>
        <v>1000</v>
      </c>
    </row>
    <row r="65" spans="1:11" x14ac:dyDescent="0.25">
      <c r="B65" s="55" t="s">
        <v>11</v>
      </c>
      <c r="C65" s="56"/>
      <c r="D65" s="56"/>
      <c r="E65" s="51">
        <f>E14/(1+C16)</f>
        <v>550</v>
      </c>
      <c r="F65" s="58">
        <f>F14/(1+C16)^2</f>
        <v>499.99999999999994</v>
      </c>
    </row>
    <row r="66" spans="1:11" x14ac:dyDescent="0.25">
      <c r="B66" s="55" t="s">
        <v>158</v>
      </c>
      <c r="C66" s="56"/>
      <c r="D66" s="56"/>
      <c r="E66" s="70">
        <f>E63-E64-E65</f>
        <v>400</v>
      </c>
      <c r="F66" s="59">
        <f>F63-F64-F65</f>
        <v>500.00000000000006</v>
      </c>
    </row>
    <row r="67" spans="1:11" x14ac:dyDescent="0.25">
      <c r="B67" s="55" t="str">
        <f>"Taxes ("&amp;C34*100&amp;"%)"</f>
        <v>Taxes (0%)</v>
      </c>
      <c r="C67" s="56"/>
      <c r="D67" s="56"/>
      <c r="E67" s="51">
        <f>E66*$C$19</f>
        <v>160</v>
      </c>
      <c r="F67" s="58">
        <f>F66*$C$19</f>
        <v>200.00000000000003</v>
      </c>
    </row>
    <row r="68" spans="1:11" x14ac:dyDescent="0.25">
      <c r="B68" s="55" t="s">
        <v>159</v>
      </c>
      <c r="C68" s="56"/>
      <c r="D68" s="56"/>
      <c r="E68" s="70">
        <f>E66-E67</f>
        <v>240</v>
      </c>
      <c r="F68" s="59">
        <f>F66-F67</f>
        <v>300</v>
      </c>
    </row>
    <row r="69" spans="1:11" x14ac:dyDescent="0.25">
      <c r="B69" s="55" t="s">
        <v>11</v>
      </c>
      <c r="C69" s="56"/>
      <c r="D69" s="56"/>
      <c r="E69" s="51">
        <f>E65</f>
        <v>550</v>
      </c>
      <c r="F69" s="58">
        <f>F65</f>
        <v>499.99999999999994</v>
      </c>
    </row>
    <row r="70" spans="1:11" x14ac:dyDescent="0.25">
      <c r="B70" s="55" t="s">
        <v>99</v>
      </c>
      <c r="C70" s="56"/>
      <c r="D70" s="56"/>
      <c r="E70" s="70">
        <f>E68+E69</f>
        <v>790</v>
      </c>
      <c r="F70" s="59">
        <f>F68+F69</f>
        <v>800</v>
      </c>
    </row>
    <row r="71" spans="1:11" x14ac:dyDescent="0.25">
      <c r="B71" s="55"/>
      <c r="C71" s="56"/>
      <c r="D71" s="56"/>
      <c r="E71" s="56"/>
      <c r="F71" s="124"/>
    </row>
    <row r="72" spans="1:11" x14ac:dyDescent="0.25">
      <c r="B72" s="60" t="str">
        <f>"NPV @ "&amp;C18*100&amp;"%"</f>
        <v>NPV @ 5%</v>
      </c>
      <c r="C72" s="134">
        <f>NPV(C18,E70:F70)+D62</f>
        <v>268.00453514739229</v>
      </c>
      <c r="D72" s="61"/>
      <c r="E72" s="61"/>
      <c r="F72" s="68"/>
    </row>
    <row r="74" spans="1:11" ht="31.5" customHeight="1" x14ac:dyDescent="0.25">
      <c r="A74" s="198" t="s">
        <v>215</v>
      </c>
      <c r="B74" s="198"/>
      <c r="C74" s="198"/>
      <c r="D74" s="198"/>
      <c r="E74" s="198"/>
      <c r="F74" s="198"/>
      <c r="G74" s="198"/>
      <c r="H74" s="198"/>
      <c r="I74" s="198"/>
      <c r="J74" s="198"/>
      <c r="K74" s="198"/>
    </row>
  </sheetData>
  <mergeCells count="10">
    <mergeCell ref="A5:K5"/>
    <mergeCell ref="A7:D7"/>
    <mergeCell ref="A8:K8"/>
    <mergeCell ref="A42:K42"/>
    <mergeCell ref="B44:F44"/>
    <mergeCell ref="B60:F60"/>
    <mergeCell ref="A58:K58"/>
    <mergeCell ref="A22:K22"/>
    <mergeCell ref="A39:K39"/>
    <mergeCell ref="A74:K7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24"/>
  <sheetViews>
    <sheetView topLeftCell="A22" zoomScaleNormal="100" workbookViewId="0">
      <selection activeCell="D49" sqref="D49"/>
    </sheetView>
  </sheetViews>
  <sheetFormatPr defaultRowHeight="15.75" x14ac:dyDescent="0.25"/>
  <cols>
    <col min="1" max="1" width="4.7109375" style="19" customWidth="1"/>
    <col min="2" max="2" width="16.7109375" style="19" customWidth="1"/>
    <col min="3" max="26" width="14.7109375" style="19" customWidth="1"/>
    <col min="27" max="36" width="10.7109375" style="19" customWidth="1"/>
    <col min="37" max="16384" width="9.140625" style="19"/>
  </cols>
  <sheetData>
    <row r="1" spans="1:11" ht="16.5" thickBot="1" x14ac:dyDescent="0.3"/>
    <row r="2" spans="1:11" ht="21" x14ac:dyDescent="0.35">
      <c r="B2" s="87" t="s">
        <v>161</v>
      </c>
      <c r="C2" s="88"/>
      <c r="D2" s="88"/>
      <c r="E2" s="88"/>
      <c r="F2" s="89"/>
      <c r="G2" s="90"/>
    </row>
    <row r="3" spans="1:11" s="2" customFormat="1" ht="21.75" thickBot="1" x14ac:dyDescent="0.4">
      <c r="B3" s="91" t="s">
        <v>162</v>
      </c>
      <c r="C3" s="92"/>
      <c r="D3" s="92"/>
      <c r="E3" s="92"/>
      <c r="F3" s="92"/>
      <c r="G3" s="93"/>
    </row>
    <row r="5" spans="1:11" ht="47.25" customHeight="1" x14ac:dyDescent="0.25">
      <c r="A5" s="198" t="s">
        <v>219</v>
      </c>
      <c r="B5" s="198"/>
      <c r="C5" s="198"/>
      <c r="D5" s="198"/>
      <c r="E5" s="198"/>
      <c r="F5" s="198"/>
      <c r="G5" s="198"/>
      <c r="H5" s="198"/>
      <c r="I5" s="198"/>
      <c r="J5" s="198"/>
      <c r="K5" s="198"/>
    </row>
    <row r="7" spans="1:11" ht="31.5" x14ac:dyDescent="0.25">
      <c r="C7" s="48" t="s">
        <v>50</v>
      </c>
      <c r="D7" s="48" t="s">
        <v>51</v>
      </c>
    </row>
    <row r="8" spans="1:11" x14ac:dyDescent="0.25">
      <c r="B8" s="19" t="s">
        <v>26</v>
      </c>
      <c r="C8" s="21">
        <v>1100000</v>
      </c>
      <c r="D8" s="21">
        <v>1900000</v>
      </c>
    </row>
    <row r="9" spans="1:11" x14ac:dyDescent="0.25">
      <c r="B9" s="19" t="s">
        <v>47</v>
      </c>
      <c r="C9" s="21">
        <v>60000</v>
      </c>
      <c r="D9" s="21">
        <v>10000</v>
      </c>
    </row>
    <row r="10" spans="1:11" x14ac:dyDescent="0.25">
      <c r="B10" s="19" t="s">
        <v>48</v>
      </c>
      <c r="C10" s="24">
        <v>5</v>
      </c>
      <c r="D10" s="24">
        <v>8</v>
      </c>
    </row>
    <row r="11" spans="1:11" x14ac:dyDescent="0.25">
      <c r="C11" s="26"/>
      <c r="D11" s="26"/>
    </row>
    <row r="12" spans="1:11" x14ac:dyDescent="0.25">
      <c r="B12" s="19" t="s">
        <v>49</v>
      </c>
      <c r="C12" s="22">
        <v>0.12</v>
      </c>
      <c r="D12" s="26"/>
    </row>
    <row r="13" spans="1:11" x14ac:dyDescent="0.25">
      <c r="B13" s="19" t="s">
        <v>27</v>
      </c>
      <c r="C13" s="22">
        <v>0.34</v>
      </c>
      <c r="D13" s="26"/>
    </row>
    <row r="15" spans="1:11" x14ac:dyDescent="0.25">
      <c r="A15" s="19" t="s">
        <v>52</v>
      </c>
    </row>
    <row r="17" spans="1:4" x14ac:dyDescent="0.25">
      <c r="B17" s="52"/>
      <c r="C17" s="199" t="s">
        <v>62</v>
      </c>
      <c r="D17" s="200"/>
    </row>
    <row r="18" spans="1:4" ht="31.5" x14ac:dyDescent="0.25">
      <c r="B18" s="55"/>
      <c r="C18" s="81" t="s">
        <v>50</v>
      </c>
      <c r="D18" s="82" t="s">
        <v>51</v>
      </c>
    </row>
    <row r="19" spans="1:4" x14ac:dyDescent="0.25">
      <c r="B19" s="55" t="s">
        <v>47</v>
      </c>
      <c r="C19" s="70">
        <f>C9</f>
        <v>60000</v>
      </c>
      <c r="D19" s="59">
        <f>D9</f>
        <v>10000</v>
      </c>
    </row>
    <row r="20" spans="1:4" x14ac:dyDescent="0.25">
      <c r="B20" s="55" t="s">
        <v>11</v>
      </c>
      <c r="C20" s="51">
        <f>C8/C10</f>
        <v>220000</v>
      </c>
      <c r="D20" s="58">
        <f>D8/D10</f>
        <v>237500</v>
      </c>
    </row>
    <row r="21" spans="1:4" x14ac:dyDescent="0.25">
      <c r="B21" s="55" t="s">
        <v>12</v>
      </c>
      <c r="C21" s="70">
        <f>-C19-C20</f>
        <v>-280000</v>
      </c>
      <c r="D21" s="59">
        <f>-D19-D20</f>
        <v>-247500</v>
      </c>
    </row>
    <row r="22" spans="1:4" x14ac:dyDescent="0.25">
      <c r="B22" s="55" t="s">
        <v>53</v>
      </c>
      <c r="C22" s="66">
        <f>C21*$C$13</f>
        <v>-95200</v>
      </c>
      <c r="D22" s="57">
        <f>D21*$C$13</f>
        <v>-84150</v>
      </c>
    </row>
    <row r="23" spans="1:4" ht="16.5" thickBot="1" x14ac:dyDescent="0.3">
      <c r="B23" s="55" t="s">
        <v>13</v>
      </c>
      <c r="C23" s="63">
        <f>C21-C22</f>
        <v>-184800</v>
      </c>
      <c r="D23" s="67">
        <f>D21-D22</f>
        <v>-163350</v>
      </c>
    </row>
    <row r="24" spans="1:4" ht="16.5" thickTop="1" x14ac:dyDescent="0.25">
      <c r="B24" s="60"/>
      <c r="C24" s="72"/>
      <c r="D24" s="62"/>
    </row>
    <row r="26" spans="1:4" x14ac:dyDescent="0.25">
      <c r="A26" s="19" t="s">
        <v>54</v>
      </c>
    </row>
    <row r="28" spans="1:4" x14ac:dyDescent="0.25">
      <c r="B28" s="19" t="s">
        <v>30</v>
      </c>
      <c r="C28" s="25">
        <f>C23+C20</f>
        <v>35200</v>
      </c>
      <c r="D28" s="25">
        <f>D23+D20</f>
        <v>74150</v>
      </c>
    </row>
    <row r="30" spans="1:4" x14ac:dyDescent="0.25">
      <c r="A30" s="19" t="s">
        <v>55</v>
      </c>
    </row>
    <row r="32" spans="1:4" x14ac:dyDescent="0.25">
      <c r="B32" s="19" t="s">
        <v>18</v>
      </c>
      <c r="C32" s="25">
        <f>-C8+PV($C$12,C10,-C28)</f>
        <v>-973111.87767745578</v>
      </c>
      <c r="D32" s="25">
        <f>-D8+PV($C$12,D10,-D28)</f>
        <v>-1531649.5112889186</v>
      </c>
    </row>
    <row r="34" spans="1:11" x14ac:dyDescent="0.25">
      <c r="A34" s="19" t="s">
        <v>56</v>
      </c>
    </row>
    <row r="36" spans="1:11" x14ac:dyDescent="0.25">
      <c r="B36" s="19" t="s">
        <v>57</v>
      </c>
      <c r="C36" s="49">
        <f>PMT($C$12,C10,-C32)</f>
        <v>-269950.70513515378</v>
      </c>
      <c r="D36" s="49">
        <f>PMT($C$12,D10,-D32)</f>
        <v>-308325.39861554047</v>
      </c>
    </row>
    <row r="38" spans="1:11" x14ac:dyDescent="0.25">
      <c r="A38" s="198" t="str">
        <f>"In the final analysis, we should choose the system that is the least expensive, which is the "&amp;IF(C36&gt;D36,"filtration system.","precipitation system.")</f>
        <v>In the final analysis, we should choose the system that is the least expensive, which is the filtration system.</v>
      </c>
      <c r="B38" s="198"/>
      <c r="C38" s="198"/>
      <c r="D38" s="198"/>
      <c r="E38" s="198"/>
      <c r="F38" s="198"/>
      <c r="G38" s="198"/>
      <c r="H38" s="198"/>
      <c r="I38" s="198"/>
      <c r="J38" s="198"/>
      <c r="K38" s="198"/>
    </row>
    <row r="40" spans="1:11" x14ac:dyDescent="0.25">
      <c r="A40" s="207" t="s">
        <v>163</v>
      </c>
      <c r="B40" s="207"/>
      <c r="C40" s="207"/>
      <c r="D40" s="207"/>
      <c r="E40" s="207"/>
      <c r="F40" s="207"/>
      <c r="G40" s="207"/>
      <c r="H40" s="207"/>
      <c r="I40" s="207"/>
      <c r="J40" s="207"/>
      <c r="K40" s="207"/>
    </row>
    <row r="41" spans="1:11" ht="94.5" customHeight="1" x14ac:dyDescent="0.25">
      <c r="A41" s="203" t="s">
        <v>164</v>
      </c>
      <c r="B41" s="203"/>
      <c r="C41" s="203"/>
      <c r="D41" s="203"/>
      <c r="E41" s="203"/>
      <c r="F41" s="203"/>
      <c r="G41" s="203"/>
      <c r="H41" s="203"/>
      <c r="I41" s="203"/>
      <c r="J41" s="203"/>
      <c r="K41" s="203"/>
    </row>
    <row r="42" spans="1:11" x14ac:dyDescent="0.25">
      <c r="A42" s="137"/>
      <c r="B42" s="137"/>
      <c r="C42" s="137"/>
      <c r="D42" s="137"/>
      <c r="E42" s="137"/>
      <c r="F42" s="137"/>
      <c r="G42" s="137"/>
      <c r="H42" s="137"/>
      <c r="I42" s="137"/>
      <c r="J42" s="137"/>
      <c r="K42" s="137"/>
    </row>
    <row r="43" spans="1:11" ht="31.5" customHeight="1" x14ac:dyDescent="0.25">
      <c r="A43" s="203" t="s">
        <v>165</v>
      </c>
      <c r="B43" s="203"/>
      <c r="C43" s="203"/>
      <c r="D43" s="203"/>
      <c r="E43" s="203"/>
      <c r="F43" s="203"/>
      <c r="G43" s="203"/>
      <c r="H43" s="203"/>
      <c r="I43" s="203"/>
      <c r="J43" s="203"/>
      <c r="K43" s="203"/>
    </row>
    <row r="44" spans="1:11" x14ac:dyDescent="0.25">
      <c r="A44" s="34"/>
      <c r="B44" s="34"/>
      <c r="C44" s="34"/>
      <c r="D44" s="36"/>
      <c r="E44" s="34"/>
      <c r="F44" s="34"/>
      <c r="G44" s="34"/>
      <c r="H44" s="34"/>
      <c r="I44" s="34"/>
      <c r="J44" s="34"/>
      <c r="K44" s="34"/>
    </row>
    <row r="45" spans="1:11" x14ac:dyDescent="0.25">
      <c r="A45" s="34"/>
      <c r="B45" s="34" t="s">
        <v>26</v>
      </c>
      <c r="C45" s="34"/>
      <c r="D45" s="41">
        <v>3300000</v>
      </c>
      <c r="E45" s="34"/>
      <c r="F45" s="34"/>
      <c r="G45" s="34"/>
      <c r="H45" s="34"/>
      <c r="I45" s="34"/>
      <c r="J45" s="34"/>
      <c r="K45" s="34"/>
    </row>
    <row r="46" spans="1:11" x14ac:dyDescent="0.25">
      <c r="A46" s="34"/>
      <c r="B46" s="34" t="s">
        <v>45</v>
      </c>
      <c r="C46" s="34"/>
      <c r="D46" s="41">
        <v>75000</v>
      </c>
      <c r="E46" s="34"/>
      <c r="F46" s="34"/>
      <c r="G46" s="34"/>
      <c r="H46" s="34"/>
      <c r="I46" s="34"/>
      <c r="J46" s="34"/>
      <c r="K46" s="34"/>
    </row>
    <row r="47" spans="1:11" x14ac:dyDescent="0.25">
      <c r="A47" s="34"/>
      <c r="B47" s="34" t="s">
        <v>38</v>
      </c>
      <c r="C47" s="34"/>
      <c r="D47" s="42">
        <v>125000</v>
      </c>
      <c r="E47" s="34"/>
      <c r="F47" s="34"/>
      <c r="G47" s="34"/>
      <c r="H47" s="34"/>
      <c r="I47" s="34"/>
      <c r="J47" s="34"/>
      <c r="K47" s="34"/>
    </row>
    <row r="48" spans="1:11" x14ac:dyDescent="0.25">
      <c r="A48" s="34"/>
      <c r="B48" s="34" t="s">
        <v>46</v>
      </c>
      <c r="C48" s="34"/>
      <c r="D48" s="39">
        <v>25</v>
      </c>
      <c r="E48" s="34"/>
      <c r="F48" s="34"/>
      <c r="G48" s="34"/>
      <c r="H48" s="34"/>
      <c r="I48" s="34"/>
      <c r="J48" s="34"/>
      <c r="K48" s="34"/>
    </row>
    <row r="49" spans="1:11" x14ac:dyDescent="0.25">
      <c r="A49" s="34"/>
      <c r="B49" s="34" t="s">
        <v>39</v>
      </c>
      <c r="C49" s="34"/>
      <c r="D49" s="40">
        <v>0.45</v>
      </c>
      <c r="E49" s="34"/>
      <c r="F49" s="34"/>
      <c r="G49" s="34"/>
      <c r="H49" s="34"/>
      <c r="I49" s="34"/>
      <c r="J49" s="34"/>
      <c r="K49" s="34"/>
    </row>
    <row r="50" spans="1:11" x14ac:dyDescent="0.25">
      <c r="A50" s="34"/>
      <c r="B50" s="34" t="s">
        <v>10</v>
      </c>
      <c r="C50" s="34"/>
      <c r="D50" s="41">
        <v>425000</v>
      </c>
      <c r="E50" s="34"/>
      <c r="F50" s="34"/>
      <c r="G50" s="34"/>
      <c r="H50" s="34"/>
      <c r="I50" s="34"/>
      <c r="J50" s="34"/>
      <c r="K50" s="34"/>
    </row>
    <row r="51" spans="1:11" x14ac:dyDescent="0.25">
      <c r="A51" s="34"/>
      <c r="B51" s="34" t="s">
        <v>40</v>
      </c>
      <c r="C51" s="34"/>
      <c r="D51" s="27">
        <v>0.33300000000000002</v>
      </c>
      <c r="E51" s="34"/>
      <c r="F51" s="34"/>
      <c r="G51" s="34"/>
      <c r="H51" s="34"/>
      <c r="I51" s="34"/>
      <c r="J51" s="34"/>
      <c r="K51" s="34"/>
    </row>
    <row r="52" spans="1:11" x14ac:dyDescent="0.25">
      <c r="A52" s="34"/>
      <c r="B52" s="34" t="s">
        <v>41</v>
      </c>
      <c r="C52" s="34"/>
      <c r="D52" s="27">
        <v>0.44400000000000001</v>
      </c>
      <c r="E52" s="34"/>
      <c r="F52" s="34"/>
      <c r="G52" s="34"/>
      <c r="H52" s="34"/>
      <c r="I52" s="34"/>
      <c r="J52" s="34"/>
      <c r="K52" s="34"/>
    </row>
    <row r="53" spans="1:11" x14ac:dyDescent="0.25">
      <c r="A53" s="34"/>
      <c r="B53" s="34" t="s">
        <v>42</v>
      </c>
      <c r="C53" s="34"/>
      <c r="D53" s="27">
        <v>0.14799999999999999</v>
      </c>
      <c r="E53" s="34"/>
      <c r="F53" s="34"/>
      <c r="G53" s="34"/>
      <c r="H53" s="34"/>
      <c r="I53" s="34"/>
      <c r="J53" s="34"/>
      <c r="K53" s="34"/>
    </row>
    <row r="54" spans="1:11" x14ac:dyDescent="0.25">
      <c r="A54" s="34"/>
      <c r="B54" s="34" t="s">
        <v>43</v>
      </c>
      <c r="C54" s="34"/>
      <c r="D54" s="27">
        <v>7.3999999999999996E-2</v>
      </c>
      <c r="E54" s="34"/>
      <c r="F54" s="34"/>
      <c r="G54" s="34"/>
      <c r="H54" s="34"/>
      <c r="I54" s="34"/>
      <c r="J54" s="34"/>
      <c r="K54" s="34"/>
    </row>
    <row r="55" spans="1:11" x14ac:dyDescent="0.25">
      <c r="A55" s="34"/>
      <c r="B55" s="34" t="s">
        <v>44</v>
      </c>
      <c r="C55" s="34"/>
      <c r="D55" s="41">
        <v>80000</v>
      </c>
      <c r="E55" s="34"/>
      <c r="F55" s="34"/>
      <c r="G55" s="34"/>
      <c r="H55" s="34"/>
      <c r="I55" s="34"/>
      <c r="J55" s="34"/>
      <c r="K55" s="34"/>
    </row>
    <row r="56" spans="1:11" x14ac:dyDescent="0.25">
      <c r="A56" s="34"/>
      <c r="B56" s="34" t="s">
        <v>27</v>
      </c>
      <c r="C56" s="34"/>
      <c r="D56" s="40">
        <v>0.35</v>
      </c>
      <c r="E56" s="34"/>
      <c r="F56" s="34"/>
      <c r="G56" s="34"/>
      <c r="H56" s="34"/>
      <c r="I56" s="34"/>
      <c r="J56" s="34"/>
      <c r="K56" s="34"/>
    </row>
    <row r="57" spans="1:11" x14ac:dyDescent="0.25">
      <c r="A57" s="34"/>
      <c r="B57" s="34" t="s">
        <v>28</v>
      </c>
      <c r="C57" s="34"/>
      <c r="D57" s="40">
        <v>0.1</v>
      </c>
      <c r="E57" s="34"/>
      <c r="F57" s="34"/>
      <c r="G57" s="34"/>
      <c r="H57" s="34"/>
      <c r="I57" s="34"/>
      <c r="J57" s="34"/>
      <c r="K57" s="34"/>
    </row>
    <row r="58" spans="1:11" x14ac:dyDescent="0.25">
      <c r="A58" s="34"/>
      <c r="B58" s="34"/>
      <c r="C58" s="34"/>
      <c r="D58" s="35"/>
      <c r="E58" s="34"/>
      <c r="F58" s="34"/>
      <c r="G58" s="34"/>
      <c r="H58" s="34"/>
      <c r="I58" s="34"/>
      <c r="J58" s="34"/>
      <c r="K58" s="34"/>
    </row>
    <row r="59" spans="1:11" ht="31.5" customHeight="1" x14ac:dyDescent="0.25">
      <c r="A59" s="203" t="s">
        <v>82</v>
      </c>
      <c r="B59" s="203"/>
      <c r="C59" s="203"/>
      <c r="D59" s="203"/>
      <c r="E59" s="203"/>
      <c r="F59" s="203"/>
      <c r="G59" s="203"/>
      <c r="H59" s="203"/>
      <c r="I59" s="203"/>
      <c r="J59" s="203"/>
      <c r="K59" s="203"/>
    </row>
    <row r="60" spans="1:11" x14ac:dyDescent="0.25">
      <c r="A60" s="34"/>
      <c r="B60" s="34"/>
      <c r="C60" s="34"/>
      <c r="D60" s="35"/>
      <c r="E60" s="34"/>
      <c r="F60" s="34"/>
      <c r="G60" s="34"/>
      <c r="H60" s="34"/>
      <c r="I60" s="34"/>
      <c r="J60" s="34"/>
      <c r="K60" s="34"/>
    </row>
    <row r="61" spans="1:11" x14ac:dyDescent="0.25">
      <c r="A61" s="34"/>
      <c r="B61" s="77"/>
      <c r="C61" s="204" t="s">
        <v>60</v>
      </c>
      <c r="D61" s="204"/>
      <c r="E61" s="204"/>
      <c r="F61" s="205"/>
      <c r="G61" s="34"/>
      <c r="H61" s="34"/>
      <c r="I61" s="34"/>
      <c r="J61" s="34"/>
      <c r="K61" s="34"/>
    </row>
    <row r="62" spans="1:11" x14ac:dyDescent="0.25">
      <c r="A62" s="34"/>
      <c r="B62" s="55" t="s">
        <v>14</v>
      </c>
      <c r="C62" s="76">
        <v>1</v>
      </c>
      <c r="D62" s="76">
        <v>2</v>
      </c>
      <c r="E62" s="76">
        <v>3</v>
      </c>
      <c r="F62" s="78">
        <v>4</v>
      </c>
      <c r="G62" s="34"/>
      <c r="H62" s="34"/>
      <c r="I62" s="34"/>
      <c r="J62" s="34"/>
      <c r="K62" s="34"/>
    </row>
    <row r="63" spans="1:11" x14ac:dyDescent="0.25">
      <c r="A63" s="34"/>
      <c r="B63" s="55" t="s">
        <v>29</v>
      </c>
      <c r="C63" s="70">
        <f>$D$48*$D$47</f>
        <v>3125000</v>
      </c>
      <c r="D63" s="70">
        <f>$D$48*$D$47</f>
        <v>3125000</v>
      </c>
      <c r="E63" s="70">
        <f>$D$48*$D$47</f>
        <v>3125000</v>
      </c>
      <c r="F63" s="59">
        <f>$D$48*$D$47</f>
        <v>3125000</v>
      </c>
      <c r="G63" s="34"/>
      <c r="H63" s="34"/>
      <c r="I63" s="34"/>
      <c r="J63" s="34"/>
      <c r="K63" s="34"/>
    </row>
    <row r="64" spans="1:11" x14ac:dyDescent="0.25">
      <c r="A64" s="34"/>
      <c r="B64" s="55" t="s">
        <v>9</v>
      </c>
      <c r="C64" s="66">
        <f>C63*$D$49</f>
        <v>1406250</v>
      </c>
      <c r="D64" s="66">
        <f>D63*$D$49</f>
        <v>1406250</v>
      </c>
      <c r="E64" s="66">
        <f>E63*$D$49</f>
        <v>1406250</v>
      </c>
      <c r="F64" s="57">
        <f>F63*$D$49</f>
        <v>1406250</v>
      </c>
      <c r="G64" s="34"/>
      <c r="H64" s="34"/>
      <c r="I64" s="34"/>
      <c r="J64" s="34"/>
      <c r="K64" s="34"/>
    </row>
    <row r="65" spans="1:11" x14ac:dyDescent="0.25">
      <c r="A65" s="34"/>
      <c r="B65" s="55" t="s">
        <v>10</v>
      </c>
      <c r="C65" s="66">
        <f>$D$50</f>
        <v>425000</v>
      </c>
      <c r="D65" s="66">
        <f>$D$50</f>
        <v>425000</v>
      </c>
      <c r="E65" s="66">
        <f>$D$50</f>
        <v>425000</v>
      </c>
      <c r="F65" s="57">
        <f>$D$50</f>
        <v>425000</v>
      </c>
      <c r="G65" s="34"/>
      <c r="H65" s="34"/>
      <c r="I65" s="34"/>
      <c r="J65" s="34"/>
      <c r="K65" s="34"/>
    </row>
    <row r="66" spans="1:11" x14ac:dyDescent="0.25">
      <c r="A66" s="34"/>
      <c r="B66" s="55" t="s">
        <v>11</v>
      </c>
      <c r="C66" s="51">
        <f>$D$45*D51</f>
        <v>1098900</v>
      </c>
      <c r="D66" s="51">
        <f>$D$45*D52</f>
        <v>1465200</v>
      </c>
      <c r="E66" s="51">
        <f>$D$45*D53</f>
        <v>488400</v>
      </c>
      <c r="F66" s="58">
        <f>$D$45*D54</f>
        <v>244200</v>
      </c>
      <c r="G66" s="46"/>
      <c r="H66" s="34"/>
      <c r="I66" s="34"/>
      <c r="J66" s="34"/>
      <c r="K66" s="34"/>
    </row>
    <row r="67" spans="1:11" x14ac:dyDescent="0.25">
      <c r="A67" s="34"/>
      <c r="B67" s="55" t="s">
        <v>12</v>
      </c>
      <c r="C67" s="70">
        <f>C63-C64-C65-C66</f>
        <v>194850</v>
      </c>
      <c r="D67" s="70">
        <f t="shared" ref="D67:F67" si="0">D63-D64-D65-D66</f>
        <v>-171450</v>
      </c>
      <c r="E67" s="70">
        <f t="shared" si="0"/>
        <v>805350</v>
      </c>
      <c r="F67" s="59">
        <f t="shared" si="0"/>
        <v>1049550</v>
      </c>
      <c r="G67" s="38"/>
      <c r="H67" s="34"/>
      <c r="I67" s="34"/>
      <c r="J67" s="34"/>
      <c r="K67" s="34"/>
    </row>
    <row r="68" spans="1:11" x14ac:dyDescent="0.25">
      <c r="A68" s="34"/>
      <c r="B68" s="55" t="str">
        <f>"Taxes (" &amp; D56*100 &amp; "%)"</f>
        <v>Taxes (35%)</v>
      </c>
      <c r="C68" s="51">
        <f>C67*$D$56</f>
        <v>68197.5</v>
      </c>
      <c r="D68" s="51">
        <f>D67*$D$56</f>
        <v>-60007.499999999993</v>
      </c>
      <c r="E68" s="51">
        <f>E67*$D$56</f>
        <v>281872.5</v>
      </c>
      <c r="F68" s="58">
        <f>F67*$D$56</f>
        <v>367342.5</v>
      </c>
      <c r="G68" s="47"/>
      <c r="H68" s="34"/>
      <c r="I68" s="34"/>
      <c r="J68" s="34"/>
      <c r="K68" s="34"/>
    </row>
    <row r="69" spans="1:11" x14ac:dyDescent="0.25">
      <c r="A69" s="34"/>
      <c r="B69" s="55" t="s">
        <v>13</v>
      </c>
      <c r="C69" s="70">
        <f>C67-C68</f>
        <v>126652.5</v>
      </c>
      <c r="D69" s="70">
        <f t="shared" ref="D69:F69" si="1">D67-D68</f>
        <v>-111442.5</v>
      </c>
      <c r="E69" s="70">
        <f t="shared" si="1"/>
        <v>523477.5</v>
      </c>
      <c r="F69" s="59">
        <f t="shared" si="1"/>
        <v>682207.5</v>
      </c>
      <c r="G69" s="35"/>
      <c r="H69" s="34"/>
      <c r="I69" s="34"/>
      <c r="J69" s="34"/>
      <c r="K69" s="34"/>
    </row>
    <row r="70" spans="1:11" x14ac:dyDescent="0.25">
      <c r="A70" s="34"/>
      <c r="B70" s="69" t="s">
        <v>15</v>
      </c>
      <c r="C70" s="66">
        <f>C66</f>
        <v>1098900</v>
      </c>
      <c r="D70" s="66">
        <f t="shared" ref="D70:F70" si="2">D66</f>
        <v>1465200</v>
      </c>
      <c r="E70" s="66">
        <f t="shared" si="2"/>
        <v>488400</v>
      </c>
      <c r="F70" s="57">
        <f t="shared" si="2"/>
        <v>244200</v>
      </c>
      <c r="G70" s="37"/>
      <c r="H70" s="34"/>
      <c r="I70" s="34"/>
      <c r="J70" s="34"/>
      <c r="K70" s="34"/>
    </row>
    <row r="71" spans="1:11" ht="16.5" thickBot="1" x14ac:dyDescent="0.3">
      <c r="A71" s="34"/>
      <c r="B71" s="55" t="s">
        <v>30</v>
      </c>
      <c r="C71" s="63">
        <f>C69+C70</f>
        <v>1225552.5</v>
      </c>
      <c r="D71" s="63">
        <f t="shared" ref="D71:F71" si="3">D69+D70</f>
        <v>1353757.5</v>
      </c>
      <c r="E71" s="63">
        <f t="shared" si="3"/>
        <v>1011877.5</v>
      </c>
      <c r="F71" s="67">
        <f t="shared" si="3"/>
        <v>926407.5</v>
      </c>
      <c r="G71" s="34"/>
      <c r="H71" s="34"/>
      <c r="I71" s="34"/>
      <c r="J71" s="34"/>
      <c r="K71" s="34"/>
    </row>
    <row r="72" spans="1:11" ht="16.5" thickTop="1" x14ac:dyDescent="0.25">
      <c r="A72" s="34"/>
      <c r="B72" s="60"/>
      <c r="C72" s="72"/>
      <c r="D72" s="72"/>
      <c r="E72" s="72"/>
      <c r="F72" s="62"/>
      <c r="G72" s="34"/>
      <c r="H72" s="34"/>
      <c r="I72" s="34"/>
      <c r="J72" s="34"/>
      <c r="K72" s="34"/>
    </row>
    <row r="73" spans="1:11" x14ac:dyDescent="0.25">
      <c r="A73" s="34"/>
      <c r="B73" s="34"/>
      <c r="C73" s="34"/>
      <c r="D73" s="34"/>
      <c r="E73" s="34"/>
      <c r="F73" s="34"/>
      <c r="G73" s="34"/>
      <c r="H73" s="34"/>
      <c r="I73" s="34"/>
      <c r="J73" s="34"/>
      <c r="K73" s="34"/>
    </row>
    <row r="74" spans="1:11" x14ac:dyDescent="0.25">
      <c r="A74" s="198" t="s">
        <v>34</v>
      </c>
      <c r="B74" s="198"/>
      <c r="C74" s="198"/>
      <c r="D74" s="198"/>
      <c r="E74" s="198"/>
      <c r="F74" s="198"/>
      <c r="G74" s="198"/>
      <c r="H74" s="198"/>
      <c r="I74" s="198"/>
      <c r="J74" s="198"/>
      <c r="K74" s="198"/>
    </row>
    <row r="75" spans="1:11" x14ac:dyDescent="0.25">
      <c r="H75" s="34"/>
      <c r="I75" s="34"/>
      <c r="J75" s="34"/>
      <c r="K75" s="34"/>
    </row>
    <row r="76" spans="1:11" x14ac:dyDescent="0.25">
      <c r="B76" s="19" t="s">
        <v>21</v>
      </c>
      <c r="D76" s="28">
        <f>D46</f>
        <v>75000</v>
      </c>
      <c r="H76" s="34"/>
      <c r="I76" s="34"/>
      <c r="J76" s="34"/>
      <c r="K76" s="34"/>
    </row>
    <row r="77" spans="1:11" x14ac:dyDescent="0.25">
      <c r="B77" s="19" t="s">
        <v>22</v>
      </c>
      <c r="D77" s="29">
        <f>(0-D46)*D56</f>
        <v>-26250</v>
      </c>
      <c r="H77" s="34"/>
      <c r="I77" s="34"/>
      <c r="J77" s="34"/>
      <c r="K77" s="34"/>
    </row>
    <row r="78" spans="1:11" x14ac:dyDescent="0.25">
      <c r="B78" s="19" t="s">
        <v>23</v>
      </c>
      <c r="D78" s="28">
        <f>D76+D77</f>
        <v>48750</v>
      </c>
      <c r="H78" s="34"/>
      <c r="I78" s="34"/>
      <c r="J78" s="34"/>
      <c r="K78" s="34"/>
    </row>
    <row r="79" spans="1:11" x14ac:dyDescent="0.25">
      <c r="H79" s="34"/>
      <c r="I79" s="34"/>
      <c r="J79" s="34"/>
      <c r="K79" s="34"/>
    </row>
    <row r="80" spans="1:11" x14ac:dyDescent="0.25">
      <c r="A80" s="198" t="s">
        <v>102</v>
      </c>
      <c r="B80" s="198"/>
      <c r="C80" s="198"/>
      <c r="D80" s="198"/>
      <c r="E80" s="198"/>
      <c r="F80" s="198"/>
      <c r="G80" s="198"/>
      <c r="H80" s="198"/>
      <c r="I80" s="198"/>
      <c r="J80" s="198"/>
      <c r="K80" s="198"/>
    </row>
    <row r="81" spans="1:14" x14ac:dyDescent="0.25">
      <c r="H81" s="34"/>
      <c r="I81" s="34"/>
      <c r="J81" s="34"/>
      <c r="K81" s="34"/>
    </row>
    <row r="82" spans="1:14" x14ac:dyDescent="0.25">
      <c r="B82" s="52"/>
      <c r="C82" s="199" t="s">
        <v>61</v>
      </c>
      <c r="D82" s="199"/>
      <c r="E82" s="199"/>
      <c r="F82" s="199"/>
      <c r="G82" s="200"/>
      <c r="H82" s="34"/>
      <c r="I82" s="34"/>
      <c r="J82" s="34"/>
      <c r="K82" s="34"/>
    </row>
    <row r="83" spans="1:14" x14ac:dyDescent="0.25">
      <c r="B83" s="55" t="s">
        <v>14</v>
      </c>
      <c r="C83" s="64">
        <v>0</v>
      </c>
      <c r="D83" s="64">
        <v>1</v>
      </c>
      <c r="E83" s="64">
        <v>2</v>
      </c>
      <c r="F83" s="64">
        <v>3</v>
      </c>
      <c r="G83" s="65">
        <v>4</v>
      </c>
      <c r="H83" s="34"/>
      <c r="I83" s="34"/>
      <c r="J83" s="34"/>
      <c r="K83" s="34"/>
    </row>
    <row r="84" spans="1:14" x14ac:dyDescent="0.25">
      <c r="B84" s="55" t="s">
        <v>30</v>
      </c>
      <c r="C84" s="71"/>
      <c r="D84" s="79">
        <f>C71</f>
        <v>1225552.5</v>
      </c>
      <c r="E84" s="79">
        <f t="shared" ref="E84:G84" si="4">D71</f>
        <v>1353757.5</v>
      </c>
      <c r="F84" s="79">
        <f t="shared" si="4"/>
        <v>1011877.5</v>
      </c>
      <c r="G84" s="80">
        <f t="shared" si="4"/>
        <v>926407.5</v>
      </c>
      <c r="H84" s="34"/>
      <c r="I84" s="34"/>
      <c r="J84" s="34"/>
      <c r="K84" s="34"/>
    </row>
    <row r="85" spans="1:14" x14ac:dyDescent="0.25">
      <c r="B85" s="55" t="s">
        <v>35</v>
      </c>
      <c r="C85" s="70">
        <f>-D55</f>
        <v>-80000</v>
      </c>
      <c r="D85" s="75"/>
      <c r="E85" s="75"/>
      <c r="F85" s="75"/>
      <c r="G85" s="112">
        <f>D55</f>
        <v>80000</v>
      </c>
      <c r="H85" s="34"/>
      <c r="I85" s="34"/>
      <c r="J85" s="34"/>
      <c r="K85" s="34"/>
    </row>
    <row r="86" spans="1:14" x14ac:dyDescent="0.25">
      <c r="B86" s="55" t="s">
        <v>17</v>
      </c>
      <c r="C86" s="70">
        <f>-D45</f>
        <v>-3300000</v>
      </c>
      <c r="D86" s="75"/>
      <c r="E86" s="75"/>
      <c r="F86" s="75"/>
      <c r="G86" s="112">
        <f>D78</f>
        <v>48750</v>
      </c>
      <c r="H86" s="34"/>
      <c r="I86" s="34"/>
      <c r="J86" s="34"/>
      <c r="K86" s="34"/>
    </row>
    <row r="87" spans="1:14" ht="16.5" thickBot="1" x14ac:dyDescent="0.3">
      <c r="B87" s="55" t="s">
        <v>36</v>
      </c>
      <c r="C87" s="63">
        <f>C84+C85+C86</f>
        <v>-3380000</v>
      </c>
      <c r="D87" s="63">
        <f t="shared" ref="D87:G87" si="5">D84+D85+D86</f>
        <v>1225552.5</v>
      </c>
      <c r="E87" s="63">
        <f t="shared" si="5"/>
        <v>1353757.5</v>
      </c>
      <c r="F87" s="63">
        <f t="shared" si="5"/>
        <v>1011877.5</v>
      </c>
      <c r="G87" s="67">
        <f t="shared" si="5"/>
        <v>1055157.5</v>
      </c>
      <c r="H87" s="34"/>
      <c r="I87" s="34"/>
      <c r="J87" s="34"/>
      <c r="K87" s="34"/>
    </row>
    <row r="88" spans="1:14" ht="16.5" thickTop="1" x14ac:dyDescent="0.25">
      <c r="B88" s="60"/>
      <c r="C88" s="72"/>
      <c r="D88" s="72"/>
      <c r="E88" s="72"/>
      <c r="F88" s="72"/>
      <c r="G88" s="62"/>
      <c r="H88" s="34"/>
      <c r="I88" s="34"/>
      <c r="J88" s="34"/>
      <c r="K88" s="34"/>
    </row>
    <row r="89" spans="1:14" x14ac:dyDescent="0.25">
      <c r="A89" s="34"/>
      <c r="B89" s="34"/>
      <c r="C89" s="34"/>
      <c r="D89" s="38"/>
      <c r="E89" s="38"/>
      <c r="F89" s="38"/>
      <c r="G89" s="38"/>
      <c r="H89" s="34"/>
      <c r="I89" s="34"/>
      <c r="J89" s="34"/>
      <c r="K89" s="34"/>
    </row>
    <row r="90" spans="1:14" x14ac:dyDescent="0.25">
      <c r="A90" s="203" t="s">
        <v>103</v>
      </c>
      <c r="B90" s="203"/>
      <c r="C90" s="203"/>
      <c r="D90" s="203"/>
      <c r="E90" s="203"/>
      <c r="F90" s="203"/>
      <c r="G90" s="203"/>
      <c r="H90" s="203"/>
      <c r="I90" s="203"/>
      <c r="J90" s="203"/>
      <c r="K90" s="203"/>
    </row>
    <row r="91" spans="1:14" x14ac:dyDescent="0.25">
      <c r="A91" s="34"/>
      <c r="B91" s="34"/>
      <c r="C91" s="34"/>
      <c r="D91" s="37"/>
      <c r="E91" s="34"/>
      <c r="F91" s="34"/>
      <c r="G91" s="37"/>
      <c r="H91" s="34"/>
      <c r="I91" s="34"/>
      <c r="J91" s="34"/>
      <c r="K91" s="34"/>
    </row>
    <row r="92" spans="1:14" x14ac:dyDescent="0.25">
      <c r="A92" s="34"/>
      <c r="B92" s="34" t="s">
        <v>37</v>
      </c>
      <c r="C92" s="44">
        <f>NPV(D57,D87:G87)+C87</f>
        <v>333871.80008196086</v>
      </c>
      <c r="D92" s="35"/>
      <c r="E92" s="34"/>
      <c r="F92" s="34"/>
      <c r="G92" s="34"/>
      <c r="H92" s="34"/>
      <c r="I92" s="34"/>
      <c r="J92" s="34"/>
      <c r="K92" s="34"/>
    </row>
    <row r="93" spans="1:14" x14ac:dyDescent="0.25">
      <c r="A93" s="34"/>
      <c r="B93" s="34"/>
      <c r="C93" s="34"/>
      <c r="D93" s="37"/>
      <c r="E93" s="37"/>
      <c r="F93" s="37"/>
      <c r="G93" s="37"/>
      <c r="H93" s="34"/>
      <c r="I93" s="34"/>
      <c r="J93" s="34"/>
      <c r="K93" s="34"/>
    </row>
    <row r="94" spans="1:14" x14ac:dyDescent="0.25">
      <c r="A94" s="203" t="s">
        <v>78</v>
      </c>
      <c r="B94" s="203"/>
      <c r="C94" s="203"/>
      <c r="D94" s="203"/>
      <c r="E94" s="203"/>
      <c r="F94" s="203"/>
      <c r="G94" s="203"/>
      <c r="H94" s="203"/>
      <c r="I94" s="203"/>
      <c r="J94" s="203"/>
      <c r="K94" s="203"/>
    </row>
    <row r="95" spans="1:14" x14ac:dyDescent="0.25">
      <c r="A95" s="34"/>
      <c r="B95" s="34"/>
      <c r="C95" s="34"/>
      <c r="D95" s="34"/>
      <c r="E95" s="34"/>
      <c r="F95" s="34"/>
      <c r="G95" s="34"/>
      <c r="H95" s="34"/>
      <c r="I95" s="34"/>
      <c r="J95" s="34"/>
      <c r="K95" s="34"/>
    </row>
    <row r="96" spans="1:14" s="33" customFormat="1" x14ac:dyDescent="0.25">
      <c r="A96" s="30" t="s">
        <v>31</v>
      </c>
      <c r="B96" s="31"/>
      <c r="C96" s="31"/>
      <c r="D96" s="31"/>
      <c r="E96" s="32"/>
      <c r="F96" s="31"/>
      <c r="G96" s="31"/>
      <c r="H96" s="31"/>
      <c r="I96" s="31"/>
      <c r="J96" s="31"/>
      <c r="K96" s="31"/>
      <c r="L96" s="31"/>
      <c r="M96" s="31"/>
      <c r="N96" s="31"/>
    </row>
    <row r="97" spans="1:14" s="33" customFormat="1" x14ac:dyDescent="0.25">
      <c r="A97" s="195" t="s">
        <v>63</v>
      </c>
      <c r="B97" s="195"/>
      <c r="C97" s="195"/>
      <c r="D97" s="195"/>
      <c r="E97" s="195"/>
      <c r="F97" s="195"/>
      <c r="G97" s="195"/>
      <c r="H97" s="195"/>
      <c r="I97" s="195"/>
      <c r="J97" s="195"/>
      <c r="K97" s="31"/>
      <c r="L97" s="31"/>
      <c r="M97" s="31"/>
      <c r="N97" s="31"/>
    </row>
    <row r="98" spans="1:14" s="33" customFormat="1" x14ac:dyDescent="0.25"/>
    <row r="99" spans="1:14" s="33" customFormat="1" x14ac:dyDescent="0.25"/>
    <row r="100" spans="1:14" s="43" customFormat="1" x14ac:dyDescent="0.25"/>
    <row r="101" spans="1:14" s="43" customFormat="1" x14ac:dyDescent="0.25"/>
    <row r="102" spans="1:14" s="43" customFormat="1" x14ac:dyDescent="0.25"/>
    <row r="103" spans="1:14" s="43" customFormat="1" x14ac:dyDescent="0.25"/>
    <row r="104" spans="1:14" s="43" customFormat="1" x14ac:dyDescent="0.25"/>
    <row r="105" spans="1:14" s="43" customFormat="1" x14ac:dyDescent="0.25"/>
    <row r="106" spans="1:14" s="43" customFormat="1" x14ac:dyDescent="0.25"/>
    <row r="107" spans="1:14" s="43" customFormat="1" x14ac:dyDescent="0.25"/>
    <row r="108" spans="1:14" s="43" customFormat="1" x14ac:dyDescent="0.25"/>
    <row r="109" spans="1:14" s="43" customFormat="1" x14ac:dyDescent="0.25"/>
    <row r="110" spans="1:14" s="43" customFormat="1" x14ac:dyDescent="0.25"/>
    <row r="111" spans="1:14" s="43" customFormat="1" x14ac:dyDescent="0.25"/>
    <row r="112" spans="1:14" s="43" customFormat="1" ht="78.75" customHeight="1" x14ac:dyDescent="0.25">
      <c r="A112" s="202" t="s">
        <v>58</v>
      </c>
      <c r="B112" s="202"/>
      <c r="C112" s="202"/>
      <c r="D112" s="202"/>
      <c r="E112" s="202"/>
      <c r="F112" s="202"/>
      <c r="G112" s="202"/>
      <c r="H112" s="202"/>
      <c r="I112" s="202"/>
      <c r="J112" s="202"/>
      <c r="K112" s="202"/>
    </row>
    <row r="113" spans="1:11" s="43" customFormat="1" x14ac:dyDescent="0.25"/>
    <row r="114" spans="1:11" s="43" customFormat="1" x14ac:dyDescent="0.25">
      <c r="B114" s="43" t="s">
        <v>59</v>
      </c>
      <c r="D114" s="45">
        <f>'Minimum price'!E21</f>
        <v>22.643000000000001</v>
      </c>
    </row>
    <row r="115" spans="1:11" s="43" customFormat="1" x14ac:dyDescent="0.25"/>
    <row r="116" spans="1:11" s="43" customFormat="1" x14ac:dyDescent="0.25">
      <c r="A116" s="43" t="s">
        <v>79</v>
      </c>
    </row>
    <row r="117" spans="1:11" s="43" customFormat="1" x14ac:dyDescent="0.25"/>
    <row r="118" spans="1:11" s="43" customFormat="1" ht="31.5" customHeight="1" x14ac:dyDescent="0.25">
      <c r="A118" s="206" t="s">
        <v>81</v>
      </c>
      <c r="B118" s="206"/>
      <c r="C118" s="206"/>
      <c r="D118" s="206"/>
      <c r="E118" s="206"/>
      <c r="F118" s="206"/>
      <c r="G118" s="206"/>
      <c r="H118" s="206"/>
      <c r="I118" s="206"/>
      <c r="J118" s="206"/>
      <c r="K118" s="206"/>
    </row>
    <row r="119" spans="1:11" s="43" customFormat="1" x14ac:dyDescent="0.25"/>
    <row r="120" spans="1:11" s="43" customFormat="1" ht="31.5" customHeight="1" x14ac:dyDescent="0.25">
      <c r="B120" s="202" t="s">
        <v>74</v>
      </c>
      <c r="C120" s="202"/>
      <c r="D120" s="202"/>
      <c r="E120" s="202"/>
      <c r="F120" s="202"/>
      <c r="G120" s="202"/>
      <c r="H120" s="202"/>
      <c r="I120" s="202"/>
      <c r="J120" s="202"/>
      <c r="K120" s="202"/>
    </row>
    <row r="121" spans="1:11" s="43" customFormat="1" x14ac:dyDescent="0.25">
      <c r="B121" s="43" t="s">
        <v>75</v>
      </c>
    </row>
    <row r="122" spans="1:11" s="43" customFormat="1" ht="31.5" customHeight="1" x14ac:dyDescent="0.25">
      <c r="B122" s="202" t="s">
        <v>76</v>
      </c>
      <c r="C122" s="202"/>
      <c r="D122" s="202"/>
      <c r="E122" s="202"/>
      <c r="F122" s="202"/>
      <c r="G122" s="202"/>
      <c r="H122" s="202"/>
      <c r="I122" s="202"/>
      <c r="J122" s="202"/>
      <c r="K122" s="202"/>
    </row>
    <row r="123" spans="1:11" s="43" customFormat="1" x14ac:dyDescent="0.25">
      <c r="B123" s="43" t="s">
        <v>77</v>
      </c>
    </row>
    <row r="124" spans="1:11" s="43" customFormat="1" x14ac:dyDescent="0.25"/>
  </sheetData>
  <scenarios current="0">
    <scenario name="Solver" count="1" user="Joe Smolira" comment="Created by Joe Smolira on 11/20/2008">
      <inputCells r="D48" val="22.6363352412223" numFmtId="164"/>
    </scenario>
  </scenarios>
  <mergeCells count="18">
    <mergeCell ref="A5:K5"/>
    <mergeCell ref="C61:F61"/>
    <mergeCell ref="C82:G82"/>
    <mergeCell ref="A118:K118"/>
    <mergeCell ref="A40:K40"/>
    <mergeCell ref="A41:K41"/>
    <mergeCell ref="A38:K38"/>
    <mergeCell ref="C17:D17"/>
    <mergeCell ref="A97:J97"/>
    <mergeCell ref="A43:K43"/>
    <mergeCell ref="B120:K120"/>
    <mergeCell ref="B122:K122"/>
    <mergeCell ref="A59:K59"/>
    <mergeCell ref="A94:K94"/>
    <mergeCell ref="A90:K90"/>
    <mergeCell ref="A80:K80"/>
    <mergeCell ref="A74:K74"/>
    <mergeCell ref="A112:K1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topLeftCell="A32" zoomScale="80" zoomScaleNormal="80" workbookViewId="0">
      <selection activeCell="B49" sqref="B49"/>
    </sheetView>
  </sheetViews>
  <sheetFormatPr defaultRowHeight="15" x14ac:dyDescent="0.25"/>
  <cols>
    <col min="1" max="1" width="33.85546875" bestFit="1" customWidth="1"/>
    <col min="2" max="2" width="14" bestFit="1" customWidth="1"/>
    <col min="3" max="3" width="13.85546875" bestFit="1" customWidth="1"/>
    <col min="4" max="4" width="14.28515625" bestFit="1" customWidth="1"/>
    <col min="5" max="5" width="13.85546875" bestFit="1" customWidth="1"/>
    <col min="6" max="6" width="13.28515625" customWidth="1"/>
    <col min="7" max="7" width="15.7109375" bestFit="1" customWidth="1"/>
    <col min="8" max="8" width="14.7109375" bestFit="1" customWidth="1"/>
    <col min="9" max="9" width="21.42578125" bestFit="1" customWidth="1"/>
    <col min="10" max="12" width="13.85546875" bestFit="1" customWidth="1"/>
    <col min="13" max="14" width="12.28515625" bestFit="1" customWidth="1"/>
  </cols>
  <sheetData>
    <row r="1" spans="1:12" x14ac:dyDescent="0.25">
      <c r="H1" t="s">
        <v>263</v>
      </c>
    </row>
    <row r="2" spans="1:12" x14ac:dyDescent="0.25">
      <c r="A2" t="s">
        <v>252</v>
      </c>
      <c r="B2" t="s">
        <v>253</v>
      </c>
      <c r="C2" t="s">
        <v>254</v>
      </c>
      <c r="D2" t="s">
        <v>255</v>
      </c>
      <c r="E2" t="s">
        <v>256</v>
      </c>
      <c r="F2" t="s">
        <v>257</v>
      </c>
      <c r="H2" s="186">
        <v>0.1</v>
      </c>
    </row>
    <row r="3" spans="1:12" x14ac:dyDescent="0.25">
      <c r="A3" s="186" t="s">
        <v>262</v>
      </c>
      <c r="B3" s="188">
        <v>-30000</v>
      </c>
      <c r="C3" s="188"/>
      <c r="D3" s="188"/>
      <c r="E3" s="188"/>
      <c r="F3" s="188"/>
      <c r="H3" s="187"/>
    </row>
    <row r="4" spans="1:12" x14ac:dyDescent="0.25">
      <c r="A4" s="186" t="s">
        <v>127</v>
      </c>
      <c r="B4" s="188"/>
      <c r="C4" s="188">
        <v>15500</v>
      </c>
      <c r="D4" s="188">
        <v>16000</v>
      </c>
      <c r="E4" s="188">
        <v>16500</v>
      </c>
      <c r="F4" s="188">
        <v>13500</v>
      </c>
      <c r="H4" s="187"/>
      <c r="J4" s="185"/>
      <c r="L4" s="185"/>
    </row>
    <row r="5" spans="1:12" x14ac:dyDescent="0.25">
      <c r="A5" s="186" t="s">
        <v>129</v>
      </c>
      <c r="B5" s="188"/>
      <c r="C5" s="188">
        <v>3300</v>
      </c>
      <c r="D5" s="188">
        <v>3400</v>
      </c>
      <c r="E5" s="188">
        <v>3500</v>
      </c>
      <c r="F5" s="188">
        <v>2700</v>
      </c>
      <c r="H5" s="187"/>
      <c r="J5" s="185"/>
      <c r="L5" s="185"/>
    </row>
    <row r="6" spans="1:12" x14ac:dyDescent="0.25">
      <c r="A6" s="186" t="s">
        <v>11</v>
      </c>
      <c r="B6" s="188"/>
      <c r="C6" s="188">
        <v>7500</v>
      </c>
      <c r="D6" s="188">
        <v>7500</v>
      </c>
      <c r="E6" s="188">
        <v>7500</v>
      </c>
      <c r="F6" s="188">
        <v>7500</v>
      </c>
      <c r="H6" s="187"/>
      <c r="J6" s="185"/>
      <c r="L6" s="185"/>
    </row>
    <row r="7" spans="1:12" ht="14.25" customHeight="1" x14ac:dyDescent="0.25">
      <c r="A7" s="186" t="s">
        <v>258</v>
      </c>
      <c r="B7" s="188"/>
      <c r="C7" s="188">
        <f>C4-C5-C6</f>
        <v>4700</v>
      </c>
      <c r="D7" s="188">
        <f t="shared" ref="D7:E7" si="0">D4-D5-D6</f>
        <v>5100</v>
      </c>
      <c r="E7" s="188">
        <f t="shared" si="0"/>
        <v>5500</v>
      </c>
      <c r="F7" s="188">
        <f>F4-F5-F6</f>
        <v>3300</v>
      </c>
      <c r="H7" s="187"/>
      <c r="J7" s="185"/>
      <c r="L7" s="185"/>
    </row>
    <row r="8" spans="1:12" x14ac:dyDescent="0.25">
      <c r="A8" s="190">
        <v>0.4</v>
      </c>
      <c r="B8" s="189"/>
      <c r="C8" s="189">
        <f>C7*$A$8</f>
        <v>1880</v>
      </c>
      <c r="D8" s="189">
        <f t="shared" ref="D8:E8" si="1">D7*$A$8</f>
        <v>2040</v>
      </c>
      <c r="E8" s="189">
        <f t="shared" si="1"/>
        <v>2200</v>
      </c>
      <c r="F8" s="189">
        <f>F7*$A$8</f>
        <v>1320</v>
      </c>
      <c r="H8" s="187"/>
    </row>
    <row r="9" spans="1:12" x14ac:dyDescent="0.25">
      <c r="A9" s="186" t="s">
        <v>261</v>
      </c>
      <c r="B9" s="188">
        <v>360</v>
      </c>
      <c r="C9" s="188">
        <v>410</v>
      </c>
      <c r="D9" s="188">
        <v>460</v>
      </c>
      <c r="E9" s="188">
        <v>360</v>
      </c>
      <c r="F9" s="188"/>
      <c r="H9" s="187"/>
    </row>
    <row r="10" spans="1:12" x14ac:dyDescent="0.25">
      <c r="A10" s="186" t="s">
        <v>259</v>
      </c>
      <c r="B10" s="189"/>
      <c r="C10" s="189">
        <f>C7-C8</f>
        <v>2820</v>
      </c>
      <c r="D10" s="189">
        <f t="shared" ref="D10:E10" si="2">D7-D8</f>
        <v>3060</v>
      </c>
      <c r="E10" s="189">
        <f t="shared" si="2"/>
        <v>3300</v>
      </c>
      <c r="F10" s="189">
        <f>F7-F8</f>
        <v>1980</v>
      </c>
      <c r="H10" s="187"/>
    </row>
    <row r="11" spans="1:12" x14ac:dyDescent="0.25">
      <c r="A11" s="186" t="s">
        <v>266</v>
      </c>
      <c r="B11" s="189"/>
      <c r="C11" s="189">
        <f>C4-C5-C8</f>
        <v>10320</v>
      </c>
      <c r="D11" s="189">
        <f t="shared" ref="D11:E11" si="3">D4-D5-D8</f>
        <v>10560</v>
      </c>
      <c r="E11" s="189">
        <f t="shared" si="3"/>
        <v>10800</v>
      </c>
      <c r="F11" s="189">
        <f>F4-F5-F8</f>
        <v>9480</v>
      </c>
      <c r="H11" s="187"/>
    </row>
    <row r="12" spans="1:12" x14ac:dyDescent="0.25">
      <c r="A12" s="186" t="s">
        <v>35</v>
      </c>
      <c r="B12" s="189">
        <f>-B9</f>
        <v>-360</v>
      </c>
      <c r="C12" s="189">
        <f>B9-C9</f>
        <v>-50</v>
      </c>
      <c r="D12" s="189">
        <f t="shared" ref="D12" si="4">C9-D9</f>
        <v>-50</v>
      </c>
      <c r="E12" s="189">
        <f>D9-E9</f>
        <v>100</v>
      </c>
      <c r="F12" s="189">
        <f>E9-F9</f>
        <v>360</v>
      </c>
      <c r="H12" s="187"/>
    </row>
    <row r="13" spans="1:12" x14ac:dyDescent="0.25">
      <c r="A13" s="186" t="s">
        <v>265</v>
      </c>
      <c r="B13" s="189">
        <f>B3+B12</f>
        <v>-30360</v>
      </c>
      <c r="C13" s="189">
        <f>C12</f>
        <v>-50</v>
      </c>
      <c r="D13" s="189">
        <f t="shared" ref="D13:E13" si="5">D12</f>
        <v>-50</v>
      </c>
      <c r="E13" s="189">
        <f t="shared" si="5"/>
        <v>100</v>
      </c>
      <c r="F13" s="189">
        <f>F12</f>
        <v>360</v>
      </c>
      <c r="H13" s="187"/>
    </row>
    <row r="14" spans="1:12" x14ac:dyDescent="0.25">
      <c r="A14" s="186" t="s">
        <v>264</v>
      </c>
      <c r="B14" s="189">
        <f>B11+B13</f>
        <v>-30360</v>
      </c>
      <c r="C14" s="189">
        <f>C11-C9</f>
        <v>9910</v>
      </c>
      <c r="D14" s="189">
        <f t="shared" ref="D14:E14" si="6">D11-D9</f>
        <v>10100</v>
      </c>
      <c r="E14" s="189">
        <f t="shared" si="6"/>
        <v>10440</v>
      </c>
      <c r="F14" s="189">
        <f>SUM(B9:E9)+F11</f>
        <v>11070</v>
      </c>
      <c r="H14" s="187"/>
    </row>
    <row r="15" spans="1:12" x14ac:dyDescent="0.25">
      <c r="A15" s="186" t="s">
        <v>18</v>
      </c>
      <c r="B15" s="189">
        <f>NPV(H2,C14:F14)+B14</f>
        <v>2400.8838194112359</v>
      </c>
      <c r="C15" s="189"/>
      <c r="D15" s="189"/>
      <c r="E15" s="189"/>
      <c r="F15" s="189"/>
      <c r="G15" s="194"/>
      <c r="H15" s="187"/>
    </row>
    <row r="17" spans="1:14" x14ac:dyDescent="0.25">
      <c r="A17" s="191"/>
      <c r="B17" s="191"/>
      <c r="C17" s="191"/>
      <c r="D17" s="191"/>
      <c r="E17" s="191"/>
      <c r="F17" s="191"/>
      <c r="G17" s="191" t="s">
        <v>283</v>
      </c>
      <c r="H17" s="191"/>
      <c r="I17" s="191" t="s">
        <v>282</v>
      </c>
      <c r="J17" s="191"/>
      <c r="K17" s="191">
        <v>0.33329999999999999</v>
      </c>
      <c r="L17" s="191">
        <v>0.44450000000000001</v>
      </c>
      <c r="M17" s="191">
        <v>0.14810000000000001</v>
      </c>
      <c r="N17" s="191">
        <v>7.4099999999999999E-2</v>
      </c>
    </row>
    <row r="18" spans="1:14" x14ac:dyDescent="0.25">
      <c r="A18" s="191"/>
      <c r="B18" s="191"/>
      <c r="C18" s="191"/>
      <c r="D18" s="191" t="s">
        <v>271</v>
      </c>
      <c r="E18" s="192">
        <v>4100</v>
      </c>
      <c r="F18" s="192"/>
      <c r="G18" s="192">
        <f>E18*$E$22</f>
        <v>2788000</v>
      </c>
      <c r="H18" s="191"/>
      <c r="I18" s="191" t="s">
        <v>281</v>
      </c>
      <c r="J18" s="192">
        <v>3800000</v>
      </c>
      <c r="K18" s="193">
        <f>$J$18*K17</f>
        <v>1266540</v>
      </c>
      <c r="L18" s="193">
        <f>$J$18*L17</f>
        <v>1689100</v>
      </c>
      <c r="M18" s="193">
        <f>$J$18*M17</f>
        <v>562780</v>
      </c>
      <c r="N18" s="193">
        <f>$J$18*N17</f>
        <v>281580</v>
      </c>
    </row>
    <row r="19" spans="1:14" x14ac:dyDescent="0.25">
      <c r="A19" s="191" t="s">
        <v>267</v>
      </c>
      <c r="B19" s="192">
        <v>1430000</v>
      </c>
      <c r="C19" s="191"/>
      <c r="D19" s="191" t="s">
        <v>274</v>
      </c>
      <c r="E19" s="192">
        <v>5000</v>
      </c>
      <c r="F19" s="192"/>
      <c r="G19" s="192">
        <f t="shared" ref="G19:G21" si="7">E19*$E$22</f>
        <v>3400000</v>
      </c>
      <c r="H19" s="191"/>
      <c r="I19" s="191" t="s">
        <v>288</v>
      </c>
      <c r="J19" s="192">
        <v>415000</v>
      </c>
      <c r="K19" s="191"/>
      <c r="L19" s="191"/>
      <c r="M19" s="191"/>
      <c r="N19" s="191"/>
    </row>
    <row r="20" spans="1:14" x14ac:dyDescent="0.25">
      <c r="A20" s="191" t="s">
        <v>268</v>
      </c>
      <c r="B20" s="192">
        <v>1530000</v>
      </c>
      <c r="C20" s="191"/>
      <c r="D20" s="191" t="s">
        <v>272</v>
      </c>
      <c r="E20" s="192">
        <v>5600</v>
      </c>
      <c r="F20" s="192"/>
      <c r="G20" s="192">
        <f t="shared" si="7"/>
        <v>3808000</v>
      </c>
      <c r="H20" s="191"/>
      <c r="I20" s="191" t="s">
        <v>291</v>
      </c>
      <c r="J20" s="192">
        <f>J19*B34</f>
        <v>166000</v>
      </c>
      <c r="K20" s="191"/>
      <c r="L20" s="191"/>
      <c r="M20" s="191"/>
      <c r="N20" s="191"/>
    </row>
    <row r="21" spans="1:14" x14ac:dyDescent="0.25">
      <c r="A21" s="191" t="s">
        <v>269</v>
      </c>
      <c r="B21" s="192">
        <v>1630000</v>
      </c>
      <c r="C21" s="191"/>
      <c r="D21" s="191" t="s">
        <v>273</v>
      </c>
      <c r="E21" s="192">
        <v>4500</v>
      </c>
      <c r="F21" s="192"/>
      <c r="G21" s="192">
        <f t="shared" si="7"/>
        <v>3060000</v>
      </c>
      <c r="H21" s="191"/>
      <c r="I21" s="191" t="s">
        <v>202</v>
      </c>
      <c r="J21" s="193">
        <f>J19-J20</f>
        <v>249000</v>
      </c>
      <c r="K21" s="191"/>
      <c r="L21" s="191"/>
      <c r="M21" s="191"/>
      <c r="N21" s="191"/>
    </row>
    <row r="22" spans="1:14" x14ac:dyDescent="0.25">
      <c r="A22" s="191" t="s">
        <v>270</v>
      </c>
      <c r="B22" s="192">
        <v>128000</v>
      </c>
      <c r="C22" s="191"/>
      <c r="D22" s="191" t="s">
        <v>24</v>
      </c>
      <c r="E22" s="192">
        <v>680</v>
      </c>
      <c r="F22" s="192"/>
      <c r="G22" s="191"/>
      <c r="H22" s="191"/>
      <c r="I22" s="191"/>
      <c r="J22" s="191"/>
      <c r="K22" s="191"/>
      <c r="L22" s="191"/>
      <c r="M22" s="191"/>
      <c r="N22" s="191"/>
    </row>
    <row r="23" spans="1:14" x14ac:dyDescent="0.25">
      <c r="A23" s="191"/>
      <c r="B23" s="191"/>
      <c r="C23" s="191"/>
      <c r="D23" s="191"/>
      <c r="E23" s="191"/>
      <c r="F23" s="191"/>
      <c r="G23" s="191"/>
      <c r="H23" s="191"/>
      <c r="I23" s="191"/>
      <c r="J23" s="191"/>
      <c r="K23" s="191"/>
      <c r="L23" s="191"/>
      <c r="M23" s="191"/>
      <c r="N23" s="191"/>
    </row>
    <row r="24" spans="1:14" x14ac:dyDescent="0.25">
      <c r="A24" s="191"/>
      <c r="B24" s="191"/>
      <c r="C24" s="191"/>
      <c r="D24" s="191"/>
      <c r="E24" s="191"/>
      <c r="F24" s="191"/>
      <c r="G24" s="191"/>
      <c r="H24" s="191"/>
      <c r="I24" s="191"/>
      <c r="J24" s="191"/>
      <c r="K24" s="191"/>
      <c r="L24" s="191"/>
      <c r="M24" s="191"/>
      <c r="N24" s="191"/>
    </row>
    <row r="25" spans="1:14" x14ac:dyDescent="0.25">
      <c r="A25" s="191"/>
      <c r="B25" s="191"/>
      <c r="C25" s="191"/>
      <c r="D25" s="191"/>
      <c r="E25" s="191"/>
      <c r="F25" s="191"/>
      <c r="G25" s="191"/>
      <c r="H25" s="191"/>
      <c r="I25" s="191"/>
      <c r="J25" s="191"/>
      <c r="K25" s="191"/>
      <c r="L25" s="191"/>
      <c r="M25" s="191"/>
      <c r="N25" s="191"/>
    </row>
    <row r="26" spans="1:14" x14ac:dyDescent="0.25">
      <c r="A26" s="191"/>
      <c r="B26" s="191"/>
      <c r="C26" s="191" t="s">
        <v>287</v>
      </c>
      <c r="D26" s="191" t="s">
        <v>292</v>
      </c>
      <c r="E26" s="191" t="s">
        <v>293</v>
      </c>
      <c r="F26" s="191"/>
      <c r="G26" s="191"/>
      <c r="H26" s="191"/>
      <c r="I26" s="191"/>
      <c r="J26" s="191"/>
      <c r="K26" s="191"/>
      <c r="L26" s="191"/>
      <c r="M26" s="191"/>
      <c r="N26" s="191"/>
    </row>
    <row r="27" spans="1:14" x14ac:dyDescent="0.25">
      <c r="A27" s="191" t="s">
        <v>280</v>
      </c>
      <c r="B27" s="191">
        <v>0.15</v>
      </c>
      <c r="C27" s="191"/>
      <c r="D27" s="191"/>
      <c r="E27" s="191"/>
      <c r="F27" s="191"/>
      <c r="G27" s="191"/>
      <c r="H27" s="191"/>
      <c r="I27" s="191"/>
      <c r="J27" s="191"/>
      <c r="K27" s="191"/>
      <c r="L27" s="191"/>
      <c r="M27" s="191"/>
      <c r="N27" s="191"/>
    </row>
    <row r="28" spans="1:14" x14ac:dyDescent="0.25">
      <c r="A28" s="191" t="s">
        <v>275</v>
      </c>
      <c r="B28" s="192">
        <v>44000</v>
      </c>
      <c r="C28" s="191"/>
      <c r="D28" s="191"/>
      <c r="E28" s="191"/>
      <c r="F28" s="191"/>
      <c r="G28" s="191"/>
      <c r="H28" s="191"/>
      <c r="I28" s="191"/>
      <c r="J28" s="191"/>
      <c r="K28" s="191"/>
      <c r="L28" s="191"/>
      <c r="M28" s="191"/>
      <c r="N28" s="191"/>
    </row>
    <row r="29" spans="1:14" x14ac:dyDescent="0.25">
      <c r="A29" s="191" t="s">
        <v>276</v>
      </c>
      <c r="B29" s="193">
        <f>$B$27*G18</f>
        <v>418200</v>
      </c>
      <c r="C29" s="191">
        <f>B29/E18</f>
        <v>102</v>
      </c>
      <c r="D29" s="193">
        <f>C29*E18</f>
        <v>418200</v>
      </c>
      <c r="E29" s="192">
        <v>440000</v>
      </c>
      <c r="F29" s="191"/>
      <c r="G29" s="191"/>
      <c r="H29" s="191"/>
      <c r="I29" s="191"/>
      <c r="J29" s="191"/>
      <c r="K29" s="191"/>
      <c r="L29" s="191"/>
      <c r="M29" s="191"/>
      <c r="N29" s="191"/>
    </row>
    <row r="30" spans="1:14" x14ac:dyDescent="0.25">
      <c r="A30" s="191" t="s">
        <v>277</v>
      </c>
      <c r="B30" s="193">
        <f t="shared" ref="B30:B32" si="8">$B$27*G19</f>
        <v>510000</v>
      </c>
      <c r="C30" s="191">
        <f>B30/E19</f>
        <v>102</v>
      </c>
      <c r="D30" s="193">
        <f>C30*E19</f>
        <v>510000</v>
      </c>
      <c r="E30" s="192">
        <v>440000</v>
      </c>
      <c r="F30" s="191"/>
      <c r="G30" s="191"/>
      <c r="H30" s="191"/>
      <c r="I30" s="191"/>
      <c r="J30" s="191"/>
      <c r="K30" s="191"/>
      <c r="L30" s="191"/>
      <c r="M30" s="191"/>
      <c r="N30" s="191"/>
    </row>
    <row r="31" spans="1:14" x14ac:dyDescent="0.25">
      <c r="A31" s="191" t="s">
        <v>278</v>
      </c>
      <c r="B31" s="193">
        <f t="shared" si="8"/>
        <v>571200</v>
      </c>
      <c r="C31" s="191">
        <f>B31/E20</f>
        <v>102</v>
      </c>
      <c r="D31" s="193">
        <f>C31*E20</f>
        <v>571200</v>
      </c>
      <c r="E31" s="192">
        <v>440000</v>
      </c>
      <c r="F31" s="191"/>
      <c r="G31" s="191"/>
      <c r="H31" s="191"/>
      <c r="I31" s="191"/>
      <c r="J31" s="191"/>
      <c r="K31" s="191"/>
      <c r="L31" s="191"/>
      <c r="M31" s="191"/>
      <c r="N31" s="191"/>
    </row>
    <row r="32" spans="1:14" x14ac:dyDescent="0.25">
      <c r="A32" s="191" t="s">
        <v>279</v>
      </c>
      <c r="B32" s="193">
        <f t="shared" si="8"/>
        <v>459000</v>
      </c>
      <c r="C32" s="191">
        <f>B32/E21</f>
        <v>102</v>
      </c>
      <c r="D32" s="193">
        <f>C32*E21</f>
        <v>459000</v>
      </c>
      <c r="E32" s="192">
        <v>440000</v>
      </c>
      <c r="F32" s="191"/>
      <c r="G32" s="191"/>
      <c r="H32" s="191"/>
      <c r="I32" s="191"/>
      <c r="J32" s="191"/>
      <c r="K32" s="191"/>
      <c r="L32" s="191"/>
      <c r="M32" s="191"/>
      <c r="N32" s="191"/>
    </row>
    <row r="33" spans="1:14" x14ac:dyDescent="0.25">
      <c r="A33" s="191" t="s">
        <v>284</v>
      </c>
      <c r="B33" s="192">
        <v>128000</v>
      </c>
      <c r="C33" s="191"/>
      <c r="D33" s="193"/>
      <c r="E33" s="191"/>
      <c r="F33" s="191"/>
      <c r="G33" s="191"/>
      <c r="H33" s="191"/>
      <c r="I33" s="191"/>
      <c r="J33" s="191"/>
      <c r="K33" s="191"/>
      <c r="L33" s="191"/>
      <c r="M33" s="191"/>
      <c r="N33" s="191"/>
    </row>
    <row r="34" spans="1:14" x14ac:dyDescent="0.25">
      <c r="A34" s="191" t="s">
        <v>285</v>
      </c>
      <c r="B34" s="192">
        <v>0.4</v>
      </c>
      <c r="C34" s="191"/>
      <c r="D34" s="193"/>
      <c r="E34" s="191"/>
      <c r="F34" s="191"/>
      <c r="G34" s="191"/>
      <c r="H34" s="191"/>
      <c r="I34" s="191"/>
      <c r="J34" s="191"/>
      <c r="K34" s="191"/>
      <c r="L34" s="191"/>
      <c r="M34" s="191"/>
      <c r="N34" s="191"/>
    </row>
    <row r="35" spans="1:14" x14ac:dyDescent="0.25">
      <c r="A35" s="191" t="s">
        <v>286</v>
      </c>
      <c r="B35" s="192">
        <v>0.13</v>
      </c>
      <c r="C35" s="191"/>
      <c r="D35" s="193"/>
      <c r="E35" s="191"/>
      <c r="F35" s="191"/>
      <c r="G35" s="191"/>
      <c r="H35" s="191"/>
      <c r="I35" s="191"/>
      <c r="J35" s="191"/>
      <c r="K35" s="191"/>
      <c r="L35" s="191"/>
      <c r="M35" s="191"/>
      <c r="N35" s="191"/>
    </row>
    <row r="36" spans="1:14" x14ac:dyDescent="0.25">
      <c r="A36" s="191"/>
      <c r="B36" s="191" t="s">
        <v>91</v>
      </c>
      <c r="C36" s="191" t="s">
        <v>92</v>
      </c>
      <c r="D36" s="191" t="s">
        <v>93</v>
      </c>
      <c r="E36" s="191" t="s">
        <v>94</v>
      </c>
      <c r="F36" s="191" t="s">
        <v>95</v>
      </c>
      <c r="G36" s="191" t="s">
        <v>140</v>
      </c>
      <c r="H36" s="191"/>
      <c r="I36" s="191"/>
      <c r="J36" s="191"/>
      <c r="K36" s="191"/>
      <c r="L36" s="191"/>
      <c r="M36" s="191"/>
      <c r="N36" s="191"/>
    </row>
    <row r="37" spans="1:14" x14ac:dyDescent="0.25">
      <c r="A37" s="191" t="s">
        <v>127</v>
      </c>
      <c r="B37" s="193">
        <f>G18</f>
        <v>2788000</v>
      </c>
      <c r="C37" s="193">
        <f>G19</f>
        <v>3400000</v>
      </c>
      <c r="D37" s="193">
        <f>G20</f>
        <v>3808000</v>
      </c>
      <c r="E37" s="193">
        <f>G21</f>
        <v>3060000</v>
      </c>
      <c r="F37" s="193"/>
      <c r="G37" s="191"/>
      <c r="H37" s="191"/>
      <c r="I37" s="191"/>
      <c r="J37" s="191"/>
      <c r="K37" s="191"/>
      <c r="L37" s="191"/>
      <c r="M37" s="191"/>
      <c r="N37" s="191"/>
    </row>
    <row r="38" spans="1:14" x14ac:dyDescent="0.25">
      <c r="A38" s="191" t="s">
        <v>129</v>
      </c>
      <c r="B38" s="193">
        <f>D29+E29</f>
        <v>858200</v>
      </c>
      <c r="C38" s="193">
        <f>D30+E30</f>
        <v>950000</v>
      </c>
      <c r="D38" s="193">
        <f>D31+E31</f>
        <v>1011200</v>
      </c>
      <c r="E38" s="193">
        <f>D32+E32</f>
        <v>899000</v>
      </c>
      <c r="F38" s="193"/>
      <c r="G38" s="191"/>
      <c r="H38" s="191"/>
      <c r="I38" s="191"/>
      <c r="J38" s="191"/>
      <c r="K38" s="191"/>
      <c r="L38" s="191"/>
      <c r="M38" s="191"/>
      <c r="N38" s="191"/>
    </row>
    <row r="39" spans="1:14" x14ac:dyDescent="0.25">
      <c r="A39" s="191" t="s">
        <v>11</v>
      </c>
      <c r="B39" s="193">
        <f>K18</f>
        <v>1266540</v>
      </c>
      <c r="C39" s="193">
        <f>L18</f>
        <v>1689100</v>
      </c>
      <c r="D39" s="193">
        <f>M18</f>
        <v>562780</v>
      </c>
      <c r="E39" s="193">
        <f>N18</f>
        <v>281580</v>
      </c>
      <c r="F39" s="193"/>
      <c r="G39" s="191"/>
      <c r="H39" s="191"/>
      <c r="I39" s="191"/>
      <c r="J39" s="191"/>
      <c r="K39" s="191"/>
      <c r="L39" s="191"/>
      <c r="M39" s="191"/>
      <c r="N39" s="191"/>
    </row>
    <row r="40" spans="1:14" x14ac:dyDescent="0.25">
      <c r="A40" s="191" t="s">
        <v>133</v>
      </c>
      <c r="B40" s="193">
        <f>B37-B38-B39</f>
        <v>663260</v>
      </c>
      <c r="C40" s="193">
        <f t="shared" ref="C40:E40" si="9">C37-C38-C39</f>
        <v>760900</v>
      </c>
      <c r="D40" s="193">
        <f t="shared" si="9"/>
        <v>2234020</v>
      </c>
      <c r="E40" s="193">
        <f t="shared" si="9"/>
        <v>1879420</v>
      </c>
      <c r="F40" s="193"/>
      <c r="G40" s="191"/>
      <c r="H40" s="191"/>
      <c r="I40" s="191"/>
      <c r="J40" s="191"/>
      <c r="K40" s="191"/>
      <c r="L40" s="191"/>
      <c r="M40" s="191"/>
      <c r="N40" s="191"/>
    </row>
    <row r="41" spans="1:14" x14ac:dyDescent="0.25">
      <c r="A41" s="191" t="s">
        <v>289</v>
      </c>
      <c r="B41" s="192">
        <f>$B$34*B40</f>
        <v>265304</v>
      </c>
      <c r="C41" s="192">
        <f t="shared" ref="C41:E41" si="10">$B$34*C40</f>
        <v>304360</v>
      </c>
      <c r="D41" s="192">
        <f t="shared" si="10"/>
        <v>893608</v>
      </c>
      <c r="E41" s="192">
        <f t="shared" si="10"/>
        <v>751768</v>
      </c>
      <c r="F41" s="192"/>
      <c r="G41" s="191"/>
      <c r="H41" s="191"/>
      <c r="I41" s="191"/>
      <c r="J41" s="191"/>
      <c r="K41" s="191"/>
      <c r="L41" s="191"/>
      <c r="M41" s="191"/>
      <c r="N41" s="191"/>
    </row>
    <row r="42" spans="1:14" x14ac:dyDescent="0.25">
      <c r="A42" s="191" t="s">
        <v>13</v>
      </c>
      <c r="B42" s="193">
        <f>B40-B41</f>
        <v>397956</v>
      </c>
      <c r="C42" s="193">
        <f t="shared" ref="C42:E42" si="11">C40-C41</f>
        <v>456540</v>
      </c>
      <c r="D42" s="193">
        <f t="shared" si="11"/>
        <v>1340412</v>
      </c>
      <c r="E42" s="193">
        <f t="shared" si="11"/>
        <v>1127652</v>
      </c>
      <c r="F42" s="193"/>
      <c r="G42" s="191"/>
      <c r="H42" s="191"/>
      <c r="I42" s="191"/>
      <c r="J42" s="191"/>
      <c r="K42" s="191"/>
      <c r="L42" s="191"/>
      <c r="M42" s="191"/>
      <c r="N42" s="191"/>
    </row>
    <row r="43" spans="1:14" x14ac:dyDescent="0.25">
      <c r="A43" s="191" t="s">
        <v>290</v>
      </c>
      <c r="B43" s="193">
        <f>B37-B38-B41</f>
        <v>1664496</v>
      </c>
      <c r="C43" s="193">
        <f t="shared" ref="C43:E43" si="12">C37-C38-C41</f>
        <v>2145640</v>
      </c>
      <c r="D43" s="193">
        <f t="shared" si="12"/>
        <v>1903192</v>
      </c>
      <c r="E43" s="193">
        <f t="shared" si="12"/>
        <v>1409232</v>
      </c>
      <c r="F43" s="193"/>
      <c r="G43" s="191"/>
      <c r="H43" s="191"/>
      <c r="I43" s="191"/>
      <c r="J43" s="191"/>
      <c r="K43" s="191"/>
      <c r="L43" s="191"/>
      <c r="M43" s="191"/>
      <c r="N43" s="191"/>
    </row>
    <row r="44" spans="1:14" x14ac:dyDescent="0.25">
      <c r="A44" s="191" t="s">
        <v>26</v>
      </c>
      <c r="B44" s="191"/>
      <c r="C44" s="191"/>
      <c r="D44" s="191"/>
      <c r="E44" s="192">
        <f>J21</f>
        <v>249000</v>
      </c>
      <c r="F44" s="192"/>
      <c r="G44" s="193">
        <f>J18</f>
        <v>3800000</v>
      </c>
      <c r="H44" s="191"/>
      <c r="I44" s="191"/>
      <c r="J44" s="191"/>
      <c r="K44" s="191"/>
      <c r="L44" s="191"/>
      <c r="M44" s="191"/>
      <c r="N44" s="191"/>
    </row>
    <row r="45" spans="1:14" x14ac:dyDescent="0.25">
      <c r="A45" s="191" t="s">
        <v>294</v>
      </c>
      <c r="B45" s="191"/>
      <c r="C45" s="191"/>
      <c r="D45" s="191"/>
      <c r="E45" s="192">
        <f>B21</f>
        <v>1630000</v>
      </c>
      <c r="F45" s="192"/>
      <c r="G45" s="193">
        <f>B19</f>
        <v>1430000</v>
      </c>
      <c r="H45" s="191"/>
      <c r="I45" s="191"/>
      <c r="J45" s="191"/>
      <c r="K45" s="191"/>
      <c r="L45" s="191"/>
      <c r="M45" s="191"/>
      <c r="N45" s="191"/>
    </row>
    <row r="46" spans="1:14" x14ac:dyDescent="0.25">
      <c r="A46" s="191" t="s">
        <v>284</v>
      </c>
      <c r="B46" s="192"/>
      <c r="C46" s="191"/>
      <c r="D46" s="191"/>
      <c r="E46" s="193">
        <f>G46</f>
        <v>128000</v>
      </c>
      <c r="F46" s="191"/>
      <c r="G46" s="193">
        <f>B33</f>
        <v>128000</v>
      </c>
      <c r="H46" s="191"/>
      <c r="I46" s="191"/>
      <c r="J46" s="191"/>
      <c r="K46" s="191"/>
      <c r="L46" s="191"/>
      <c r="M46" s="191"/>
      <c r="N46" s="191"/>
    </row>
    <row r="47" spans="1:14" x14ac:dyDescent="0.25">
      <c r="A47" s="191" t="s">
        <v>260</v>
      </c>
      <c r="B47" s="193">
        <f>B43+B44+B46+B45</f>
        <v>1664496</v>
      </c>
      <c r="C47" s="193">
        <f t="shared" ref="C47:D47" si="13">C43+C44+C46+C45</f>
        <v>2145640</v>
      </c>
      <c r="D47" s="193">
        <f t="shared" si="13"/>
        <v>1903192</v>
      </c>
      <c r="E47" s="193">
        <f>E43+E44+E46+E45</f>
        <v>3416232</v>
      </c>
      <c r="F47" s="193">
        <f>F43+F44+F46+F45</f>
        <v>0</v>
      </c>
      <c r="G47" s="193">
        <f>(G43+G44+G46+G45)*-1</f>
        <v>-5358000</v>
      </c>
      <c r="H47" s="191"/>
      <c r="I47" s="191"/>
      <c r="J47" s="191"/>
      <c r="K47" s="191"/>
      <c r="L47" s="191"/>
      <c r="M47" s="191"/>
      <c r="N47" s="191"/>
    </row>
    <row r="48" spans="1:14" x14ac:dyDescent="0.25">
      <c r="A48" s="191" t="s">
        <v>295</v>
      </c>
      <c r="B48" s="186"/>
      <c r="C48" s="186"/>
      <c r="D48" s="186"/>
      <c r="E48" s="186"/>
      <c r="F48" s="191"/>
      <c r="G48" s="191"/>
      <c r="H48" s="191"/>
      <c r="I48" s="191"/>
      <c r="J48" s="191"/>
      <c r="K48" s="191"/>
      <c r="L48" s="191"/>
      <c r="M48" s="191"/>
      <c r="N48" s="191"/>
    </row>
    <row r="49" spans="1:14" x14ac:dyDescent="0.25">
      <c r="A49" s="191" t="s">
        <v>18</v>
      </c>
      <c r="B49" s="193">
        <f>NPV(B35,B47:F47)+G47</f>
        <v>1209602.7475918503</v>
      </c>
      <c r="C49" s="191"/>
      <c r="D49" s="191"/>
      <c r="E49" s="191"/>
      <c r="F49" s="191"/>
      <c r="G49" s="191"/>
      <c r="H49" s="191"/>
      <c r="I49" s="191"/>
      <c r="J49" s="191"/>
      <c r="K49" s="191"/>
      <c r="L49" s="191"/>
      <c r="M49" s="191"/>
      <c r="N49" s="1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topLeftCell="A2" workbookViewId="0">
      <selection activeCell="J21" sqref="J21"/>
    </sheetView>
  </sheetViews>
  <sheetFormatPr defaultRowHeight="15" x14ac:dyDescent="0.25"/>
  <cols>
    <col min="1" max="1" width="2.28515625" customWidth="1"/>
    <col min="2" max="2" width="6.140625" customWidth="1"/>
    <col min="3" max="3" width="22.7109375" customWidth="1"/>
    <col min="4" max="4" width="13.7109375" bestFit="1" customWidth="1"/>
    <col min="5" max="5" width="10.85546875" bestFit="1" customWidth="1"/>
    <col min="6" max="6" width="7.7109375" customWidth="1"/>
    <col min="7" max="7" width="5.42578125" customWidth="1"/>
  </cols>
  <sheetData>
    <row r="1" spans="1:5" x14ac:dyDescent="0.25">
      <c r="A1" s="83" t="s">
        <v>223</v>
      </c>
    </row>
    <row r="2" spans="1:5" x14ac:dyDescent="0.25">
      <c r="A2" s="83" t="s">
        <v>166</v>
      </c>
    </row>
    <row r="3" spans="1:5" x14ac:dyDescent="0.25">
      <c r="A3" s="83" t="s">
        <v>248</v>
      </c>
    </row>
    <row r="4" spans="1:5" x14ac:dyDescent="0.25">
      <c r="A4" s="83" t="s">
        <v>224</v>
      </c>
    </row>
    <row r="5" spans="1:5" x14ac:dyDescent="0.25">
      <c r="A5" s="83" t="s">
        <v>225</v>
      </c>
    </row>
    <row r="6" spans="1:5" x14ac:dyDescent="0.25">
      <c r="A6" s="83"/>
      <c r="B6" t="s">
        <v>226</v>
      </c>
    </row>
    <row r="7" spans="1:5" x14ac:dyDescent="0.25">
      <c r="A7" s="83"/>
      <c r="B7" t="s">
        <v>227</v>
      </c>
    </row>
    <row r="8" spans="1:5" x14ac:dyDescent="0.25">
      <c r="A8" s="83"/>
      <c r="B8" t="s">
        <v>228</v>
      </c>
    </row>
    <row r="9" spans="1:5" x14ac:dyDescent="0.25">
      <c r="A9" s="83" t="s">
        <v>229</v>
      </c>
    </row>
    <row r="10" spans="1:5" x14ac:dyDescent="0.25">
      <c r="B10" t="s">
        <v>230</v>
      </c>
    </row>
    <row r="11" spans="1:5" x14ac:dyDescent="0.25">
      <c r="B11" t="s">
        <v>231</v>
      </c>
    </row>
    <row r="12" spans="1:5" x14ac:dyDescent="0.25">
      <c r="B12" t="s">
        <v>232</v>
      </c>
    </row>
    <row r="14" spans="1:5" ht="15.75" thickBot="1" x14ac:dyDescent="0.3">
      <c r="A14" t="s">
        <v>233</v>
      </c>
    </row>
    <row r="15" spans="1:5" ht="15.75" thickBot="1" x14ac:dyDescent="0.3">
      <c r="B15" s="184" t="s">
        <v>66</v>
      </c>
      <c r="C15" s="184" t="s">
        <v>67</v>
      </c>
      <c r="D15" s="184" t="s">
        <v>68</v>
      </c>
      <c r="E15" s="184" t="s">
        <v>69</v>
      </c>
    </row>
    <row r="16" spans="1:5" ht="15.75" thickBot="1" x14ac:dyDescent="0.3">
      <c r="B16" s="84" t="s">
        <v>167</v>
      </c>
      <c r="C16" s="84" t="s">
        <v>73</v>
      </c>
      <c r="D16" s="85">
        <v>333871.80009999999</v>
      </c>
      <c r="E16" s="85">
        <v>0</v>
      </c>
    </row>
    <row r="19" spans="1:7" ht="15.75" thickBot="1" x14ac:dyDescent="0.3">
      <c r="A19" t="s">
        <v>234</v>
      </c>
    </row>
    <row r="20" spans="1:7" ht="15.75" thickBot="1" x14ac:dyDescent="0.3">
      <c r="B20" s="184" t="s">
        <v>66</v>
      </c>
      <c r="C20" s="184" t="s">
        <v>67</v>
      </c>
      <c r="D20" s="184" t="s">
        <v>68</v>
      </c>
      <c r="E20" s="184" t="s">
        <v>69</v>
      </c>
      <c r="F20" s="184" t="s">
        <v>235</v>
      </c>
    </row>
    <row r="21" spans="1:7" ht="45.75" thickBot="1" x14ac:dyDescent="0.3">
      <c r="B21" s="84" t="s">
        <v>168</v>
      </c>
      <c r="C21" s="139" t="s">
        <v>169</v>
      </c>
      <c r="D21" s="86">
        <v>25</v>
      </c>
      <c r="E21" s="86">
        <v>22.643000000000001</v>
      </c>
      <c r="F21" s="84" t="s">
        <v>240</v>
      </c>
    </row>
    <row r="24" spans="1:7" ht="15.75" thickBot="1" x14ac:dyDescent="0.3">
      <c r="A24" t="s">
        <v>71</v>
      </c>
    </row>
    <row r="25" spans="1:7" ht="15.75" thickBot="1" x14ac:dyDescent="0.3">
      <c r="B25" s="184" t="s">
        <v>66</v>
      </c>
      <c r="C25" s="184" t="s">
        <v>67</v>
      </c>
      <c r="D25" s="184" t="s">
        <v>236</v>
      </c>
      <c r="E25" s="184" t="s">
        <v>237</v>
      </c>
      <c r="F25" s="184" t="s">
        <v>238</v>
      </c>
      <c r="G25" s="184" t="s">
        <v>239</v>
      </c>
    </row>
    <row r="26" spans="1:7" ht="15.75" thickBot="1" x14ac:dyDescent="0.3">
      <c r="B26" s="84" t="s">
        <v>167</v>
      </c>
      <c r="C26" s="84" t="s">
        <v>73</v>
      </c>
      <c r="D26" s="85">
        <v>0</v>
      </c>
      <c r="E26" s="84" t="s">
        <v>241</v>
      </c>
      <c r="F26" s="84" t="s">
        <v>242</v>
      </c>
      <c r="G26" s="8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79646"/>
  </sheetPr>
  <dimension ref="A1:S14"/>
  <sheetViews>
    <sheetView workbookViewId="0"/>
  </sheetViews>
  <sheetFormatPr defaultRowHeight="15.75" x14ac:dyDescent="0.25"/>
  <cols>
    <col min="1" max="1" width="4.7109375" style="111" customWidth="1"/>
    <col min="2" max="33" width="14.7109375" style="15" customWidth="1"/>
    <col min="34" max="64" width="10.7109375" style="15" customWidth="1"/>
    <col min="65" max="16384" width="9.140625" style="15"/>
  </cols>
  <sheetData>
    <row r="1" spans="1:19" ht="16.5" thickBot="1" x14ac:dyDescent="0.3"/>
    <row r="2" spans="1:19" ht="21.75" thickBot="1" x14ac:dyDescent="0.4">
      <c r="B2" s="94" t="s">
        <v>243</v>
      </c>
      <c r="C2" s="95"/>
      <c r="D2" s="109"/>
      <c r="E2" s="18"/>
      <c r="F2" s="18"/>
      <c r="G2" s="18"/>
      <c r="H2" s="18"/>
      <c r="I2" s="18"/>
      <c r="J2" s="18"/>
      <c r="K2" s="18"/>
      <c r="L2" s="18"/>
      <c r="M2" s="18"/>
      <c r="N2" s="18"/>
      <c r="O2" s="18"/>
      <c r="P2" s="18"/>
      <c r="Q2" s="18"/>
      <c r="R2" s="18"/>
      <c r="S2" s="18"/>
    </row>
    <row r="4" spans="1:19" ht="31.5" customHeight="1" x14ac:dyDescent="0.25">
      <c r="B4" s="198" t="s">
        <v>171</v>
      </c>
      <c r="C4" s="198"/>
      <c r="D4" s="198"/>
      <c r="E4" s="198"/>
      <c r="F4" s="198"/>
      <c r="G4" s="198"/>
      <c r="H4" s="198"/>
      <c r="I4" s="198"/>
      <c r="J4" s="198"/>
      <c r="K4" s="198"/>
      <c r="L4" s="110"/>
    </row>
    <row r="6" spans="1:19" x14ac:dyDescent="0.25">
      <c r="A6" s="111" t="s">
        <v>83</v>
      </c>
      <c r="B6" s="19" t="s">
        <v>89</v>
      </c>
    </row>
    <row r="8" spans="1:19" x14ac:dyDescent="0.25">
      <c r="A8" s="111" t="s">
        <v>84</v>
      </c>
      <c r="B8" s="19" t="s">
        <v>87</v>
      </c>
    </row>
    <row r="10" spans="1:19" x14ac:dyDescent="0.25">
      <c r="A10" s="111" t="s">
        <v>85</v>
      </c>
      <c r="B10" s="19" t="s">
        <v>88</v>
      </c>
    </row>
    <row r="12" spans="1:19" x14ac:dyDescent="0.25">
      <c r="A12" s="111" t="s">
        <v>86</v>
      </c>
      <c r="B12" s="19" t="s">
        <v>220</v>
      </c>
    </row>
    <row r="14" spans="1:19" x14ac:dyDescent="0.25">
      <c r="A14" s="111" t="s">
        <v>90</v>
      </c>
      <c r="B14" s="19" t="s">
        <v>172</v>
      </c>
    </row>
  </sheetData>
  <mergeCells count="1">
    <mergeCell ref="B4:K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9646"/>
  </sheetPr>
  <dimension ref="B1:I110"/>
  <sheetViews>
    <sheetView zoomScaleNormal="100" workbookViewId="0">
      <selection activeCell="C22" sqref="C22"/>
    </sheetView>
  </sheetViews>
  <sheetFormatPr defaultRowHeight="12.75" x14ac:dyDescent="0.2"/>
  <cols>
    <col min="1" max="1" width="4.7109375" style="140" customWidth="1"/>
    <col min="2" max="2" width="30.42578125" style="140" bestFit="1" customWidth="1"/>
    <col min="3" max="3" width="19.42578125" style="140" bestFit="1" customWidth="1"/>
    <col min="4" max="7" width="18.85546875" style="140" bestFit="1" customWidth="1"/>
    <col min="8" max="8" width="3.140625" style="140" customWidth="1"/>
    <col min="9" max="16384" width="9.140625" style="140"/>
  </cols>
  <sheetData>
    <row r="1" spans="2:9" ht="18.75" thickBot="1" x14ac:dyDescent="0.3">
      <c r="B1" s="208"/>
      <c r="C1" s="208"/>
      <c r="D1" s="208"/>
      <c r="E1" s="208"/>
    </row>
    <row r="2" spans="2:9" ht="21.75" thickBot="1" x14ac:dyDescent="0.4">
      <c r="B2" s="96" t="s">
        <v>244</v>
      </c>
      <c r="C2" s="97"/>
    </row>
    <row r="3" spans="2:9" ht="15.75" customHeight="1" x14ac:dyDescent="0.2">
      <c r="B3" s="141"/>
    </row>
    <row r="4" spans="2:9" ht="15.75" customHeight="1" x14ac:dyDescent="0.25">
      <c r="B4" s="157" t="s">
        <v>173</v>
      </c>
      <c r="C4" s="158">
        <v>10000000</v>
      </c>
      <c r="D4" s="151"/>
      <c r="E4" s="142"/>
      <c r="F4" s="142"/>
      <c r="G4" s="142"/>
      <c r="H4" s="150"/>
      <c r="I4" s="150"/>
    </row>
    <row r="5" spans="2:9" ht="15.75" customHeight="1" x14ac:dyDescent="0.25">
      <c r="B5" s="159" t="s">
        <v>174</v>
      </c>
      <c r="C5" s="160">
        <v>5000000</v>
      </c>
      <c r="D5" s="151"/>
      <c r="E5" s="142"/>
      <c r="F5" s="142"/>
      <c r="G5" s="142"/>
      <c r="H5" s="150"/>
      <c r="I5" s="150"/>
    </row>
    <row r="6" spans="2:9" ht="15.75" customHeight="1" x14ac:dyDescent="0.25">
      <c r="B6" s="159" t="s">
        <v>175</v>
      </c>
      <c r="C6" s="160">
        <v>140000000</v>
      </c>
      <c r="D6" s="151"/>
      <c r="E6" s="142"/>
      <c r="F6" s="142"/>
      <c r="G6" s="142"/>
      <c r="H6" s="150"/>
      <c r="I6" s="150"/>
    </row>
    <row r="7" spans="2:9" ht="15.75" customHeight="1" x14ac:dyDescent="0.25">
      <c r="B7" s="161" t="s">
        <v>176</v>
      </c>
      <c r="C7" s="160">
        <v>54000000</v>
      </c>
      <c r="D7" s="151"/>
      <c r="E7" s="142"/>
      <c r="F7" s="142"/>
      <c r="G7" s="142"/>
      <c r="H7" s="150"/>
      <c r="I7" s="150"/>
    </row>
    <row r="8" spans="2:9" ht="15.75" customHeight="1" x14ac:dyDescent="0.25">
      <c r="B8" s="161" t="s">
        <v>177</v>
      </c>
      <c r="C8" s="162">
        <v>0.14299999999999999</v>
      </c>
      <c r="D8" s="151"/>
      <c r="E8" s="142"/>
      <c r="F8" s="142"/>
      <c r="G8" s="142"/>
      <c r="H8" s="150"/>
      <c r="I8" s="150"/>
    </row>
    <row r="9" spans="2:9" ht="15.75" customHeight="1" x14ac:dyDescent="0.25">
      <c r="B9" s="161" t="s">
        <v>178</v>
      </c>
      <c r="C9" s="162">
        <v>0.245</v>
      </c>
      <c r="D9" s="151"/>
      <c r="E9" s="142"/>
      <c r="F9" s="142"/>
      <c r="G9" s="142"/>
      <c r="H9" s="150"/>
      <c r="I9" s="150"/>
    </row>
    <row r="10" spans="2:9" ht="15.75" customHeight="1" x14ac:dyDescent="0.25">
      <c r="B10" s="161" t="s">
        <v>179</v>
      </c>
      <c r="C10" s="162">
        <v>0.17499999999999999</v>
      </c>
      <c r="D10" s="151"/>
      <c r="E10" s="142"/>
      <c r="F10" s="142"/>
      <c r="G10" s="142"/>
      <c r="H10" s="150"/>
      <c r="I10" s="150"/>
    </row>
    <row r="11" spans="2:9" ht="15.75" customHeight="1" x14ac:dyDescent="0.25">
      <c r="B11" s="161" t="s">
        <v>180</v>
      </c>
      <c r="C11" s="162">
        <v>0.125</v>
      </c>
      <c r="D11" s="151"/>
      <c r="E11" s="142"/>
      <c r="F11" s="142"/>
      <c r="G11" s="142"/>
      <c r="H11" s="150"/>
      <c r="I11" s="150"/>
    </row>
    <row r="12" spans="2:9" ht="15.75" customHeight="1" x14ac:dyDescent="0.25">
      <c r="B12" s="161"/>
      <c r="C12" s="163"/>
      <c r="D12" s="151"/>
      <c r="E12" s="142"/>
      <c r="F12" s="142"/>
      <c r="G12" s="142"/>
      <c r="H12" s="150"/>
      <c r="I12" s="150"/>
    </row>
    <row r="13" spans="2:9" ht="15.75" customHeight="1" x14ac:dyDescent="0.25">
      <c r="B13" s="164" t="s">
        <v>181</v>
      </c>
      <c r="C13" s="165"/>
      <c r="D13" s="145"/>
      <c r="E13" s="145"/>
      <c r="F13" s="145"/>
      <c r="G13" s="142"/>
      <c r="H13" s="150"/>
      <c r="I13" s="150"/>
    </row>
    <row r="14" spans="2:9" ht="15.75" customHeight="1" x14ac:dyDescent="0.25">
      <c r="B14" s="161" t="s">
        <v>24</v>
      </c>
      <c r="C14" s="166">
        <v>38</v>
      </c>
      <c r="D14" s="145"/>
      <c r="E14" s="145"/>
      <c r="F14" s="145"/>
      <c r="G14" s="142"/>
      <c r="H14" s="150"/>
      <c r="I14" s="150"/>
    </row>
    <row r="15" spans="2:9" ht="15.75" customHeight="1" x14ac:dyDescent="0.25">
      <c r="B15" s="161" t="s">
        <v>25</v>
      </c>
      <c r="C15" s="166">
        <v>22</v>
      </c>
      <c r="D15" s="145"/>
      <c r="E15" s="145"/>
      <c r="F15" s="145"/>
      <c r="G15" s="142"/>
      <c r="H15" s="150"/>
      <c r="I15" s="150"/>
    </row>
    <row r="16" spans="2:9" ht="15.75" customHeight="1" x14ac:dyDescent="0.25">
      <c r="B16" s="161" t="s">
        <v>182</v>
      </c>
      <c r="C16" s="165">
        <v>5600000</v>
      </c>
      <c r="D16" s="145"/>
      <c r="E16" s="145"/>
      <c r="F16" s="145"/>
      <c r="G16" s="142"/>
      <c r="H16" s="150"/>
      <c r="I16" s="150"/>
    </row>
    <row r="17" spans="2:9" ht="15.75" customHeight="1" x14ac:dyDescent="0.25">
      <c r="B17" s="161" t="s">
        <v>183</v>
      </c>
      <c r="C17" s="162">
        <v>2.5000000000000001E-2</v>
      </c>
      <c r="D17" s="145"/>
      <c r="E17" s="145"/>
      <c r="F17" s="145"/>
      <c r="G17" s="142"/>
      <c r="H17" s="150"/>
      <c r="I17" s="150"/>
    </row>
    <row r="18" spans="2:9" ht="15.75" customHeight="1" x14ac:dyDescent="0.25">
      <c r="B18" s="161" t="s">
        <v>184</v>
      </c>
      <c r="C18" s="162">
        <v>0.11</v>
      </c>
      <c r="D18" s="145"/>
      <c r="E18" s="145"/>
      <c r="F18" s="145"/>
      <c r="G18" s="142"/>
      <c r="H18" s="150"/>
      <c r="I18" s="150"/>
    </row>
    <row r="19" spans="2:9" ht="15.75" customHeight="1" x14ac:dyDescent="0.25">
      <c r="B19" s="161"/>
      <c r="C19" s="165"/>
      <c r="D19" s="145"/>
      <c r="E19" s="145"/>
      <c r="F19" s="145"/>
      <c r="G19" s="142"/>
      <c r="H19" s="150"/>
      <c r="I19" s="150"/>
    </row>
    <row r="20" spans="2:9" ht="15.75" customHeight="1" x14ac:dyDescent="0.25">
      <c r="B20" s="164" t="s">
        <v>185</v>
      </c>
      <c r="C20" s="165"/>
      <c r="D20" s="145"/>
      <c r="E20" s="145"/>
      <c r="F20" s="145"/>
      <c r="G20" s="142"/>
      <c r="H20" s="150"/>
      <c r="I20" s="150"/>
    </row>
    <row r="21" spans="2:9" ht="15.75" customHeight="1" x14ac:dyDescent="0.25">
      <c r="B21" s="161" t="s">
        <v>24</v>
      </c>
      <c r="C21" s="166">
        <v>59</v>
      </c>
      <c r="D21" s="145"/>
      <c r="E21" s="145"/>
      <c r="F21" s="145"/>
      <c r="G21" s="142"/>
      <c r="H21" s="150"/>
      <c r="I21" s="150"/>
    </row>
    <row r="22" spans="2:9" ht="15.75" customHeight="1" x14ac:dyDescent="0.25">
      <c r="B22" s="161" t="s">
        <v>25</v>
      </c>
      <c r="C22" s="167">
        <f>C15</f>
        <v>22</v>
      </c>
      <c r="D22" s="145"/>
      <c r="E22" s="145"/>
      <c r="F22" s="145"/>
      <c r="G22" s="142"/>
      <c r="H22" s="150"/>
      <c r="I22" s="150"/>
    </row>
    <row r="23" spans="2:9" ht="15.75" customHeight="1" x14ac:dyDescent="0.25">
      <c r="B23" s="161" t="s">
        <v>186</v>
      </c>
      <c r="C23" s="165">
        <v>14000000</v>
      </c>
      <c r="D23" s="145"/>
      <c r="E23" s="145"/>
      <c r="F23" s="145"/>
      <c r="G23" s="142"/>
      <c r="H23" s="150"/>
      <c r="I23" s="150"/>
    </row>
    <row r="24" spans="2:9" ht="15.75" customHeight="1" x14ac:dyDescent="0.25">
      <c r="B24" s="161" t="s">
        <v>183</v>
      </c>
      <c r="C24" s="162">
        <v>0.02</v>
      </c>
      <c r="D24" s="145"/>
      <c r="E24" s="145"/>
      <c r="F24" s="145"/>
      <c r="G24" s="142"/>
      <c r="H24" s="150"/>
      <c r="I24" s="150"/>
    </row>
    <row r="25" spans="2:9" ht="15.75" customHeight="1" x14ac:dyDescent="0.25">
      <c r="B25" s="161" t="s">
        <v>184</v>
      </c>
      <c r="C25" s="162">
        <v>0.08</v>
      </c>
      <c r="D25" s="145"/>
      <c r="E25" s="145"/>
      <c r="F25" s="145"/>
      <c r="G25" s="142"/>
      <c r="H25" s="150"/>
      <c r="I25" s="150"/>
    </row>
    <row r="26" spans="2:9" ht="15.75" customHeight="1" x14ac:dyDescent="0.25">
      <c r="B26" s="161"/>
      <c r="C26" s="165"/>
      <c r="D26" s="145"/>
      <c r="E26" s="145"/>
      <c r="F26" s="145"/>
      <c r="G26" s="142"/>
      <c r="H26" s="150"/>
      <c r="I26" s="150"/>
    </row>
    <row r="27" spans="2:9" ht="15.75" customHeight="1" x14ac:dyDescent="0.25">
      <c r="B27" s="161" t="s">
        <v>187</v>
      </c>
      <c r="C27" s="163">
        <v>0.01</v>
      </c>
      <c r="D27" s="145"/>
      <c r="E27" s="145"/>
      <c r="F27" s="145"/>
      <c r="G27" s="142"/>
      <c r="H27" s="150"/>
      <c r="I27" s="150"/>
    </row>
    <row r="28" spans="2:9" ht="15.75" customHeight="1" x14ac:dyDescent="0.25">
      <c r="B28" s="161" t="s">
        <v>188</v>
      </c>
      <c r="C28" s="163">
        <v>0.01</v>
      </c>
      <c r="D28" s="145"/>
      <c r="E28" s="145"/>
      <c r="F28" s="145"/>
      <c r="G28" s="142"/>
      <c r="H28" s="150"/>
      <c r="I28" s="150"/>
    </row>
    <row r="29" spans="2:9" ht="15.75" customHeight="1" x14ac:dyDescent="0.25">
      <c r="B29" s="161" t="s">
        <v>189</v>
      </c>
      <c r="C29" s="166">
        <v>26000000</v>
      </c>
      <c r="D29" s="145"/>
      <c r="E29" s="145"/>
      <c r="F29" s="145"/>
      <c r="G29" s="142"/>
      <c r="H29" s="150"/>
      <c r="I29" s="150"/>
    </row>
    <row r="30" spans="2:9" ht="15.75" customHeight="1" x14ac:dyDescent="0.25">
      <c r="B30" s="161" t="s">
        <v>190</v>
      </c>
      <c r="C30" s="162">
        <v>0.4</v>
      </c>
      <c r="D30" s="145"/>
      <c r="E30" s="145"/>
      <c r="F30" s="145"/>
      <c r="G30" s="142"/>
      <c r="H30" s="150"/>
      <c r="I30" s="150"/>
    </row>
    <row r="31" spans="2:9" ht="15.75" customHeight="1" x14ac:dyDescent="0.25">
      <c r="B31" s="161" t="s">
        <v>114</v>
      </c>
      <c r="C31" s="162">
        <v>3.2500000000000001E-2</v>
      </c>
      <c r="D31" s="145"/>
      <c r="E31" s="145"/>
      <c r="F31" s="145"/>
      <c r="G31" s="142"/>
      <c r="H31" s="150"/>
      <c r="I31" s="150"/>
    </row>
    <row r="32" spans="2:9" ht="15.75" customHeight="1" x14ac:dyDescent="0.25">
      <c r="B32" s="161" t="s">
        <v>28</v>
      </c>
      <c r="C32" s="162">
        <v>0.159</v>
      </c>
      <c r="D32" s="145"/>
      <c r="E32" s="145"/>
      <c r="F32" s="145"/>
      <c r="G32" s="142"/>
      <c r="H32" s="150"/>
      <c r="I32" s="150"/>
    </row>
    <row r="33" spans="2:9" ht="15.75" customHeight="1" x14ac:dyDescent="0.25">
      <c r="B33" s="161" t="s">
        <v>32</v>
      </c>
      <c r="C33" s="160">
        <v>9000000</v>
      </c>
      <c r="D33" s="145"/>
      <c r="E33" s="145"/>
      <c r="F33" s="145"/>
      <c r="G33" s="142"/>
      <c r="H33" s="150"/>
      <c r="I33" s="150"/>
    </row>
    <row r="34" spans="2:9" ht="15.75" customHeight="1" x14ac:dyDescent="0.25">
      <c r="B34" s="168" t="s">
        <v>191</v>
      </c>
      <c r="C34" s="169">
        <v>0.15</v>
      </c>
      <c r="D34" s="152"/>
      <c r="E34" s="153"/>
      <c r="F34" s="153"/>
      <c r="G34" s="142"/>
      <c r="H34" s="150"/>
      <c r="I34" s="150"/>
    </row>
    <row r="35" spans="2:9" ht="15.75" customHeight="1" x14ac:dyDescent="0.25">
      <c r="B35" s="143"/>
      <c r="C35" s="156"/>
      <c r="D35" s="151"/>
      <c r="E35" s="142"/>
      <c r="F35" s="142"/>
      <c r="G35" s="142"/>
      <c r="H35" s="150"/>
      <c r="I35" s="150"/>
    </row>
    <row r="36" spans="2:9" ht="15.75" customHeight="1" x14ac:dyDescent="0.25">
      <c r="B36" s="143"/>
      <c r="C36" s="143"/>
      <c r="D36" s="143"/>
      <c r="E36" s="143"/>
      <c r="F36" s="143"/>
      <c r="G36" s="143"/>
      <c r="H36" s="143"/>
      <c r="I36" s="143"/>
    </row>
    <row r="37" spans="2:9" ht="15.75" customHeight="1" x14ac:dyDescent="0.25">
      <c r="B37" s="143" t="s">
        <v>192</v>
      </c>
      <c r="C37" s="170">
        <f>((1+C27)*(1+C31))-1</f>
        <v>4.2824999999999891E-2</v>
      </c>
      <c r="D37" s="146"/>
      <c r="E37" s="146"/>
      <c r="F37" s="146"/>
      <c r="G37" s="146"/>
      <c r="H37" s="143"/>
      <c r="I37" s="143"/>
    </row>
    <row r="38" spans="2:9" ht="15.75" customHeight="1" x14ac:dyDescent="0.25">
      <c r="B38" s="143" t="s">
        <v>193</v>
      </c>
      <c r="C38" s="170">
        <f>((1+C28)*(1+C31))-1</f>
        <v>4.2824999999999891E-2</v>
      </c>
      <c r="D38" s="146"/>
      <c r="E38" s="146"/>
      <c r="F38" s="146"/>
      <c r="G38" s="146"/>
      <c r="H38" s="143"/>
      <c r="I38" s="143"/>
    </row>
    <row r="39" spans="2:9" ht="15.75" customHeight="1" x14ac:dyDescent="0.25">
      <c r="B39" s="143"/>
      <c r="C39" s="143"/>
      <c r="D39" s="143"/>
      <c r="E39" s="143"/>
      <c r="F39" s="143"/>
      <c r="G39" s="143"/>
      <c r="H39" s="143"/>
      <c r="I39" s="143"/>
    </row>
    <row r="40" spans="2:9" ht="15.75" customHeight="1" x14ac:dyDescent="0.25">
      <c r="B40" s="144"/>
      <c r="C40" s="147" t="s">
        <v>140</v>
      </c>
      <c r="D40" s="147" t="s">
        <v>91</v>
      </c>
      <c r="E40" s="147" t="s">
        <v>92</v>
      </c>
      <c r="F40" s="147" t="s">
        <v>93</v>
      </c>
      <c r="G40" s="147" t="s">
        <v>94</v>
      </c>
      <c r="H40" s="143"/>
      <c r="I40" s="143"/>
    </row>
    <row r="41" spans="2:9" ht="15.75" customHeight="1" x14ac:dyDescent="0.25">
      <c r="B41" s="148" t="s">
        <v>194</v>
      </c>
      <c r="C41" s="171"/>
      <c r="D41" s="172"/>
      <c r="E41" s="172"/>
      <c r="F41" s="172"/>
      <c r="G41" s="172"/>
      <c r="H41" s="143"/>
      <c r="I41" s="143"/>
    </row>
    <row r="42" spans="2:9" ht="15.75" customHeight="1" x14ac:dyDescent="0.25">
      <c r="B42" s="149" t="s">
        <v>195</v>
      </c>
      <c r="C42" s="171"/>
      <c r="D42" s="173">
        <f>C16</f>
        <v>5600000</v>
      </c>
      <c r="E42" s="173">
        <f>D42*(1+$C$17)</f>
        <v>5739999.9999999991</v>
      </c>
      <c r="F42" s="173">
        <f>E42*(1+$C$17)</f>
        <v>5883499.9999999981</v>
      </c>
      <c r="G42" s="173">
        <f>F42*(1+$C$17)</f>
        <v>6030587.4999999972</v>
      </c>
      <c r="H42" s="143"/>
      <c r="I42" s="143"/>
    </row>
    <row r="43" spans="2:9" ht="15.75" customHeight="1" x14ac:dyDescent="0.25">
      <c r="B43" s="149" t="s">
        <v>196</v>
      </c>
      <c r="C43" s="171"/>
      <c r="D43" s="173">
        <f>D42*4</f>
        <v>22400000</v>
      </c>
      <c r="E43" s="173">
        <f>E42*4</f>
        <v>22959999.999999996</v>
      </c>
      <c r="F43" s="173">
        <f>F42*4</f>
        <v>23533999.999999993</v>
      </c>
      <c r="G43" s="173">
        <f>G42*4</f>
        <v>24122349.999999989</v>
      </c>
      <c r="H43" s="143"/>
      <c r="I43" s="143"/>
    </row>
    <row r="44" spans="2:9" ht="15.75" customHeight="1" x14ac:dyDescent="0.25">
      <c r="B44" s="149" t="s">
        <v>197</v>
      </c>
      <c r="C44" s="171"/>
      <c r="D44" s="173">
        <f>D43*$C$18</f>
        <v>2464000</v>
      </c>
      <c r="E44" s="173">
        <f>E43*$C$18</f>
        <v>2525599.9999999995</v>
      </c>
      <c r="F44" s="173">
        <f>F43*$C$18</f>
        <v>2588739.9999999991</v>
      </c>
      <c r="G44" s="173">
        <f>G43*$C$18</f>
        <v>2653458.4999999986</v>
      </c>
      <c r="H44" s="143"/>
      <c r="I44" s="143"/>
    </row>
    <row r="45" spans="2:9" ht="15.75" customHeight="1" x14ac:dyDescent="0.25">
      <c r="B45" s="149" t="s">
        <v>24</v>
      </c>
      <c r="C45" s="171"/>
      <c r="D45" s="174">
        <f>C14</f>
        <v>38</v>
      </c>
      <c r="E45" s="174">
        <f>D45*(1+$C$31)</f>
        <v>39.234999999999999</v>
      </c>
      <c r="F45" s="174">
        <f>E45*(1+$C$31)</f>
        <v>40.510137499999999</v>
      </c>
      <c r="G45" s="174">
        <f>F45*(1+$C$31)</f>
        <v>41.826716968749999</v>
      </c>
      <c r="H45" s="143"/>
      <c r="I45" s="143"/>
    </row>
    <row r="46" spans="2:9" ht="15.75" customHeight="1" x14ac:dyDescent="0.25">
      <c r="B46" s="149"/>
      <c r="C46" s="171"/>
      <c r="D46" s="172"/>
      <c r="E46" s="172"/>
      <c r="F46" s="172"/>
      <c r="G46" s="172"/>
      <c r="H46" s="143"/>
      <c r="I46" s="143"/>
    </row>
    <row r="47" spans="2:9" ht="15.75" customHeight="1" x14ac:dyDescent="0.25">
      <c r="B47" s="148" t="s">
        <v>185</v>
      </c>
      <c r="C47" s="171"/>
      <c r="D47" s="175"/>
      <c r="E47" s="175"/>
      <c r="F47" s="175"/>
      <c r="G47" s="175"/>
      <c r="H47" s="143"/>
      <c r="I47" s="143"/>
    </row>
    <row r="48" spans="2:9" ht="15.75" customHeight="1" x14ac:dyDescent="0.25">
      <c r="B48" s="149" t="s">
        <v>198</v>
      </c>
      <c r="C48" s="171"/>
      <c r="D48" s="176">
        <f>C23</f>
        <v>14000000</v>
      </c>
      <c r="E48" s="176">
        <f>D48*(1+$C$24)</f>
        <v>14280000</v>
      </c>
      <c r="F48" s="176">
        <f>E48*(1+$C$24)</f>
        <v>14565600</v>
      </c>
      <c r="G48" s="176">
        <f>F48*(1+$C$24)</f>
        <v>14856912</v>
      </c>
      <c r="H48" s="143"/>
      <c r="I48" s="143"/>
    </row>
    <row r="49" spans="2:9" ht="15.75" customHeight="1" x14ac:dyDescent="0.25">
      <c r="B49" s="149" t="s">
        <v>197</v>
      </c>
      <c r="C49" s="171"/>
      <c r="D49" s="176">
        <f>D48*$C$25</f>
        <v>1120000</v>
      </c>
      <c r="E49" s="176">
        <f>E48*$C$25</f>
        <v>1142400</v>
      </c>
      <c r="F49" s="176">
        <f>F48*$C$25</f>
        <v>1165248</v>
      </c>
      <c r="G49" s="176">
        <f>G48*$C$25</f>
        <v>1188552.96</v>
      </c>
      <c r="H49" s="143"/>
      <c r="I49" s="143"/>
    </row>
    <row r="50" spans="2:9" ht="15.75" customHeight="1" x14ac:dyDescent="0.25">
      <c r="B50" s="149" t="s">
        <v>24</v>
      </c>
      <c r="C50" s="171"/>
      <c r="D50" s="174">
        <f>C21</f>
        <v>59</v>
      </c>
      <c r="E50" s="174">
        <f>D50*(1+$C$31)</f>
        <v>60.917499999999997</v>
      </c>
      <c r="F50" s="174">
        <f>E50*(1+$C$31)</f>
        <v>62.897318749999997</v>
      </c>
      <c r="G50" s="174">
        <f>F50*(1+$C$31)</f>
        <v>64.941481609374989</v>
      </c>
      <c r="H50" s="143"/>
      <c r="I50" s="143"/>
    </row>
    <row r="51" spans="2:9" ht="15.75" customHeight="1" x14ac:dyDescent="0.25">
      <c r="B51" s="149"/>
      <c r="C51" s="171"/>
      <c r="D51" s="176"/>
      <c r="E51" s="176"/>
      <c r="F51" s="176"/>
      <c r="G51" s="176"/>
      <c r="H51" s="143"/>
      <c r="I51" s="143"/>
    </row>
    <row r="52" spans="2:9" ht="15.75" customHeight="1" x14ac:dyDescent="0.25">
      <c r="B52" s="148" t="s">
        <v>199</v>
      </c>
      <c r="C52" s="171"/>
      <c r="D52" s="176"/>
      <c r="E52" s="176"/>
      <c r="F52" s="176"/>
      <c r="G52" s="176"/>
      <c r="H52" s="143"/>
      <c r="I52" s="143"/>
    </row>
    <row r="53" spans="2:9" ht="15.75" customHeight="1" x14ac:dyDescent="0.25">
      <c r="B53" s="149" t="s">
        <v>200</v>
      </c>
      <c r="C53" s="171"/>
      <c r="D53" s="177">
        <f>D44*D45</f>
        <v>93632000</v>
      </c>
      <c r="E53" s="177">
        <f>E44*E45</f>
        <v>99091915.999999985</v>
      </c>
      <c r="F53" s="177">
        <f>F44*F45</f>
        <v>104870213.35174996</v>
      </c>
      <c r="G53" s="177">
        <f>G44*G45</f>
        <v>110985457.66782387</v>
      </c>
      <c r="H53" s="143"/>
      <c r="I53" s="143"/>
    </row>
    <row r="54" spans="2:9" ht="15.75" customHeight="1" x14ac:dyDescent="0.25">
      <c r="B54" s="149" t="s">
        <v>201</v>
      </c>
      <c r="C54" s="171"/>
      <c r="D54" s="178">
        <f>D49*D50</f>
        <v>66080000</v>
      </c>
      <c r="E54" s="178">
        <f>E49*E50</f>
        <v>69592152</v>
      </c>
      <c r="F54" s="178">
        <f>F49*F50</f>
        <v>73290974.87879999</v>
      </c>
      <c r="G54" s="178">
        <f>G49*G50</f>
        <v>77186390.193608209</v>
      </c>
      <c r="H54" s="143"/>
      <c r="I54" s="143"/>
    </row>
    <row r="55" spans="2:9" ht="15.75" customHeight="1" x14ac:dyDescent="0.25">
      <c r="B55" s="149" t="s">
        <v>202</v>
      </c>
      <c r="C55" s="171"/>
      <c r="D55" s="177">
        <f>D53+D54</f>
        <v>159712000</v>
      </c>
      <c r="E55" s="177">
        <f>E53+E54</f>
        <v>168684068</v>
      </c>
      <c r="F55" s="177">
        <f>F53+F54</f>
        <v>178161188.23054993</v>
      </c>
      <c r="G55" s="177">
        <f>G53+G54</f>
        <v>188171847.86143208</v>
      </c>
      <c r="H55" s="143"/>
      <c r="I55" s="143"/>
    </row>
    <row r="56" spans="2:9" ht="15.75" customHeight="1" x14ac:dyDescent="0.25">
      <c r="B56" s="149"/>
      <c r="C56" s="171"/>
      <c r="D56" s="176"/>
      <c r="E56" s="176"/>
      <c r="F56" s="176"/>
      <c r="G56" s="176"/>
      <c r="H56" s="143"/>
      <c r="I56" s="143"/>
    </row>
    <row r="57" spans="2:9" ht="15.75" customHeight="1" x14ac:dyDescent="0.25">
      <c r="B57" s="148" t="s">
        <v>203</v>
      </c>
      <c r="C57" s="171"/>
      <c r="D57" s="176"/>
      <c r="E57" s="176"/>
      <c r="F57" s="176"/>
      <c r="G57" s="176"/>
      <c r="H57" s="143"/>
      <c r="I57" s="143"/>
    </row>
    <row r="58" spans="2:9" ht="15.75" customHeight="1" x14ac:dyDescent="0.25">
      <c r="B58" s="149" t="s">
        <v>200</v>
      </c>
      <c r="C58" s="171"/>
      <c r="D58" s="177">
        <f>D44*$C$15</f>
        <v>54208000</v>
      </c>
      <c r="E58" s="177">
        <f>E44*$C$15*(1+$C$38)</f>
        <v>57942694.039999984</v>
      </c>
      <c r="F58" s="177">
        <f>F44*$C$15*(1+$C$38)</f>
        <v>59391261.390999973</v>
      </c>
      <c r="G58" s="177">
        <f>G44*$C$15*(1+$C$38)</f>
        <v>60876042.925774962</v>
      </c>
      <c r="H58" s="143"/>
      <c r="I58" s="143"/>
    </row>
    <row r="59" spans="2:9" ht="15.75" customHeight="1" x14ac:dyDescent="0.25">
      <c r="B59" s="149" t="s">
        <v>201</v>
      </c>
      <c r="C59" s="171"/>
      <c r="D59" s="178">
        <f>D49*$C$22</f>
        <v>24640000</v>
      </c>
      <c r="E59" s="178">
        <f>E49*$C$22*(1+C38)</f>
        <v>26209112.159999996</v>
      </c>
      <c r="F59" s="178">
        <f>F49*$C$22*(1+D38)</f>
        <v>25635456</v>
      </c>
      <c r="G59" s="178">
        <f>G49*$C$22*(1+E38)</f>
        <v>26148165.119999997</v>
      </c>
      <c r="H59" s="143"/>
      <c r="I59" s="143"/>
    </row>
    <row r="60" spans="2:9" ht="15.75" customHeight="1" x14ac:dyDescent="0.25">
      <c r="B60" s="149" t="s">
        <v>202</v>
      </c>
      <c r="C60" s="171"/>
      <c r="D60" s="177">
        <f>D58+D59</f>
        <v>78848000</v>
      </c>
      <c r="E60" s="177">
        <f>E58+E59</f>
        <v>84151806.199999988</v>
      </c>
      <c r="F60" s="177">
        <f>F58+F59</f>
        <v>85026717.390999973</v>
      </c>
      <c r="G60" s="177">
        <f>G58+G59</f>
        <v>87024208.045774966</v>
      </c>
      <c r="H60" s="143"/>
      <c r="I60" s="143"/>
    </row>
    <row r="61" spans="2:9" ht="15.75" customHeight="1" x14ac:dyDescent="0.25">
      <c r="B61" s="149"/>
      <c r="C61" s="171"/>
      <c r="D61" s="176"/>
      <c r="E61" s="176"/>
      <c r="F61" s="176"/>
      <c r="G61" s="176"/>
      <c r="H61" s="143"/>
      <c r="I61" s="143"/>
    </row>
    <row r="62" spans="2:9" ht="15.75" customHeight="1" x14ac:dyDescent="0.25">
      <c r="B62" s="149" t="s">
        <v>204</v>
      </c>
      <c r="C62" s="171"/>
      <c r="D62" s="177">
        <f>D55</f>
        <v>159712000</v>
      </c>
      <c r="E62" s="177">
        <f>E55</f>
        <v>168684068</v>
      </c>
      <c r="F62" s="177">
        <f>F55</f>
        <v>178161188.23054993</v>
      </c>
      <c r="G62" s="177">
        <f>G55</f>
        <v>188171847.86143208</v>
      </c>
      <c r="H62" s="143"/>
      <c r="I62" s="143"/>
    </row>
    <row r="63" spans="2:9" ht="15.75" customHeight="1" x14ac:dyDescent="0.25">
      <c r="B63" s="149" t="s">
        <v>9</v>
      </c>
      <c r="C63" s="171"/>
      <c r="D63" s="176">
        <f>D60</f>
        <v>78848000</v>
      </c>
      <c r="E63" s="176">
        <f>E60</f>
        <v>84151806.199999988</v>
      </c>
      <c r="F63" s="176">
        <f>F60</f>
        <v>85026717.390999973</v>
      </c>
      <c r="G63" s="176">
        <f>G60</f>
        <v>87024208.045774966</v>
      </c>
      <c r="H63" s="143"/>
      <c r="I63" s="143"/>
    </row>
    <row r="64" spans="2:9" ht="15.75" customHeight="1" x14ac:dyDescent="0.25">
      <c r="B64" s="149" t="s">
        <v>189</v>
      </c>
      <c r="C64" s="171"/>
      <c r="D64" s="176">
        <f>C29</f>
        <v>26000000</v>
      </c>
      <c r="E64" s="176">
        <f>D64*(1+$C$31)</f>
        <v>26845000</v>
      </c>
      <c r="F64" s="176">
        <f>E64*(1+$C$31)</f>
        <v>27717462.5</v>
      </c>
      <c r="G64" s="176">
        <f>F64*(1+$C$31)</f>
        <v>28618280.03125</v>
      </c>
      <c r="H64" s="143"/>
      <c r="I64" s="143"/>
    </row>
    <row r="65" spans="2:9" ht="15.75" customHeight="1" x14ac:dyDescent="0.25">
      <c r="B65" s="149" t="s">
        <v>11</v>
      </c>
      <c r="C65" s="171"/>
      <c r="D65" s="178">
        <f>C6*C8</f>
        <v>20020000</v>
      </c>
      <c r="E65" s="178">
        <f>C6*C9</f>
        <v>34300000</v>
      </c>
      <c r="F65" s="178">
        <f>C6*C10</f>
        <v>24500000</v>
      </c>
      <c r="G65" s="178">
        <f>C6*C11</f>
        <v>17500000</v>
      </c>
      <c r="H65" s="143"/>
      <c r="I65" s="143"/>
    </row>
    <row r="66" spans="2:9" ht="15.75" customHeight="1" x14ac:dyDescent="0.25">
      <c r="B66" s="149" t="s">
        <v>96</v>
      </c>
      <c r="C66" s="171"/>
      <c r="D66" s="177">
        <f>D62-D63-D64-D65</f>
        <v>34844000</v>
      </c>
      <c r="E66" s="177">
        <f>E62-E63-E64-E65</f>
        <v>23387261.800000012</v>
      </c>
      <c r="F66" s="177">
        <f>F62-F63-F64-F65</f>
        <v>40917008.339549959</v>
      </c>
      <c r="G66" s="177">
        <f>G62-G63-G64-G65</f>
        <v>55029359.784407109</v>
      </c>
      <c r="H66" s="143"/>
      <c r="I66" s="143"/>
    </row>
    <row r="67" spans="2:9" ht="15.75" customHeight="1" x14ac:dyDescent="0.25">
      <c r="B67" s="149" t="s">
        <v>53</v>
      </c>
      <c r="C67" s="171"/>
      <c r="D67" s="178">
        <f>D66*$C$30</f>
        <v>13937600</v>
      </c>
      <c r="E67" s="178">
        <f>E66*$C$30</f>
        <v>9354904.7200000044</v>
      </c>
      <c r="F67" s="178">
        <f>F66*$C$30</f>
        <v>16366803.335819984</v>
      </c>
      <c r="G67" s="178">
        <f>G66*$C$30</f>
        <v>22011743.913762845</v>
      </c>
      <c r="H67" s="143"/>
      <c r="I67" s="143"/>
    </row>
    <row r="68" spans="2:9" ht="15.75" customHeight="1" x14ac:dyDescent="0.25">
      <c r="B68" s="149" t="s">
        <v>13</v>
      </c>
      <c r="C68" s="171"/>
      <c r="D68" s="177">
        <f>D66-D67</f>
        <v>20906400</v>
      </c>
      <c r="E68" s="177">
        <f>E66-E67</f>
        <v>14032357.080000008</v>
      </c>
      <c r="F68" s="177">
        <f>F66-F67</f>
        <v>24550205.003729977</v>
      </c>
      <c r="G68" s="177">
        <f>G66-G67</f>
        <v>33017615.870644264</v>
      </c>
      <c r="H68" s="143"/>
      <c r="I68" s="143"/>
    </row>
    <row r="69" spans="2:9" ht="15.75" customHeight="1" x14ac:dyDescent="0.25">
      <c r="B69" s="149" t="s">
        <v>30</v>
      </c>
      <c r="C69" s="171"/>
      <c r="D69" s="177">
        <f>D68+D65</f>
        <v>40926400</v>
      </c>
      <c r="E69" s="177">
        <f>E68+E65</f>
        <v>48332357.080000006</v>
      </c>
      <c r="F69" s="177">
        <f>F68+F65</f>
        <v>49050205.003729977</v>
      </c>
      <c r="G69" s="177">
        <f>G68+G65</f>
        <v>50517615.870644264</v>
      </c>
      <c r="H69" s="143"/>
      <c r="I69" s="143"/>
    </row>
    <row r="70" spans="2:9" ht="15.75" customHeight="1" x14ac:dyDescent="0.25">
      <c r="B70" s="149"/>
      <c r="C70" s="171"/>
      <c r="D70" s="177"/>
      <c r="E70" s="177"/>
      <c r="F70" s="177"/>
      <c r="G70" s="177"/>
      <c r="H70" s="143"/>
      <c r="I70" s="143"/>
    </row>
    <row r="71" spans="2:9" ht="15.75" customHeight="1" x14ac:dyDescent="0.25">
      <c r="B71" s="148" t="s">
        <v>205</v>
      </c>
      <c r="C71" s="171"/>
      <c r="D71" s="177"/>
      <c r="E71" s="177"/>
      <c r="F71" s="177"/>
      <c r="G71" s="177"/>
      <c r="H71" s="143"/>
      <c r="I71" s="143"/>
    </row>
    <row r="72" spans="2:9" ht="15.75" customHeight="1" x14ac:dyDescent="0.25">
      <c r="B72" s="149" t="s">
        <v>206</v>
      </c>
      <c r="C72" s="171">
        <f>0</f>
        <v>0</v>
      </c>
      <c r="D72" s="177">
        <f>C73</f>
        <v>9000000</v>
      </c>
      <c r="E72" s="177">
        <f>D73</f>
        <v>23956800</v>
      </c>
      <c r="F72" s="177">
        <f>E73</f>
        <v>25302610.199999999</v>
      </c>
      <c r="G72" s="177">
        <f>F73</f>
        <v>26724178.234582487</v>
      </c>
      <c r="H72" s="143"/>
      <c r="I72" s="143"/>
    </row>
    <row r="73" spans="2:9" ht="15.75" customHeight="1" x14ac:dyDescent="0.25">
      <c r="B73" s="149" t="s">
        <v>207</v>
      </c>
      <c r="C73" s="178">
        <f>C33</f>
        <v>9000000</v>
      </c>
      <c r="D73" s="178">
        <f>$C$34*D55</f>
        <v>23956800</v>
      </c>
      <c r="E73" s="178">
        <f>$C$34*E55</f>
        <v>25302610.199999999</v>
      </c>
      <c r="F73" s="178">
        <f>$C$34*F55</f>
        <v>26724178.234582487</v>
      </c>
      <c r="G73" s="178">
        <v>0</v>
      </c>
      <c r="H73" s="143"/>
      <c r="I73" s="143"/>
    </row>
    <row r="74" spans="2:9" ht="15.75" customHeight="1" x14ac:dyDescent="0.25">
      <c r="B74" s="149" t="s">
        <v>33</v>
      </c>
      <c r="C74" s="177">
        <f>C72-C73</f>
        <v>-9000000</v>
      </c>
      <c r="D74" s="177">
        <f>D72-D73</f>
        <v>-14956800</v>
      </c>
      <c r="E74" s="177">
        <f>E72-E73</f>
        <v>-1345810.1999999993</v>
      </c>
      <c r="F74" s="177">
        <f>F72-F73</f>
        <v>-1421568.0345824882</v>
      </c>
      <c r="G74" s="177">
        <f>G72-G73</f>
        <v>26724178.234582487</v>
      </c>
      <c r="H74" s="143"/>
      <c r="I74" s="143"/>
    </row>
    <row r="75" spans="2:9" ht="15.75" customHeight="1" x14ac:dyDescent="0.25">
      <c r="B75" s="149"/>
      <c r="C75" s="171"/>
      <c r="D75" s="177"/>
      <c r="E75" s="177"/>
      <c r="F75" s="177"/>
      <c r="G75" s="177"/>
      <c r="H75" s="143"/>
      <c r="I75" s="143"/>
    </row>
    <row r="76" spans="2:9" ht="15.75" customHeight="1" x14ac:dyDescent="0.25">
      <c r="B76" s="149" t="s">
        <v>208</v>
      </c>
      <c r="C76" s="177">
        <f>C6</f>
        <v>140000000</v>
      </c>
      <c r="D76" s="177">
        <f>C6-D65</f>
        <v>119980000</v>
      </c>
      <c r="E76" s="177">
        <f>D76-E65</f>
        <v>85680000</v>
      </c>
      <c r="F76" s="177">
        <f>E76-F65</f>
        <v>61180000</v>
      </c>
      <c r="G76" s="177">
        <f>F76-G65</f>
        <v>43680000</v>
      </c>
      <c r="H76" s="143"/>
      <c r="I76" s="143"/>
    </row>
    <row r="77" spans="2:9" ht="15.75" customHeight="1" x14ac:dyDescent="0.25">
      <c r="B77" s="149"/>
      <c r="C77" s="171"/>
      <c r="D77" s="177"/>
      <c r="E77" s="177"/>
      <c r="F77" s="177"/>
      <c r="G77" s="177"/>
      <c r="H77" s="143"/>
      <c r="I77" s="143"/>
    </row>
    <row r="78" spans="2:9" ht="15.75" customHeight="1" x14ac:dyDescent="0.25">
      <c r="B78" s="149" t="s">
        <v>23</v>
      </c>
      <c r="C78" s="171"/>
      <c r="D78" s="177"/>
      <c r="E78" s="177"/>
      <c r="F78" s="177"/>
      <c r="G78" s="177"/>
      <c r="H78" s="143"/>
      <c r="I78" s="143"/>
    </row>
    <row r="79" spans="2:9" ht="15.75" customHeight="1" x14ac:dyDescent="0.25">
      <c r="B79" s="149" t="s">
        <v>209</v>
      </c>
      <c r="C79" s="177">
        <f>C7</f>
        <v>54000000</v>
      </c>
      <c r="D79" s="177"/>
      <c r="E79" s="177"/>
      <c r="F79" s="177"/>
      <c r="G79" s="177"/>
      <c r="H79" s="143"/>
      <c r="I79" s="143"/>
    </row>
    <row r="80" spans="2:9" ht="15.75" customHeight="1" x14ac:dyDescent="0.25">
      <c r="B80" s="149" t="s">
        <v>97</v>
      </c>
      <c r="C80" s="178">
        <f>(G76-C79)*C30</f>
        <v>-4128000</v>
      </c>
      <c r="D80" s="177"/>
      <c r="E80" s="177"/>
      <c r="F80" s="177"/>
      <c r="G80" s="177"/>
      <c r="H80" s="143"/>
      <c r="I80" s="143"/>
    </row>
    <row r="81" spans="2:9" ht="15.75" customHeight="1" x14ac:dyDescent="0.25">
      <c r="B81" s="149" t="s">
        <v>202</v>
      </c>
      <c r="C81" s="177">
        <f>C79+C80</f>
        <v>49872000</v>
      </c>
      <c r="D81" s="177"/>
      <c r="E81" s="177"/>
      <c r="F81" s="177"/>
      <c r="G81" s="177"/>
      <c r="H81" s="143"/>
      <c r="I81" s="143"/>
    </row>
    <row r="82" spans="2:9" ht="15.75" customHeight="1" x14ac:dyDescent="0.25">
      <c r="B82" s="149"/>
      <c r="C82" s="171"/>
      <c r="D82" s="177"/>
      <c r="E82" s="177"/>
      <c r="F82" s="177"/>
      <c r="G82" s="177"/>
      <c r="H82" s="143"/>
      <c r="I82" s="143"/>
    </row>
    <row r="83" spans="2:9" ht="15.75" customHeight="1" x14ac:dyDescent="0.25">
      <c r="B83" s="149"/>
      <c r="C83" s="179" t="s">
        <v>140</v>
      </c>
      <c r="D83" s="179" t="s">
        <v>91</v>
      </c>
      <c r="E83" s="179" t="s">
        <v>92</v>
      </c>
      <c r="F83" s="179" t="s">
        <v>93</v>
      </c>
      <c r="G83" s="179" t="s">
        <v>94</v>
      </c>
      <c r="H83" s="143"/>
      <c r="I83" s="143"/>
    </row>
    <row r="84" spans="2:9" ht="15.75" customHeight="1" x14ac:dyDescent="0.25">
      <c r="B84" s="149" t="s">
        <v>16</v>
      </c>
      <c r="C84" s="180"/>
      <c r="D84" s="177">
        <f>D69</f>
        <v>40926400</v>
      </c>
      <c r="E84" s="177">
        <f>E69</f>
        <v>48332357.080000006</v>
      </c>
      <c r="F84" s="177">
        <f>F69</f>
        <v>49050205.003729977</v>
      </c>
      <c r="G84" s="177">
        <f>G69</f>
        <v>50517615.870644264</v>
      </c>
      <c r="H84" s="143"/>
      <c r="I84" s="143"/>
    </row>
    <row r="85" spans="2:9" ht="15.75" customHeight="1" x14ac:dyDescent="0.25">
      <c r="B85" s="149" t="s">
        <v>17</v>
      </c>
      <c r="C85" s="177">
        <f>-C6</f>
        <v>-140000000</v>
      </c>
      <c r="D85" s="177"/>
      <c r="E85" s="177"/>
      <c r="F85" s="177"/>
      <c r="G85" s="176">
        <f>C81</f>
        <v>49872000</v>
      </c>
      <c r="H85" s="143"/>
      <c r="I85" s="143"/>
    </row>
    <row r="86" spans="2:9" ht="15.75" customHeight="1" x14ac:dyDescent="0.25">
      <c r="B86" s="149" t="s">
        <v>20</v>
      </c>
      <c r="C86" s="178">
        <f>C74</f>
        <v>-9000000</v>
      </c>
      <c r="D86" s="178">
        <f>D74</f>
        <v>-14956800</v>
      </c>
      <c r="E86" s="178">
        <f>E74</f>
        <v>-1345810.1999999993</v>
      </c>
      <c r="F86" s="178">
        <f>F74</f>
        <v>-1421568.0345824882</v>
      </c>
      <c r="G86" s="178">
        <f>G74</f>
        <v>26724178.234582487</v>
      </c>
      <c r="H86" s="143"/>
      <c r="I86" s="143"/>
    </row>
    <row r="87" spans="2:9" ht="15.75" customHeight="1" x14ac:dyDescent="0.25">
      <c r="B87" s="149" t="s">
        <v>210</v>
      </c>
      <c r="C87" s="177">
        <f>C84+C85+C86</f>
        <v>-149000000</v>
      </c>
      <c r="D87" s="177">
        <f>D84+D85+D86</f>
        <v>25969600</v>
      </c>
      <c r="E87" s="177">
        <f>E84+E85+E86</f>
        <v>46986546.88000001</v>
      </c>
      <c r="F87" s="177">
        <f>F84+F85+F86</f>
        <v>47628636.969147488</v>
      </c>
      <c r="G87" s="177">
        <f>G84+G85+G86</f>
        <v>127113794.10522676</v>
      </c>
      <c r="H87" s="143"/>
      <c r="I87" s="143"/>
    </row>
    <row r="88" spans="2:9" ht="15.75" customHeight="1" x14ac:dyDescent="0.25">
      <c r="B88" s="149"/>
      <c r="C88" s="171"/>
      <c r="D88" s="177"/>
      <c r="E88" s="177"/>
      <c r="F88" s="177"/>
      <c r="G88" s="177"/>
      <c r="H88" s="143"/>
      <c r="I88" s="143"/>
    </row>
    <row r="89" spans="2:9" ht="15.75" customHeight="1" x14ac:dyDescent="0.25">
      <c r="B89" s="149" t="s">
        <v>18</v>
      </c>
      <c r="C89" s="181">
        <f>NPV(C32,D87:G87)+C87</f>
        <v>9424967.8135212362</v>
      </c>
      <c r="D89" s="177"/>
      <c r="E89" s="177"/>
      <c r="F89" s="177"/>
      <c r="G89" s="172"/>
      <c r="H89" s="143"/>
      <c r="I89" s="143"/>
    </row>
    <row r="90" spans="2:9" ht="15.75" customHeight="1" x14ac:dyDescent="0.25">
      <c r="B90" s="149" t="s">
        <v>19</v>
      </c>
      <c r="C90" s="182">
        <f>IRR(C87:G87)</f>
        <v>0.18353360877831459</v>
      </c>
      <c r="D90" s="177"/>
      <c r="E90" s="177"/>
      <c r="F90" s="177"/>
      <c r="G90" s="177"/>
      <c r="H90" s="143"/>
      <c r="I90" s="143"/>
    </row>
    <row r="91" spans="2:9" ht="15.75" customHeight="1" x14ac:dyDescent="0.25">
      <c r="B91" s="149" t="s">
        <v>98</v>
      </c>
      <c r="C91" s="183">
        <f>NPV(C32,D87:G87)/-C87</f>
        <v>1.0632548175404111</v>
      </c>
      <c r="D91" s="177"/>
      <c r="E91" s="177"/>
      <c r="F91" s="177"/>
      <c r="G91" s="177"/>
      <c r="H91" s="143"/>
      <c r="I91" s="143"/>
    </row>
    <row r="92" spans="2:9" ht="15.75" customHeight="1" x14ac:dyDescent="0.25">
      <c r="B92" s="143"/>
      <c r="C92" s="143"/>
      <c r="D92" s="143"/>
      <c r="E92" s="143"/>
      <c r="F92" s="143"/>
      <c r="G92" s="143"/>
      <c r="H92" s="143"/>
      <c r="I92" s="143"/>
    </row>
    <row r="93" spans="2:9" ht="15.75" customHeight="1" x14ac:dyDescent="0.25">
      <c r="B93" s="142"/>
      <c r="C93" s="142"/>
      <c r="D93" s="142"/>
      <c r="E93" s="142"/>
      <c r="F93" s="142"/>
      <c r="G93" s="142"/>
      <c r="H93" s="150"/>
      <c r="I93" s="150"/>
    </row>
    <row r="94" spans="2:9" ht="15.75" customHeight="1" x14ac:dyDescent="0.25">
      <c r="B94" s="150"/>
      <c r="C94" s="150"/>
      <c r="D94" s="150"/>
      <c r="E94" s="154"/>
      <c r="F94" s="150"/>
      <c r="G94" s="150"/>
      <c r="H94" s="150"/>
      <c r="I94" s="150"/>
    </row>
    <row r="95" spans="2:9" ht="15.75" customHeight="1" x14ac:dyDescent="0.25">
      <c r="B95" s="150"/>
      <c r="C95" s="155"/>
      <c r="D95" s="150"/>
      <c r="E95" s="150"/>
      <c r="F95" s="150"/>
      <c r="G95" s="150"/>
      <c r="H95" s="150"/>
      <c r="I95" s="150"/>
    </row>
    <row r="96" spans="2:9" ht="15.75" customHeight="1" x14ac:dyDescent="0.25">
      <c r="B96" s="150"/>
      <c r="C96" s="150"/>
      <c r="D96" s="150"/>
      <c r="E96" s="150"/>
      <c r="F96" s="150"/>
      <c r="G96" s="150"/>
      <c r="H96" s="150"/>
      <c r="I96" s="150"/>
    </row>
    <row r="97" spans="2:9" ht="15.75" customHeight="1" x14ac:dyDescent="0.25">
      <c r="B97" s="150"/>
      <c r="C97" s="150"/>
      <c r="D97" s="150"/>
      <c r="E97" s="150"/>
      <c r="F97" s="150"/>
      <c r="G97" s="150"/>
      <c r="H97" s="150"/>
      <c r="I97" s="150"/>
    </row>
    <row r="98" spans="2:9" ht="15.75" customHeight="1" x14ac:dyDescent="0.25">
      <c r="B98" s="150"/>
      <c r="C98" s="150"/>
      <c r="D98" s="150"/>
      <c r="E98" s="150"/>
      <c r="F98" s="150"/>
      <c r="G98" s="150"/>
      <c r="H98" s="150"/>
      <c r="I98" s="150"/>
    </row>
    <row r="99" spans="2:9" ht="15.75" customHeight="1" x14ac:dyDescent="0.25">
      <c r="B99" s="150"/>
      <c r="C99" s="150"/>
      <c r="D99" s="150"/>
      <c r="E99" s="150"/>
      <c r="F99" s="150"/>
      <c r="G99" s="150"/>
      <c r="H99" s="150"/>
      <c r="I99" s="150"/>
    </row>
    <row r="100" spans="2:9" ht="15.75" customHeight="1" x14ac:dyDescent="0.25">
      <c r="B100" s="150"/>
      <c r="C100" s="150"/>
      <c r="D100" s="150"/>
      <c r="E100" s="150"/>
      <c r="F100" s="150"/>
      <c r="G100" s="150"/>
      <c r="H100" s="150"/>
      <c r="I100" s="150"/>
    </row>
    <row r="101" spans="2:9" ht="15.75" customHeight="1" x14ac:dyDescent="0.25">
      <c r="B101" s="150"/>
      <c r="C101" s="150"/>
      <c r="D101" s="150"/>
      <c r="E101" s="150"/>
      <c r="F101" s="150"/>
      <c r="G101" s="150"/>
      <c r="H101" s="150"/>
      <c r="I101" s="150"/>
    </row>
    <row r="102" spans="2:9" ht="15.75" customHeight="1" x14ac:dyDescent="0.25">
      <c r="B102" s="150"/>
      <c r="C102" s="150"/>
      <c r="D102" s="150"/>
      <c r="E102" s="150"/>
      <c r="F102" s="150"/>
      <c r="G102" s="150"/>
      <c r="H102" s="150"/>
      <c r="I102" s="150"/>
    </row>
    <row r="103" spans="2:9" ht="15.75" customHeight="1" x14ac:dyDescent="0.25">
      <c r="B103" s="150"/>
      <c r="C103" s="150"/>
      <c r="D103" s="150"/>
      <c r="E103" s="150"/>
      <c r="F103" s="150"/>
      <c r="G103" s="150"/>
      <c r="H103" s="150"/>
      <c r="I103" s="150"/>
    </row>
    <row r="104" spans="2:9" ht="15.75" x14ac:dyDescent="0.25">
      <c r="B104" s="150"/>
      <c r="C104" s="150"/>
      <c r="D104" s="150"/>
      <c r="E104" s="150"/>
      <c r="F104" s="150"/>
      <c r="G104" s="150"/>
      <c r="H104" s="150"/>
      <c r="I104" s="150"/>
    </row>
    <row r="105" spans="2:9" ht="15.75" x14ac:dyDescent="0.25">
      <c r="B105" s="150"/>
      <c r="C105" s="150"/>
      <c r="D105" s="150"/>
      <c r="E105" s="150"/>
      <c r="F105" s="150"/>
      <c r="G105" s="150"/>
      <c r="H105" s="150"/>
      <c r="I105" s="150"/>
    </row>
    <row r="106" spans="2:9" ht="15.75" x14ac:dyDescent="0.25">
      <c r="B106" s="150"/>
      <c r="C106" s="150"/>
      <c r="D106" s="150"/>
      <c r="E106" s="150"/>
      <c r="F106" s="150"/>
      <c r="G106" s="150"/>
      <c r="H106" s="150"/>
      <c r="I106" s="150"/>
    </row>
    <row r="107" spans="2:9" ht="15.75" x14ac:dyDescent="0.25">
      <c r="B107" s="150"/>
      <c r="C107" s="150"/>
      <c r="D107" s="150"/>
      <c r="E107" s="150"/>
      <c r="F107" s="150"/>
      <c r="G107" s="150"/>
      <c r="H107" s="150"/>
      <c r="I107" s="150"/>
    </row>
    <row r="108" spans="2:9" ht="15.75" x14ac:dyDescent="0.25">
      <c r="B108" s="150"/>
      <c r="C108" s="150"/>
      <c r="D108" s="150"/>
      <c r="E108" s="150"/>
      <c r="F108" s="150"/>
      <c r="G108" s="150"/>
      <c r="H108" s="150"/>
      <c r="I108" s="150"/>
    </row>
    <row r="109" spans="2:9" ht="15.75" x14ac:dyDescent="0.25">
      <c r="B109" s="150"/>
      <c r="C109" s="150"/>
      <c r="D109" s="150"/>
      <c r="E109" s="150"/>
      <c r="F109" s="150"/>
      <c r="G109" s="150"/>
      <c r="H109" s="150"/>
      <c r="I109" s="150"/>
    </row>
    <row r="110" spans="2:9" ht="15.75" x14ac:dyDescent="0.25">
      <c r="B110" s="150"/>
      <c r="C110" s="150"/>
      <c r="D110" s="150"/>
      <c r="E110" s="150"/>
      <c r="F110" s="150"/>
      <c r="G110" s="150"/>
      <c r="H110" s="150"/>
      <c r="I110" s="150"/>
    </row>
  </sheetData>
  <mergeCells count="1">
    <mergeCell ref="B1:E1"/>
  </mergeCells>
  <pageMargins left="0.75" right="0.75" top="1" bottom="1" header="0.5" footer="0.5"/>
  <pageSetup scale="64" orientation="portrait" horizontalDpi="360" verticalDpi="36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9646"/>
  </sheetPr>
  <dimension ref="A1:E17"/>
  <sheetViews>
    <sheetView showGridLines="0" workbookViewId="0"/>
  </sheetViews>
  <sheetFormatPr defaultRowHeight="15" x14ac:dyDescent="0.25"/>
  <cols>
    <col min="1" max="1" width="2.28515625" customWidth="1"/>
    <col min="2" max="2" width="6.28515625" bestFit="1" customWidth="1"/>
    <col min="3" max="3" width="10.5703125" bestFit="1" customWidth="1"/>
    <col min="4" max="4" width="14.28515625" bestFit="1" customWidth="1"/>
    <col min="5" max="5" width="10.85546875" bestFit="1" customWidth="1"/>
  </cols>
  <sheetData>
    <row r="1" spans="1:5" x14ac:dyDescent="0.25">
      <c r="A1" s="83" t="s">
        <v>64</v>
      </c>
    </row>
    <row r="2" spans="1:5" x14ac:dyDescent="0.25">
      <c r="A2" s="83" t="s">
        <v>211</v>
      </c>
    </row>
    <row r="3" spans="1:5" x14ac:dyDescent="0.25">
      <c r="A3" s="83" t="s">
        <v>249</v>
      </c>
    </row>
    <row r="6" spans="1:5" ht="15.75" thickBot="1" x14ac:dyDescent="0.3">
      <c r="A6" t="s">
        <v>65</v>
      </c>
    </row>
    <row r="7" spans="1:5" ht="15.75" thickBot="1" x14ac:dyDescent="0.3">
      <c r="B7" s="138" t="s">
        <v>66</v>
      </c>
      <c r="C7" s="138" t="s">
        <v>67</v>
      </c>
      <c r="D7" s="138" t="s">
        <v>68</v>
      </c>
      <c r="E7" s="138" t="s">
        <v>69</v>
      </c>
    </row>
    <row r="8" spans="1:5" ht="15.75" thickBot="1" x14ac:dyDescent="0.3">
      <c r="B8" s="84" t="s">
        <v>212</v>
      </c>
      <c r="C8" s="84" t="s">
        <v>213</v>
      </c>
      <c r="D8" s="85">
        <v>9424967.8100000005</v>
      </c>
      <c r="E8" s="85">
        <v>0</v>
      </c>
    </row>
    <row r="11" spans="1:5" ht="15.75" thickBot="1" x14ac:dyDescent="0.3">
      <c r="A11" t="s">
        <v>70</v>
      </c>
    </row>
    <row r="12" spans="1:5" ht="15.75" thickBot="1" x14ac:dyDescent="0.3">
      <c r="B12" s="138" t="s">
        <v>66</v>
      </c>
      <c r="C12" s="138" t="s">
        <v>67</v>
      </c>
      <c r="D12" s="138" t="s">
        <v>68</v>
      </c>
      <c r="E12" s="138" t="s">
        <v>69</v>
      </c>
    </row>
    <row r="13" spans="1:5" ht="15.75" thickBot="1" x14ac:dyDescent="0.3">
      <c r="B13" s="84" t="s">
        <v>214</v>
      </c>
      <c r="C13" s="84" t="s">
        <v>24</v>
      </c>
      <c r="D13" s="86">
        <v>38</v>
      </c>
      <c r="E13" s="86">
        <v>35.835799999999999</v>
      </c>
    </row>
    <row r="16" spans="1:5" x14ac:dyDescent="0.25">
      <c r="A16" t="s">
        <v>71</v>
      </c>
    </row>
    <row r="17" spans="2:2" x14ac:dyDescent="0.25">
      <c r="B17"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Chapter 6</vt:lpstr>
      <vt:lpstr>Section 6.2</vt:lpstr>
      <vt:lpstr>Section 6.3</vt:lpstr>
      <vt:lpstr>Section 6.5</vt:lpstr>
      <vt:lpstr>Homework</vt:lpstr>
      <vt:lpstr>Minimum price</vt:lpstr>
      <vt:lpstr>Master It!</vt:lpstr>
      <vt:lpstr>Solution</vt:lpstr>
      <vt:lpstr>Part d</vt:lpstr>
      <vt:lpstr>Part e</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cp:lastPrinted>2009-02-05T19:45:20Z</cp:lastPrinted>
  <dcterms:created xsi:type="dcterms:W3CDTF">2008-02-06T20:32:32Z</dcterms:created>
  <dcterms:modified xsi:type="dcterms:W3CDTF">2017-02-02T00:14:44Z</dcterms:modified>
</cp:coreProperties>
</file>