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Users\Aj\Documents\UCSC Coursework\Winter Quarter 2017\Econ 235 - Corporate Finance\Excel Files\"/>
    </mc:Choice>
  </mc:AlternateContent>
  <bookViews>
    <workbookView xWindow="0" yWindow="0" windowWidth="20490" windowHeight="7530" tabRatio="500" activeTab="1"/>
  </bookViews>
  <sheets>
    <sheet name="Chapter 6" sheetId="1" r:id="rId1"/>
    <sheet name="Chapter 7" sheetId="2" r:id="rId2"/>
  </sheets>
  <definedNames>
    <definedName name="solver_adj" localSheetId="0" hidden="1">'Chapter 6'!$B$56</definedName>
    <definedName name="solver_adj" localSheetId="1" hidden="1">'Chapter 7'!$B$3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'Chapter 6'!$I$64</definedName>
    <definedName name="solver_opt" localSheetId="1" hidden="1">'Chapter 7'!$G$11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G26" i="2"/>
  <c r="G27" i="2"/>
  <c r="G28" i="2"/>
  <c r="G29" i="2"/>
  <c r="G30" i="2"/>
  <c r="E33" i="2"/>
  <c r="E26" i="2"/>
  <c r="E27" i="2"/>
  <c r="E28" i="2"/>
  <c r="E29" i="2"/>
  <c r="E30" i="2"/>
  <c r="E32" i="2"/>
  <c r="E34" i="2"/>
  <c r="D15" i="2"/>
  <c r="D16" i="2"/>
  <c r="D17" i="2"/>
  <c r="D8" i="2"/>
  <c r="D10" i="2"/>
  <c r="D9" i="2"/>
  <c r="G9" i="2"/>
  <c r="D7" i="2"/>
  <c r="G8" i="2"/>
  <c r="G11" i="2"/>
  <c r="D3" i="2"/>
  <c r="D4" i="2"/>
  <c r="D5" i="2"/>
  <c r="E52" i="1"/>
  <c r="E54" i="1"/>
  <c r="E55" i="1"/>
  <c r="E47" i="1"/>
  <c r="E56" i="1"/>
  <c r="E57" i="1"/>
  <c r="E58" i="1"/>
  <c r="E59" i="1"/>
  <c r="E60" i="1"/>
  <c r="E49" i="1"/>
  <c r="E61" i="1"/>
  <c r="E62" i="1"/>
  <c r="E63" i="1"/>
  <c r="F52" i="1"/>
  <c r="F54" i="1"/>
  <c r="F55" i="1"/>
  <c r="F47" i="1"/>
  <c r="F56" i="1"/>
  <c r="F57" i="1"/>
  <c r="F58" i="1"/>
  <c r="F59" i="1"/>
  <c r="F60" i="1"/>
  <c r="F49" i="1"/>
  <c r="F61" i="1"/>
  <c r="F62" i="1"/>
  <c r="F63" i="1"/>
  <c r="G52" i="1"/>
  <c r="G54" i="1"/>
  <c r="G55" i="1"/>
  <c r="G47" i="1"/>
  <c r="G56" i="1"/>
  <c r="G57" i="1"/>
  <c r="G58" i="1"/>
  <c r="G59" i="1"/>
  <c r="G60" i="1"/>
  <c r="G49" i="1"/>
  <c r="G61" i="1"/>
  <c r="G62" i="1"/>
  <c r="G63" i="1"/>
  <c r="H52" i="1"/>
  <c r="H54" i="1"/>
  <c r="H55" i="1"/>
  <c r="H47" i="1"/>
  <c r="H56" i="1"/>
  <c r="H57" i="1"/>
  <c r="H58" i="1"/>
  <c r="H59" i="1"/>
  <c r="H60" i="1"/>
  <c r="H49" i="1"/>
  <c r="H61" i="1"/>
  <c r="H62" i="1"/>
  <c r="H63" i="1"/>
  <c r="I52" i="1"/>
  <c r="I54" i="1"/>
  <c r="I55" i="1"/>
  <c r="I47" i="1"/>
  <c r="I56" i="1"/>
  <c r="I57" i="1"/>
  <c r="I58" i="1"/>
  <c r="I59" i="1"/>
  <c r="I60" i="1"/>
  <c r="D46" i="1"/>
  <c r="I46" i="1"/>
  <c r="D48" i="1"/>
  <c r="I48" i="1"/>
  <c r="I49" i="1"/>
  <c r="I61" i="1"/>
  <c r="I62" i="1"/>
  <c r="I63" i="1"/>
  <c r="D49" i="1"/>
  <c r="D61" i="1"/>
  <c r="D62" i="1"/>
  <c r="D63" i="1"/>
  <c r="I64" i="1"/>
  <c r="F28" i="1"/>
  <c r="F30" i="1"/>
  <c r="F31" i="1"/>
  <c r="F22" i="1"/>
  <c r="F32" i="1"/>
  <c r="F33" i="1"/>
  <c r="F34" i="1"/>
  <c r="F35" i="1"/>
  <c r="F36" i="1"/>
  <c r="F37" i="1"/>
  <c r="F38" i="1"/>
  <c r="G28" i="1"/>
  <c r="G30" i="1"/>
  <c r="G31" i="1"/>
  <c r="G22" i="1"/>
  <c r="G32" i="1"/>
  <c r="G33" i="1"/>
  <c r="G34" i="1"/>
  <c r="G35" i="1"/>
  <c r="G36" i="1"/>
  <c r="G37" i="1"/>
  <c r="G38" i="1"/>
  <c r="H21" i="1"/>
  <c r="H20" i="1"/>
  <c r="D23" i="1"/>
  <c r="H23" i="1"/>
  <c r="H24" i="1"/>
  <c r="H37" i="1"/>
  <c r="H28" i="1"/>
  <c r="H30" i="1"/>
  <c r="H31" i="1"/>
  <c r="H22" i="1"/>
  <c r="H32" i="1"/>
  <c r="H33" i="1"/>
  <c r="H34" i="1"/>
  <c r="H35" i="1"/>
  <c r="H36" i="1"/>
  <c r="H38" i="1"/>
  <c r="E28" i="1"/>
  <c r="E30" i="1"/>
  <c r="E31" i="1"/>
  <c r="E22" i="1"/>
  <c r="E32" i="1"/>
  <c r="E33" i="1"/>
  <c r="E34" i="1"/>
  <c r="E35" i="1"/>
  <c r="E36" i="1"/>
  <c r="E37" i="1"/>
  <c r="E38" i="1"/>
  <c r="D20" i="1"/>
  <c r="D21" i="1"/>
  <c r="D24" i="1"/>
  <c r="D37" i="1"/>
  <c r="D38" i="1"/>
  <c r="D39" i="1"/>
  <c r="H39" i="1"/>
  <c r="E39" i="1"/>
  <c r="F39" i="1"/>
  <c r="G39" i="1"/>
  <c r="H40" i="1"/>
  <c r="E12" i="1"/>
  <c r="E14" i="1"/>
  <c r="F12" i="1"/>
  <c r="F14" i="1"/>
  <c r="G12" i="1"/>
  <c r="G14" i="1"/>
  <c r="H12" i="1"/>
  <c r="H14" i="1"/>
  <c r="D14" i="1"/>
  <c r="D16" i="1"/>
</calcChain>
</file>

<file path=xl/sharedStrings.xml><?xml version="1.0" encoding="utf-8"?>
<sst xmlns="http://schemas.openxmlformats.org/spreadsheetml/2006/main" count="132" uniqueCount="96">
  <si>
    <t> Year 0</t>
  </si>
  <si>
    <t>Year 1  </t>
  </si>
  <si>
    <t>Year 2  </t>
  </si>
  <si>
    <t>Year 3  </t>
  </si>
  <si>
    <t>Year 4  </t>
  </si>
  <si>
    <t>  Investment</t>
  </si>
  <si>
    <t>  Sales revenue</t>
  </si>
  <si>
    <t>  Operating costs</t>
  </si>
  <si>
    <t>  Depreciation</t>
  </si>
  <si>
    <t>  Net working capital spending</t>
  </si>
  <si>
    <t>1)</t>
  </si>
  <si>
    <t>Corporate Tax</t>
  </si>
  <si>
    <t>Net Income</t>
  </si>
  <si>
    <t>Cash Flow</t>
  </si>
  <si>
    <t>NPV</t>
  </si>
  <si>
    <t>2)</t>
  </si>
  <si>
    <t>Fixed Costs</t>
  </si>
  <si>
    <t>Taxes</t>
  </si>
  <si>
    <t>3)</t>
  </si>
  <si>
    <t>fixed costs</t>
  </si>
  <si>
    <t>var costs</t>
  </si>
  <si>
    <t>equip</t>
  </si>
  <si>
    <t>MACRS</t>
  </si>
  <si>
    <t>nwc</t>
  </si>
  <si>
    <t>salvage value</t>
  </si>
  <si>
    <t>tax rate</t>
  </si>
  <si>
    <t>capex</t>
  </si>
  <si>
    <t>Investments</t>
  </si>
  <si>
    <t>bought land</t>
  </si>
  <si>
    <t>land now</t>
  </si>
  <si>
    <t>land later</t>
  </si>
  <si>
    <t>opportunity cost</t>
  </si>
  <si>
    <t>marketing</t>
  </si>
  <si>
    <t>unit sales yr1</t>
  </si>
  <si>
    <t>yr2</t>
  </si>
  <si>
    <t>yr3</t>
  </si>
  <si>
    <t>yr4</t>
  </si>
  <si>
    <t>scrap value</t>
  </si>
  <si>
    <t>req ret</t>
  </si>
  <si>
    <t>Income</t>
  </si>
  <si>
    <t>Sales Rev</t>
  </si>
  <si>
    <t>price</t>
  </si>
  <si>
    <t>Operating Costs</t>
  </si>
  <si>
    <t>Var. Costs</t>
  </si>
  <si>
    <t>accum deprec</t>
  </si>
  <si>
    <t>Deprec.</t>
  </si>
  <si>
    <t>EBIT</t>
  </si>
  <si>
    <t>Investment CFs</t>
  </si>
  <si>
    <t>CF's Invest</t>
  </si>
  <si>
    <t>Total CF's</t>
  </si>
  <si>
    <t>OCF</t>
  </si>
  <si>
    <t>cartons/year</t>
  </si>
  <si>
    <t>years</t>
  </si>
  <si>
    <t>equipment</t>
  </si>
  <si>
    <t>fixed cost</t>
  </si>
  <si>
    <t>var cost/cart</t>
  </si>
  <si>
    <t>bid price</t>
  </si>
  <si>
    <t>use solver -------&gt;</t>
  </si>
  <si>
    <t>&lt;---------------</t>
  </si>
  <si>
    <t>units/yr</t>
  </si>
  <si>
    <t>net cash ea</t>
  </si>
  <si>
    <t>annual ocf</t>
  </si>
  <si>
    <t>disc.rate</t>
  </si>
  <si>
    <t>init invest</t>
  </si>
  <si>
    <t>pv of cfs</t>
  </si>
  <si>
    <t>pv of invest</t>
  </si>
  <si>
    <t>npv</t>
  </si>
  <si>
    <t>dismantle</t>
  </si>
  <si>
    <t>pv of abandon</t>
  </si>
  <si>
    <t>npv abandon</t>
  </si>
  <si>
    <t>pv of cf aban</t>
  </si>
  <si>
    <t>diff</t>
  </si>
  <si>
    <t>&lt;---solver to 0</t>
  </si>
  <si>
    <t>flat offer</t>
  </si>
  <si>
    <t>percentage</t>
  </si>
  <si>
    <t>script bad</t>
  </si>
  <si>
    <t>movie bad</t>
  </si>
  <si>
    <t>avg profit</t>
  </si>
  <si>
    <t>EV_movie</t>
  </si>
  <si>
    <t>EV_script</t>
  </si>
  <si>
    <t>EV_percoffer</t>
  </si>
  <si>
    <t>gold left</t>
  </si>
  <si>
    <t>output/yr</t>
  </si>
  <si>
    <t>investment</t>
  </si>
  <si>
    <t>aftertax</t>
  </si>
  <si>
    <t>wait1yr</t>
  </si>
  <si>
    <t>probability</t>
  </si>
  <si>
    <t>open now</t>
  </si>
  <si>
    <t>laterG</t>
  </si>
  <si>
    <t>laterB</t>
  </si>
  <si>
    <t>years to mine</t>
  </si>
  <si>
    <t>pv of gold</t>
  </si>
  <si>
    <t>prob wt npv</t>
  </si>
  <si>
    <t>npv go</t>
  </si>
  <si>
    <t>npv wait</t>
  </si>
  <si>
    <t>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</si>
</sst>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0" fontId="5" fillId="0" borderId="0" xfId="0" applyNumberFormat="1" applyFont="1" applyAlignment="1">
      <alignment horizontal="right" vertical="center"/>
    </xf>
    <xf numFmtId="0" fontId="6" fillId="3" borderId="0" xfId="0" applyNumberFormat="1" applyFont="1" applyFill="1" applyAlignment="1">
      <alignment horizontal="center" vertical="center"/>
    </xf>
    <xf numFmtId="9" fontId="3" fillId="0" borderId="0" xfId="0" applyNumberFormat="1" applyFont="1" applyAlignment="1">
      <alignment horizontal="left" vertical="center"/>
    </xf>
    <xf numFmtId="0" fontId="6" fillId="3" borderId="0" xfId="0" applyNumberFormat="1" applyFont="1" applyFill="1" applyAlignment="1">
      <alignment horizontal="left" vertical="center"/>
    </xf>
    <xf numFmtId="0" fontId="6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5" zoomScale="85" zoomScaleNormal="85" zoomScalePageLayoutView="70" workbookViewId="0">
      <selection activeCell="B56" sqref="B56"/>
    </sheetView>
  </sheetViews>
  <sheetFormatPr defaultColWidth="10.875" defaultRowHeight="15.75" x14ac:dyDescent="0.25"/>
  <cols>
    <col min="1" max="1" width="10.875" style="5"/>
    <col min="2" max="2" width="20.375" style="5" customWidth="1"/>
    <col min="3" max="3" width="23.125" style="5" bestFit="1" customWidth="1"/>
    <col min="4" max="4" width="14" style="5" bestFit="1" customWidth="1"/>
    <col min="5" max="5" width="14.125" style="5" bestFit="1" customWidth="1"/>
    <col min="6" max="7" width="10.875" style="5"/>
    <col min="8" max="8" width="13.5" style="5" bestFit="1" customWidth="1"/>
    <col min="9" max="16384" width="10.875" style="5"/>
  </cols>
  <sheetData>
    <row r="1" spans="1:8" s="4" customFormat="1" x14ac:dyDescent="0.25">
      <c r="A1" s="4" t="s">
        <v>10</v>
      </c>
    </row>
    <row r="2" spans="1:8" x14ac:dyDescent="0.25"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</row>
    <row r="3" spans="1:8" x14ac:dyDescent="0.25">
      <c r="B3" s="5" t="s">
        <v>5</v>
      </c>
      <c r="D3" s="5">
        <v>30000</v>
      </c>
    </row>
    <row r="4" spans="1:8" x14ac:dyDescent="0.25">
      <c r="B4" s="5" t="s">
        <v>6</v>
      </c>
      <c r="E4" s="5">
        <v>15500</v>
      </c>
      <c r="F4" s="5">
        <v>16000</v>
      </c>
      <c r="G4" s="5">
        <v>16500</v>
      </c>
      <c r="H4" s="5">
        <v>13500</v>
      </c>
    </row>
    <row r="5" spans="1:8" x14ac:dyDescent="0.25">
      <c r="B5" s="5" t="s">
        <v>7</v>
      </c>
      <c r="E5" s="5">
        <v>3300</v>
      </c>
      <c r="F5" s="5">
        <v>3400</v>
      </c>
      <c r="G5" s="5">
        <v>3500</v>
      </c>
      <c r="H5" s="5">
        <v>2700</v>
      </c>
    </row>
    <row r="6" spans="1:8" x14ac:dyDescent="0.25">
      <c r="B6" s="5" t="s">
        <v>8</v>
      </c>
      <c r="E6" s="5">
        <v>7500</v>
      </c>
      <c r="F6" s="5">
        <v>7500</v>
      </c>
      <c r="G6" s="5">
        <v>7500</v>
      </c>
      <c r="H6" s="5">
        <v>7500</v>
      </c>
    </row>
    <row r="7" spans="1:8" x14ac:dyDescent="0.25">
      <c r="B7" s="5" t="s">
        <v>9</v>
      </c>
      <c r="D7" s="5">
        <v>360</v>
      </c>
      <c r="E7" s="5">
        <v>410</v>
      </c>
      <c r="F7" s="5">
        <v>460</v>
      </c>
      <c r="G7" s="5">
        <v>360</v>
      </c>
    </row>
    <row r="9" spans="1:8" x14ac:dyDescent="0.25">
      <c r="B9" s="5" t="s">
        <v>11</v>
      </c>
      <c r="C9" s="2">
        <v>0.4</v>
      </c>
    </row>
    <row r="12" spans="1:8" x14ac:dyDescent="0.25">
      <c r="C12" s="5" t="s">
        <v>12</v>
      </c>
      <c r="E12" s="5">
        <f>(E4-E5-E6)*(1-$C9)</f>
        <v>2820</v>
      </c>
      <c r="F12" s="5">
        <f>(F4-F5-F6)*(1-$C9)</f>
        <v>3060</v>
      </c>
      <c r="G12" s="5">
        <f>(G4-G5-G6)*(1-$C9)</f>
        <v>3300</v>
      </c>
      <c r="H12" s="5">
        <f>(H4-H5-H6)*(1-$C9)</f>
        <v>1980</v>
      </c>
    </row>
    <row r="14" spans="1:8" x14ac:dyDescent="0.25">
      <c r="C14" s="5" t="s">
        <v>13</v>
      </c>
      <c r="D14" s="5">
        <f>-(D3)-D7</f>
        <v>-30360</v>
      </c>
      <c r="E14" s="5">
        <f>E12+E6-E7</f>
        <v>9910</v>
      </c>
      <c r="F14" s="5">
        <f>F12+F6-F7</f>
        <v>10100</v>
      </c>
      <c r="G14" s="5">
        <f>G12+G6-G7</f>
        <v>10440</v>
      </c>
      <c r="H14" s="5">
        <f>H12+H6+(D7+E7+F7+G7)</f>
        <v>11070</v>
      </c>
    </row>
    <row r="16" spans="1:8" x14ac:dyDescent="0.25">
      <c r="B16" s="2">
        <v>0.1</v>
      </c>
      <c r="C16" s="5" t="s">
        <v>14</v>
      </c>
      <c r="D16" s="3">
        <f>NPV(B16,E14:H14)+D14</f>
        <v>2400.8838194112359</v>
      </c>
      <c r="E16" s="3"/>
      <c r="F16" s="3"/>
      <c r="G16" s="3"/>
      <c r="H16" s="3"/>
    </row>
    <row r="17" spans="1:9" s="4" customFormat="1" x14ac:dyDescent="0.25">
      <c r="A17" s="4" t="s">
        <v>15</v>
      </c>
    </row>
    <row r="18" spans="1:9" x14ac:dyDescent="0.25">
      <c r="D18" s="5">
        <v>0</v>
      </c>
      <c r="E18" s="6">
        <v>1</v>
      </c>
      <c r="F18" s="6">
        <v>2</v>
      </c>
      <c r="G18" s="6">
        <v>3</v>
      </c>
      <c r="H18" s="6">
        <v>4</v>
      </c>
    </row>
    <row r="19" spans="1:9" s="6" customFormat="1" x14ac:dyDescent="0.25">
      <c r="A19" s="10" t="s">
        <v>28</v>
      </c>
      <c r="B19" s="11">
        <v>1430000</v>
      </c>
      <c r="C19" s="9" t="s">
        <v>27</v>
      </c>
      <c r="D19" s="17"/>
      <c r="E19" s="17"/>
      <c r="F19" s="17"/>
      <c r="G19" s="17"/>
      <c r="H19" s="17"/>
    </row>
    <row r="20" spans="1:9" s="6" customFormat="1" x14ac:dyDescent="0.25">
      <c r="A20" s="10" t="s">
        <v>29</v>
      </c>
      <c r="B20" s="11">
        <v>1530000</v>
      </c>
      <c r="C20" s="14" t="s">
        <v>31</v>
      </c>
      <c r="D20" s="17">
        <f>-(B20)</f>
        <v>-1530000</v>
      </c>
      <c r="E20" s="17"/>
      <c r="F20" s="17"/>
      <c r="G20" s="17"/>
      <c r="H20" s="17">
        <f>(B21)</f>
        <v>1630000</v>
      </c>
    </row>
    <row r="21" spans="1:9" s="6" customFormat="1" x14ac:dyDescent="0.25">
      <c r="A21" s="10" t="s">
        <v>30</v>
      </c>
      <c r="B21" s="11">
        <v>1630000</v>
      </c>
      <c r="C21" s="14" t="s">
        <v>26</v>
      </c>
      <c r="D21" s="17">
        <f>-B31</f>
        <v>-3800000</v>
      </c>
      <c r="E21" s="18"/>
      <c r="F21" s="18"/>
      <c r="G21" s="18"/>
      <c r="H21" s="17">
        <f>B37*(1-B39)</f>
        <v>249000</v>
      </c>
    </row>
    <row r="22" spans="1:9" s="6" customFormat="1" x14ac:dyDescent="0.25">
      <c r="A22" s="12" t="s">
        <v>32</v>
      </c>
      <c r="B22" s="13">
        <v>128000</v>
      </c>
      <c r="C22" s="14" t="s">
        <v>44</v>
      </c>
      <c r="D22" s="17"/>
      <c r="E22" s="17">
        <f>B32*B31</f>
        <v>1266540</v>
      </c>
      <c r="F22" s="17">
        <f>B33*B31</f>
        <v>1689100</v>
      </c>
      <c r="G22" s="17">
        <f>B34*B31</f>
        <v>562780</v>
      </c>
      <c r="H22" s="17">
        <f>B35*B31</f>
        <v>281580</v>
      </c>
    </row>
    <row r="23" spans="1:9" s="6" customFormat="1" x14ac:dyDescent="0.25">
      <c r="A23" s="10"/>
      <c r="B23" s="11"/>
      <c r="C23" s="14" t="s">
        <v>23</v>
      </c>
      <c r="D23" s="17">
        <f>-B38</f>
        <v>-128000</v>
      </c>
      <c r="E23" s="17"/>
      <c r="F23" s="17"/>
      <c r="G23" s="17"/>
      <c r="H23" s="17">
        <f>-D23</f>
        <v>128000</v>
      </c>
    </row>
    <row r="24" spans="1:9" s="6" customFormat="1" x14ac:dyDescent="0.25">
      <c r="A24" s="10" t="s">
        <v>33</v>
      </c>
      <c r="B24" s="11">
        <v>4100</v>
      </c>
      <c r="C24" s="14" t="s">
        <v>47</v>
      </c>
      <c r="D24" s="17">
        <f>D20+D21+D23</f>
        <v>-5458000</v>
      </c>
      <c r="E24" s="17"/>
      <c r="F24" s="17"/>
      <c r="G24" s="17"/>
      <c r="H24" s="17">
        <f>H20+H21+H23</f>
        <v>2007000</v>
      </c>
    </row>
    <row r="25" spans="1:9" s="6" customFormat="1" x14ac:dyDescent="0.25">
      <c r="A25" s="10" t="s">
        <v>34</v>
      </c>
      <c r="B25" s="11">
        <v>5000</v>
      </c>
      <c r="C25" s="16"/>
      <c r="D25" s="18"/>
      <c r="E25" s="19"/>
      <c r="F25" s="19"/>
      <c r="G25" s="19"/>
      <c r="H25" s="19"/>
      <c r="I25" s="7"/>
    </row>
    <row r="26" spans="1:9" s="6" customFormat="1" x14ac:dyDescent="0.25">
      <c r="A26" s="10" t="s">
        <v>35</v>
      </c>
      <c r="B26" s="11">
        <v>5600</v>
      </c>
      <c r="C26" s="14"/>
      <c r="D26" s="20"/>
      <c r="E26" s="20"/>
      <c r="F26" s="20"/>
      <c r="G26" s="20"/>
      <c r="H26" s="20"/>
    </row>
    <row r="27" spans="1:9" s="6" customFormat="1" x14ac:dyDescent="0.25">
      <c r="A27" s="10" t="s">
        <v>36</v>
      </c>
      <c r="B27" s="11">
        <v>4500</v>
      </c>
      <c r="C27" s="9" t="s">
        <v>39</v>
      </c>
      <c r="D27" s="20"/>
      <c r="E27" s="20"/>
      <c r="F27" s="20"/>
      <c r="G27" s="20"/>
      <c r="H27" s="20"/>
    </row>
    <row r="28" spans="1:9" s="6" customFormat="1" x14ac:dyDescent="0.25">
      <c r="A28" s="10" t="s">
        <v>41</v>
      </c>
      <c r="B28" s="11">
        <v>680</v>
      </c>
      <c r="C28" s="14" t="s">
        <v>40</v>
      </c>
      <c r="D28" s="20"/>
      <c r="E28" s="20">
        <f>B24*B28</f>
        <v>2788000</v>
      </c>
      <c r="F28" s="20">
        <f>B25*B28</f>
        <v>3400000</v>
      </c>
      <c r="G28" s="20">
        <f>B26*B28</f>
        <v>3808000</v>
      </c>
      <c r="H28" s="20">
        <f>B27*B28</f>
        <v>3060000</v>
      </c>
    </row>
    <row r="29" spans="1:9" s="6" customFormat="1" x14ac:dyDescent="0.25">
      <c r="A29" s="10" t="s">
        <v>19</v>
      </c>
      <c r="B29" s="11">
        <v>440000</v>
      </c>
      <c r="C29" s="14" t="s">
        <v>42</v>
      </c>
      <c r="D29" s="20"/>
      <c r="E29" s="20"/>
      <c r="F29" s="20"/>
      <c r="G29" s="20"/>
      <c r="H29" s="20"/>
    </row>
    <row r="30" spans="1:9" s="6" customFormat="1" x14ac:dyDescent="0.25">
      <c r="A30" s="10" t="s">
        <v>20</v>
      </c>
      <c r="B30" s="11">
        <v>0.15</v>
      </c>
      <c r="C30" s="15" t="s">
        <v>16</v>
      </c>
      <c r="D30" s="20"/>
      <c r="E30" s="20">
        <f>-$B$29</f>
        <v>-440000</v>
      </c>
      <c r="F30" s="20">
        <f t="shared" ref="F30:H30" si="0">-$B$29</f>
        <v>-440000</v>
      </c>
      <c r="G30" s="20">
        <f t="shared" si="0"/>
        <v>-440000</v>
      </c>
      <c r="H30" s="20">
        <f t="shared" si="0"/>
        <v>-440000</v>
      </c>
    </row>
    <row r="31" spans="1:9" s="6" customFormat="1" x14ac:dyDescent="0.25">
      <c r="A31" s="10" t="s">
        <v>21</v>
      </c>
      <c r="B31" s="11">
        <v>3800000</v>
      </c>
      <c r="C31" s="15" t="s">
        <v>43</v>
      </c>
      <c r="D31" s="21"/>
      <c r="E31" s="20">
        <f>-E28*$B$30</f>
        <v>-418200</v>
      </c>
      <c r="F31" s="20">
        <f t="shared" ref="F31:H31" si="1">-F28*$B$30</f>
        <v>-510000</v>
      </c>
      <c r="G31" s="20">
        <f t="shared" si="1"/>
        <v>-571200</v>
      </c>
      <c r="H31" s="20">
        <f t="shared" si="1"/>
        <v>-459000</v>
      </c>
    </row>
    <row r="32" spans="1:9" s="6" customFormat="1" x14ac:dyDescent="0.25">
      <c r="A32" s="10" t="s">
        <v>22</v>
      </c>
      <c r="B32" s="11">
        <v>0.33329999999999999</v>
      </c>
      <c r="C32" s="15" t="s">
        <v>45</v>
      </c>
      <c r="D32" s="20"/>
      <c r="E32" s="20">
        <f>-E22</f>
        <v>-1266540</v>
      </c>
      <c r="F32" s="20">
        <f t="shared" ref="F32:H32" si="2">-F22</f>
        <v>-1689100</v>
      </c>
      <c r="G32" s="20">
        <f t="shared" si="2"/>
        <v>-562780</v>
      </c>
      <c r="H32" s="20">
        <f t="shared" si="2"/>
        <v>-281580</v>
      </c>
    </row>
    <row r="33" spans="1:9" s="6" customFormat="1" x14ac:dyDescent="0.25">
      <c r="A33" s="10"/>
      <c r="B33" s="11">
        <v>0.44450000000000001</v>
      </c>
      <c r="C33" s="14" t="s">
        <v>46</v>
      </c>
      <c r="D33" s="20"/>
      <c r="E33" s="20">
        <f>SUM(E28:E32)</f>
        <v>663260</v>
      </c>
      <c r="F33" s="20">
        <f t="shared" ref="F33:H33" si="3">SUM(F28:F32)</f>
        <v>760900</v>
      </c>
      <c r="G33" s="20">
        <f t="shared" si="3"/>
        <v>2234020</v>
      </c>
      <c r="H33" s="20">
        <f t="shared" si="3"/>
        <v>1879420</v>
      </c>
    </row>
    <row r="34" spans="1:9" s="6" customFormat="1" x14ac:dyDescent="0.25">
      <c r="A34" s="10"/>
      <c r="B34" s="11">
        <v>0.14810000000000001</v>
      </c>
      <c r="C34" s="22" t="s">
        <v>17</v>
      </c>
      <c r="D34" s="23"/>
      <c r="E34" s="23">
        <f>-E33*$B$39</f>
        <v>-265304</v>
      </c>
      <c r="F34" s="23">
        <f t="shared" ref="F34:H34" si="4">-F33*$B$39</f>
        <v>-304360</v>
      </c>
      <c r="G34" s="23">
        <f t="shared" si="4"/>
        <v>-893608</v>
      </c>
      <c r="H34" s="23">
        <f t="shared" si="4"/>
        <v>-751768</v>
      </c>
    </row>
    <row r="35" spans="1:9" s="6" customFormat="1" x14ac:dyDescent="0.25">
      <c r="A35" s="10"/>
      <c r="B35" s="11">
        <v>7.4099999999999999E-2</v>
      </c>
      <c r="C35" s="14" t="s">
        <v>12</v>
      </c>
      <c r="D35" s="20"/>
      <c r="E35" s="20">
        <f>E33+E34</f>
        <v>397956</v>
      </c>
      <c r="F35" s="20">
        <f t="shared" ref="F35:H35" si="5">F33+F34</f>
        <v>456540</v>
      </c>
      <c r="G35" s="20">
        <f t="shared" si="5"/>
        <v>1340412</v>
      </c>
      <c r="H35" s="20">
        <f t="shared" si="5"/>
        <v>1127652</v>
      </c>
    </row>
    <row r="36" spans="1:9" s="6" customFormat="1" x14ac:dyDescent="0.25">
      <c r="A36" s="10"/>
      <c r="B36" s="11"/>
      <c r="C36" s="14" t="s">
        <v>50</v>
      </c>
      <c r="D36" s="20"/>
      <c r="E36" s="20">
        <f>E35-E32</f>
        <v>1664496</v>
      </c>
      <c r="F36" s="20">
        <f t="shared" ref="F36:H36" si="6">F35-F32</f>
        <v>2145640</v>
      </c>
      <c r="G36" s="20">
        <f t="shared" si="6"/>
        <v>1903192</v>
      </c>
      <c r="H36" s="20">
        <f t="shared" si="6"/>
        <v>1409232</v>
      </c>
    </row>
    <row r="37" spans="1:9" s="6" customFormat="1" x14ac:dyDescent="0.25">
      <c r="A37" s="10" t="s">
        <v>37</v>
      </c>
      <c r="B37" s="11">
        <v>415000</v>
      </c>
      <c r="C37" s="14" t="s">
        <v>48</v>
      </c>
      <c r="D37" s="20">
        <f>D24</f>
        <v>-5458000</v>
      </c>
      <c r="E37" s="20">
        <f t="shared" ref="E37:H37" si="7">E24</f>
        <v>0</v>
      </c>
      <c r="F37" s="20">
        <f t="shared" si="7"/>
        <v>0</v>
      </c>
      <c r="G37" s="20">
        <f t="shared" si="7"/>
        <v>0</v>
      </c>
      <c r="H37" s="20">
        <f t="shared" si="7"/>
        <v>2007000</v>
      </c>
    </row>
    <row r="38" spans="1:9" s="6" customFormat="1" x14ac:dyDescent="0.25">
      <c r="A38" s="10" t="s">
        <v>23</v>
      </c>
      <c r="B38" s="11">
        <v>128000</v>
      </c>
      <c r="C38" s="9" t="s">
        <v>49</v>
      </c>
      <c r="D38" s="20">
        <f>D35+D37</f>
        <v>-5458000</v>
      </c>
      <c r="E38" s="20">
        <f>E36+E37</f>
        <v>1664496</v>
      </c>
      <c r="F38" s="20">
        <f t="shared" ref="F38:H38" si="8">F36+F37</f>
        <v>2145640</v>
      </c>
      <c r="G38" s="20">
        <f t="shared" si="8"/>
        <v>1903192</v>
      </c>
      <c r="H38" s="20">
        <f t="shared" si="8"/>
        <v>3416232</v>
      </c>
    </row>
    <row r="39" spans="1:9" s="6" customFormat="1" x14ac:dyDescent="0.25">
      <c r="A39" s="10" t="s">
        <v>25</v>
      </c>
      <c r="B39" s="11">
        <v>0.4</v>
      </c>
      <c r="C39" s="9" t="s">
        <v>14</v>
      </c>
      <c r="D39" s="20">
        <f>D38</f>
        <v>-5458000</v>
      </c>
      <c r="E39" s="20">
        <f>E38/((1+$B$40)^E18)</f>
        <v>1473005.3097345135</v>
      </c>
      <c r="F39" s="20">
        <f t="shared" ref="F39:H39" si="9">F38/((1+$B$40)^F18)</f>
        <v>1680350.8497141518</v>
      </c>
      <c r="G39" s="20">
        <f t="shared" si="9"/>
        <v>1319007.5244456124</v>
      </c>
      <c r="H39" s="20">
        <f t="shared" si="9"/>
        <v>2095239.0636975728</v>
      </c>
    </row>
    <row r="40" spans="1:9" s="6" customFormat="1" x14ac:dyDescent="0.25">
      <c r="A40" s="10" t="s">
        <v>38</v>
      </c>
      <c r="B40" s="11">
        <v>0.13</v>
      </c>
      <c r="D40" s="8"/>
      <c r="E40" s="8"/>
      <c r="F40" s="8"/>
      <c r="G40" s="8"/>
      <c r="H40" s="27">
        <f>SUM(D39:H39)</f>
        <v>1109602.7475918508</v>
      </c>
    </row>
    <row r="41" spans="1:9" s="6" customFormat="1" ht="15" customHeight="1" x14ac:dyDescent="0.25"/>
    <row r="42" spans="1:9" s="4" customFormat="1" x14ac:dyDescent="0.25">
      <c r="A42" s="4" t="s">
        <v>18</v>
      </c>
    </row>
    <row r="43" spans="1:9" s="6" customFormat="1" x14ac:dyDescent="0.25">
      <c r="D43" s="6">
        <v>0</v>
      </c>
      <c r="E43" s="6">
        <v>1</v>
      </c>
      <c r="F43" s="6">
        <v>2</v>
      </c>
      <c r="G43" s="6">
        <v>3</v>
      </c>
      <c r="H43" s="6">
        <v>4</v>
      </c>
      <c r="I43" s="6">
        <v>5</v>
      </c>
    </row>
    <row r="44" spans="1:9" s="6" customFormat="1" x14ac:dyDescent="0.25">
      <c r="A44" s="10" t="s">
        <v>51</v>
      </c>
      <c r="B44" s="10">
        <v>158000</v>
      </c>
      <c r="C44" s="9" t="s">
        <v>27</v>
      </c>
    </row>
    <row r="45" spans="1:9" s="6" customFormat="1" x14ac:dyDescent="0.25">
      <c r="A45" s="10" t="s">
        <v>52</v>
      </c>
      <c r="B45" s="10">
        <v>5</v>
      </c>
      <c r="C45" s="14" t="s">
        <v>31</v>
      </c>
    </row>
    <row r="46" spans="1:9" s="6" customFormat="1" x14ac:dyDescent="0.25">
      <c r="A46" s="10"/>
      <c r="B46" s="10"/>
      <c r="C46" s="14" t="s">
        <v>26</v>
      </c>
      <c r="D46" s="6">
        <f>-B47</f>
        <v>-1980000</v>
      </c>
      <c r="I46" s="6">
        <f>-(D46+SUM(E47:I47))</f>
        <v>168000</v>
      </c>
    </row>
    <row r="47" spans="1:9" s="6" customFormat="1" x14ac:dyDescent="0.25">
      <c r="A47" s="10" t="s">
        <v>53</v>
      </c>
      <c r="B47" s="10">
        <v>1980000</v>
      </c>
      <c r="C47" s="14" t="s">
        <v>44</v>
      </c>
      <c r="E47" s="6">
        <f>(1/$B$45)*($B$47-$B$48)</f>
        <v>362400</v>
      </c>
      <c r="F47" s="6">
        <f t="shared" ref="F47:I47" si="10">(1/$B$45)*($B$47-$B$48)</f>
        <v>362400</v>
      </c>
      <c r="G47" s="6">
        <f t="shared" si="10"/>
        <v>362400</v>
      </c>
      <c r="H47" s="6">
        <f t="shared" si="10"/>
        <v>362400</v>
      </c>
      <c r="I47" s="6">
        <f t="shared" si="10"/>
        <v>362400</v>
      </c>
    </row>
    <row r="48" spans="1:9" s="6" customFormat="1" x14ac:dyDescent="0.25">
      <c r="A48" s="10" t="s">
        <v>24</v>
      </c>
      <c r="B48" s="10">
        <v>168000</v>
      </c>
      <c r="C48" s="14" t="s">
        <v>23</v>
      </c>
      <c r="D48" s="6">
        <f>-B52</f>
        <v>-148000</v>
      </c>
      <c r="I48" s="6">
        <f>-D48</f>
        <v>148000</v>
      </c>
    </row>
    <row r="49" spans="1:10" s="6" customFormat="1" x14ac:dyDescent="0.25">
      <c r="A49" s="10"/>
      <c r="B49" s="10"/>
      <c r="C49" s="14" t="s">
        <v>47</v>
      </c>
      <c r="D49" s="6">
        <f>D46+D48</f>
        <v>-2128000</v>
      </c>
      <c r="E49" s="6">
        <f t="shared" ref="E49:I49" si="11">E46+E48</f>
        <v>0</v>
      </c>
      <c r="F49" s="6">
        <f t="shared" si="11"/>
        <v>0</v>
      </c>
      <c r="G49" s="6">
        <f t="shared" si="11"/>
        <v>0</v>
      </c>
      <c r="H49" s="6">
        <f t="shared" si="11"/>
        <v>0</v>
      </c>
      <c r="I49" s="6">
        <f t="shared" si="11"/>
        <v>316000</v>
      </c>
    </row>
    <row r="50" spans="1:10" s="6" customFormat="1" x14ac:dyDescent="0.25">
      <c r="A50" s="10" t="s">
        <v>54</v>
      </c>
      <c r="B50" s="10">
        <v>283000</v>
      </c>
      <c r="C50" s="16"/>
    </row>
    <row r="51" spans="1:10" s="6" customFormat="1" x14ac:dyDescent="0.25">
      <c r="A51" s="10" t="s">
        <v>55</v>
      </c>
      <c r="B51" s="10">
        <v>10.3</v>
      </c>
      <c r="C51" s="9" t="s">
        <v>39</v>
      </c>
    </row>
    <row r="52" spans="1:10" s="6" customFormat="1" x14ac:dyDescent="0.25">
      <c r="A52" s="10" t="s">
        <v>23</v>
      </c>
      <c r="B52" s="10">
        <v>148000</v>
      </c>
      <c r="C52" s="14" t="s">
        <v>40</v>
      </c>
      <c r="E52" s="6">
        <f>$B$56*$B$44</f>
        <v>2542779.5308557483</v>
      </c>
      <c r="F52" s="6">
        <f t="shared" ref="F52:I52" si="12">$B$56*$B$44</f>
        <v>2542779.5308557483</v>
      </c>
      <c r="G52" s="6">
        <f t="shared" si="12"/>
        <v>2542779.5308557483</v>
      </c>
      <c r="H52" s="6">
        <f t="shared" si="12"/>
        <v>2542779.5308557483</v>
      </c>
      <c r="I52" s="6">
        <f t="shared" si="12"/>
        <v>2542779.5308557483</v>
      </c>
    </row>
    <row r="53" spans="1:10" s="6" customFormat="1" x14ac:dyDescent="0.25">
      <c r="A53" s="10" t="s">
        <v>25</v>
      </c>
      <c r="B53" s="10">
        <v>0.34</v>
      </c>
      <c r="C53" s="14" t="s">
        <v>42</v>
      </c>
    </row>
    <row r="54" spans="1:10" s="6" customFormat="1" x14ac:dyDescent="0.25">
      <c r="A54" s="10" t="s">
        <v>38</v>
      </c>
      <c r="B54" s="10">
        <v>0.12</v>
      </c>
      <c r="C54" s="15" t="s">
        <v>16</v>
      </c>
      <c r="E54" s="6">
        <f>-$B$50</f>
        <v>-283000</v>
      </c>
      <c r="F54" s="6">
        <f t="shared" ref="F54:I54" si="13">-$B$50</f>
        <v>-283000</v>
      </c>
      <c r="G54" s="6">
        <f t="shared" si="13"/>
        <v>-283000</v>
      </c>
      <c r="H54" s="6">
        <f t="shared" si="13"/>
        <v>-283000</v>
      </c>
      <c r="I54" s="6">
        <f t="shared" si="13"/>
        <v>-283000</v>
      </c>
    </row>
    <row r="55" spans="1:10" s="6" customFormat="1" x14ac:dyDescent="0.25">
      <c r="C55" s="15" t="s">
        <v>43</v>
      </c>
      <c r="E55" s="6">
        <f>-$B$51*$B$44</f>
        <v>-1627400</v>
      </c>
      <c r="F55" s="6">
        <f t="shared" ref="F55:I55" si="14">-$B$51*$B$44</f>
        <v>-1627400</v>
      </c>
      <c r="G55" s="6">
        <f t="shared" si="14"/>
        <v>-1627400</v>
      </c>
      <c r="H55" s="6">
        <f t="shared" si="14"/>
        <v>-1627400</v>
      </c>
      <c r="I55" s="6">
        <f t="shared" si="14"/>
        <v>-1627400</v>
      </c>
    </row>
    <row r="56" spans="1:10" s="6" customFormat="1" x14ac:dyDescent="0.25">
      <c r="A56" s="10" t="s">
        <v>56</v>
      </c>
      <c r="B56" s="10">
        <v>16.093541334530052</v>
      </c>
      <c r="C56" s="15" t="s">
        <v>45</v>
      </c>
      <c r="E56" s="6">
        <f>-E47</f>
        <v>-362400</v>
      </c>
      <c r="F56" s="6">
        <f t="shared" ref="F56:I56" si="15">-F47</f>
        <v>-362400</v>
      </c>
      <c r="G56" s="6">
        <f t="shared" si="15"/>
        <v>-362400</v>
      </c>
      <c r="H56" s="6">
        <f t="shared" si="15"/>
        <v>-362400</v>
      </c>
      <c r="I56" s="6">
        <f t="shared" si="15"/>
        <v>-362400</v>
      </c>
    </row>
    <row r="57" spans="1:10" s="6" customFormat="1" x14ac:dyDescent="0.25">
      <c r="A57" s="10"/>
      <c r="B57" s="10"/>
      <c r="C57" s="14" t="s">
        <v>46</v>
      </c>
      <c r="E57" s="6">
        <f>SUM(E52:E56)</f>
        <v>269979.53085574834</v>
      </c>
      <c r="F57" s="6">
        <f t="shared" ref="F57:I57" si="16">SUM(F52:F56)</f>
        <v>269979.53085574834</v>
      </c>
      <c r="G57" s="6">
        <f t="shared" si="16"/>
        <v>269979.53085574834</v>
      </c>
      <c r="H57" s="6">
        <f t="shared" si="16"/>
        <v>269979.53085574834</v>
      </c>
      <c r="I57" s="6">
        <f t="shared" si="16"/>
        <v>269979.53085574834</v>
      </c>
    </row>
    <row r="58" spans="1:10" s="6" customFormat="1" x14ac:dyDescent="0.25">
      <c r="C58" s="22" t="s">
        <v>17</v>
      </c>
      <c r="E58" s="6">
        <f>-(E57*$B$53)</f>
        <v>-91793.040490954445</v>
      </c>
      <c r="F58" s="6">
        <f t="shared" ref="F58:I58" si="17">-(F57*$B$53)</f>
        <v>-91793.040490954445</v>
      </c>
      <c r="G58" s="6">
        <f t="shared" si="17"/>
        <v>-91793.040490954445</v>
      </c>
      <c r="H58" s="6">
        <f t="shared" si="17"/>
        <v>-91793.040490954445</v>
      </c>
      <c r="I58" s="6">
        <f t="shared" si="17"/>
        <v>-91793.040490954445</v>
      </c>
    </row>
    <row r="59" spans="1:10" s="6" customFormat="1" x14ac:dyDescent="0.25">
      <c r="C59" s="14" t="s">
        <v>12</v>
      </c>
      <c r="E59" s="6">
        <f>SUM(E57:E58)</f>
        <v>178186.49036479389</v>
      </c>
      <c r="F59" s="6">
        <f t="shared" ref="F59:I59" si="18">SUM(F57:F58)</f>
        <v>178186.49036479389</v>
      </c>
      <c r="G59" s="6">
        <f t="shared" si="18"/>
        <v>178186.49036479389</v>
      </c>
      <c r="H59" s="6">
        <f t="shared" si="18"/>
        <v>178186.49036479389</v>
      </c>
      <c r="I59" s="6">
        <f t="shared" si="18"/>
        <v>178186.49036479389</v>
      </c>
    </row>
    <row r="60" spans="1:10" s="6" customFormat="1" x14ac:dyDescent="0.25">
      <c r="C60" s="14" t="s">
        <v>50</v>
      </c>
      <c r="E60" s="6">
        <f>E59-E56</f>
        <v>540586.49036479392</v>
      </c>
      <c r="F60" s="6">
        <f t="shared" ref="F60:I60" si="19">F59-F56</f>
        <v>540586.49036479392</v>
      </c>
      <c r="G60" s="6">
        <f t="shared" si="19"/>
        <v>540586.49036479392</v>
      </c>
      <c r="H60" s="6">
        <f t="shared" si="19"/>
        <v>540586.49036479392</v>
      </c>
      <c r="I60" s="6">
        <f t="shared" si="19"/>
        <v>540586.49036479392</v>
      </c>
    </row>
    <row r="61" spans="1:10" s="6" customFormat="1" x14ac:dyDescent="0.25">
      <c r="C61" s="14" t="s">
        <v>48</v>
      </c>
      <c r="D61" s="6">
        <f>D49</f>
        <v>-2128000</v>
      </c>
      <c r="E61" s="6">
        <f t="shared" ref="E61:I61" si="20">E49</f>
        <v>0</v>
      </c>
      <c r="F61" s="6">
        <f t="shared" si="20"/>
        <v>0</v>
      </c>
      <c r="G61" s="6">
        <f t="shared" si="20"/>
        <v>0</v>
      </c>
      <c r="H61" s="6">
        <f t="shared" si="20"/>
        <v>0</v>
      </c>
      <c r="I61" s="6">
        <f t="shared" si="20"/>
        <v>316000</v>
      </c>
    </row>
    <row r="62" spans="1:10" s="6" customFormat="1" x14ac:dyDescent="0.25">
      <c r="C62" s="9" t="s">
        <v>49</v>
      </c>
      <c r="D62" s="6">
        <f>D60+D61</f>
        <v>-2128000</v>
      </c>
      <c r="E62" s="6">
        <f t="shared" ref="E62:I62" si="21">E60+E61</f>
        <v>540586.49036479392</v>
      </c>
      <c r="F62" s="6">
        <f t="shared" si="21"/>
        <v>540586.49036479392</v>
      </c>
      <c r="G62" s="6">
        <f t="shared" si="21"/>
        <v>540586.49036479392</v>
      </c>
      <c r="H62" s="6">
        <f t="shared" si="21"/>
        <v>540586.49036479392</v>
      </c>
      <c r="I62" s="6">
        <f t="shared" si="21"/>
        <v>856586.49036479392</v>
      </c>
    </row>
    <row r="63" spans="1:10" s="6" customFormat="1" x14ac:dyDescent="0.25">
      <c r="C63" s="9" t="s">
        <v>14</v>
      </c>
      <c r="D63" s="6">
        <f>D62</f>
        <v>-2128000</v>
      </c>
      <c r="E63" s="6">
        <f>E62/((1+$B$54)^E43)</f>
        <v>482666.50925428024</v>
      </c>
      <c r="F63" s="6">
        <f t="shared" ref="F63:I63" si="22">F62/((1+$B$54)^F43)</f>
        <v>430952.24040560733</v>
      </c>
      <c r="G63" s="6">
        <f t="shared" si="22"/>
        <v>384778.78607643506</v>
      </c>
      <c r="H63" s="6">
        <f t="shared" si="22"/>
        <v>343552.48756824562</v>
      </c>
      <c r="I63" s="6">
        <f t="shared" si="22"/>
        <v>486050.17887872522</v>
      </c>
    </row>
    <row r="64" spans="1:10" s="6" customFormat="1" x14ac:dyDescent="0.25">
      <c r="H64" s="6" t="s">
        <v>57</v>
      </c>
      <c r="I64" s="28">
        <f>SUM(D63:I63)</f>
        <v>0.20218329346971586</v>
      </c>
      <c r="J64" s="6" t="s">
        <v>58</v>
      </c>
    </row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7" zoomScale="85" zoomScaleNormal="85" zoomScalePageLayoutView="85" workbookViewId="0">
      <selection activeCell="F27" sqref="F27"/>
    </sheetView>
  </sheetViews>
  <sheetFormatPr defaultColWidth="11" defaultRowHeight="15.75" x14ac:dyDescent="0.25"/>
  <cols>
    <col min="1" max="1" width="11" style="1"/>
    <col min="2" max="2" width="20.875" style="1" bestFit="1" customWidth="1"/>
    <col min="3" max="3" width="13.125" style="1" customWidth="1"/>
    <col min="4" max="4" width="14.375" style="1" bestFit="1" customWidth="1"/>
    <col min="5" max="5" width="16.125" style="1" customWidth="1"/>
    <col min="6" max="6" width="14.375" style="1" customWidth="1"/>
    <col min="7" max="7" width="14.875" style="1" bestFit="1" customWidth="1"/>
    <col min="8" max="8" width="14.625" style="1" bestFit="1" customWidth="1"/>
    <col min="9" max="9" width="10.875" style="1" customWidth="1"/>
    <col min="10" max="11" width="14.625" style="1" bestFit="1" customWidth="1"/>
    <col min="12" max="16384" width="11" style="1"/>
  </cols>
  <sheetData>
    <row r="1" spans="1:8" s="4" customFormat="1" x14ac:dyDescent="0.25">
      <c r="A1" s="4" t="s">
        <v>10</v>
      </c>
    </row>
    <row r="3" spans="1:8" s="6" customFormat="1" x14ac:dyDescent="0.25">
      <c r="A3" s="10" t="s">
        <v>59</v>
      </c>
      <c r="B3" s="10">
        <v>4017.6447285819013</v>
      </c>
      <c r="C3" s="9" t="s">
        <v>64</v>
      </c>
      <c r="D3" s="20">
        <f>PV(B7,B5,-B6)</f>
        <v>1716279.0776002484</v>
      </c>
    </row>
    <row r="4" spans="1:8" s="6" customFormat="1" x14ac:dyDescent="0.25">
      <c r="A4" s="10" t="s">
        <v>60</v>
      </c>
      <c r="B4" s="10">
        <v>67</v>
      </c>
      <c r="C4" s="9" t="s">
        <v>65</v>
      </c>
      <c r="D4" s="20">
        <f>-B8</f>
        <v>-1520000</v>
      </c>
    </row>
    <row r="5" spans="1:8" s="6" customFormat="1" x14ac:dyDescent="0.25">
      <c r="A5" s="10" t="s">
        <v>52</v>
      </c>
      <c r="B5" s="10">
        <v>10</v>
      </c>
      <c r="C5" s="26" t="s">
        <v>66</v>
      </c>
      <c r="D5" s="24">
        <f>SUM(D3:D4)</f>
        <v>196279.07760024839</v>
      </c>
    </row>
    <row r="6" spans="1:8" s="6" customFormat="1" x14ac:dyDescent="0.25">
      <c r="A6" s="10" t="s">
        <v>61</v>
      </c>
      <c r="B6" s="10">
        <v>355100</v>
      </c>
    </row>
    <row r="7" spans="1:8" s="6" customFormat="1" x14ac:dyDescent="0.25">
      <c r="A7" s="10" t="s">
        <v>62</v>
      </c>
      <c r="B7" s="25">
        <v>0.16</v>
      </c>
      <c r="C7" s="9" t="s">
        <v>64</v>
      </c>
      <c r="D7" s="20">
        <f>PV(B7,10,-(B3*B4))</f>
        <v>1301018.7903577446</v>
      </c>
    </row>
    <row r="8" spans="1:8" s="6" customFormat="1" x14ac:dyDescent="0.25">
      <c r="A8" s="10" t="s">
        <v>63</v>
      </c>
      <c r="B8" s="10">
        <v>1520000</v>
      </c>
      <c r="C8" s="9" t="s">
        <v>65</v>
      </c>
      <c r="D8" s="20">
        <f>-B8</f>
        <v>-1520000</v>
      </c>
      <c r="F8" s="9" t="s">
        <v>66</v>
      </c>
      <c r="G8" s="20">
        <f>D7+D8</f>
        <v>-218981.20964225545</v>
      </c>
    </row>
    <row r="9" spans="1:8" s="6" customFormat="1" x14ac:dyDescent="0.25">
      <c r="C9" s="9" t="s">
        <v>70</v>
      </c>
      <c r="D9" s="20">
        <f>(B3*B4)/(1+B7)</f>
        <v>232053.61794395468</v>
      </c>
      <c r="F9" s="9" t="s">
        <v>69</v>
      </c>
      <c r="G9" s="20">
        <f>D9+D10</f>
        <v>-218980.86481466584</v>
      </c>
    </row>
    <row r="10" spans="1:8" s="6" customFormat="1" x14ac:dyDescent="0.25">
      <c r="A10" s="10" t="s">
        <v>67</v>
      </c>
      <c r="B10" s="10">
        <v>1240000</v>
      </c>
      <c r="C10" s="9" t="s">
        <v>68</v>
      </c>
      <c r="D10" s="20">
        <f>B10/(1+B7)+D8</f>
        <v>-451034.48275862052</v>
      </c>
    </row>
    <row r="11" spans="1:8" s="6" customFormat="1" x14ac:dyDescent="0.25">
      <c r="F11" s="26" t="s">
        <v>71</v>
      </c>
      <c r="G11" s="26">
        <f>G8-G9</f>
        <v>-0.34482758960803039</v>
      </c>
      <c r="H11" s="6" t="s">
        <v>72</v>
      </c>
    </row>
    <row r="13" spans="1:8" s="4" customFormat="1" x14ac:dyDescent="0.25">
      <c r="A13" s="4" t="s">
        <v>15</v>
      </c>
    </row>
    <row r="15" spans="1:8" s="6" customFormat="1" x14ac:dyDescent="0.25">
      <c r="A15" s="10" t="s">
        <v>73</v>
      </c>
      <c r="B15" s="10">
        <v>10000</v>
      </c>
      <c r="C15" s="9" t="s">
        <v>78</v>
      </c>
      <c r="D15" s="20">
        <f>B21*(1-B19)</f>
        <v>5040000</v>
      </c>
    </row>
    <row r="16" spans="1:8" s="6" customFormat="1" x14ac:dyDescent="0.25">
      <c r="A16" s="10" t="s">
        <v>74</v>
      </c>
      <c r="B16" s="25">
        <v>0.01</v>
      </c>
      <c r="C16" s="9" t="s">
        <v>79</v>
      </c>
      <c r="D16" s="20">
        <f>D15*(1-B18)</f>
        <v>252000.00000000023</v>
      </c>
    </row>
    <row r="17" spans="1:11" s="6" customFormat="1" x14ac:dyDescent="0.25">
      <c r="A17" s="10"/>
      <c r="B17" s="10"/>
      <c r="C17" s="26" t="s">
        <v>80</v>
      </c>
      <c r="D17" s="27">
        <f>B16*D16</f>
        <v>2520.0000000000023</v>
      </c>
    </row>
    <row r="18" spans="1:11" s="6" customFormat="1" x14ac:dyDescent="0.25">
      <c r="A18" s="10" t="s">
        <v>75</v>
      </c>
      <c r="B18" s="25">
        <v>0.95</v>
      </c>
    </row>
    <row r="19" spans="1:11" s="6" customFormat="1" x14ac:dyDescent="0.25">
      <c r="A19" s="10" t="s">
        <v>76</v>
      </c>
      <c r="B19" s="25">
        <v>0.65</v>
      </c>
    </row>
    <row r="20" spans="1:11" s="6" customFormat="1" x14ac:dyDescent="0.25">
      <c r="A20" s="10"/>
      <c r="B20" s="10"/>
    </row>
    <row r="21" spans="1:11" s="6" customFormat="1" x14ac:dyDescent="0.25">
      <c r="A21" s="10" t="s">
        <v>77</v>
      </c>
      <c r="B21" s="10">
        <v>14400000</v>
      </c>
    </row>
    <row r="23" spans="1:11" s="4" customFormat="1" x14ac:dyDescent="0.25">
      <c r="A23" s="4" t="s">
        <v>18</v>
      </c>
    </row>
    <row r="25" spans="1:11" s="9" customFormat="1" x14ac:dyDescent="0.25">
      <c r="A25" s="10" t="s">
        <v>81</v>
      </c>
      <c r="B25" s="10">
        <v>48600</v>
      </c>
      <c r="C25" s="10"/>
      <c r="E25" s="9" t="s">
        <v>87</v>
      </c>
      <c r="F25" s="9" t="s">
        <v>88</v>
      </c>
      <c r="G25" s="9" t="s">
        <v>89</v>
      </c>
      <c r="H25" s="29"/>
      <c r="J25" s="30"/>
      <c r="K25" s="30"/>
    </row>
    <row r="26" spans="1:11" s="9" customFormat="1" x14ac:dyDescent="0.25">
      <c r="A26" s="10" t="s">
        <v>82</v>
      </c>
      <c r="B26" s="10">
        <v>5400</v>
      </c>
      <c r="C26" s="10"/>
      <c r="D26" s="9" t="s">
        <v>90</v>
      </c>
      <c r="E26" s="20">
        <f>$B$25/$B$26</f>
        <v>9</v>
      </c>
      <c r="F26" s="20">
        <f t="shared" ref="F26:G26" si="0">$B$25/$B$26</f>
        <v>9</v>
      </c>
      <c r="G26" s="20">
        <f t="shared" si="0"/>
        <v>9</v>
      </c>
      <c r="H26" s="29"/>
    </row>
    <row r="27" spans="1:11" s="9" customFormat="1" x14ac:dyDescent="0.25">
      <c r="A27" s="10" t="s">
        <v>38</v>
      </c>
      <c r="B27" s="10">
        <v>0.11</v>
      </c>
      <c r="C27" s="10"/>
      <c r="D27" s="9" t="s">
        <v>91</v>
      </c>
      <c r="E27" s="20">
        <f>PV($B$27,E26,-$B$29*B26)</f>
        <v>40066075.944205754</v>
      </c>
      <c r="F27" s="20">
        <f>PV($B$27,F26,-$C$32*B26)/(1+B27)</f>
        <v>41482961.512758404</v>
      </c>
      <c r="G27" s="20">
        <f>PV($B$27,G26,-$C$33*B26)/(1+B27)</f>
        <v>33401865.11416911</v>
      </c>
    </row>
    <row r="28" spans="1:11" s="9" customFormat="1" x14ac:dyDescent="0.25">
      <c r="A28" s="10" t="s">
        <v>83</v>
      </c>
      <c r="B28" s="10">
        <v>33400000</v>
      </c>
      <c r="C28" s="10"/>
      <c r="D28" s="9" t="s">
        <v>65</v>
      </c>
      <c r="E28" s="20">
        <f>-B28</f>
        <v>-33400000</v>
      </c>
      <c r="F28" s="20">
        <f>-$B$28/(1+$B$27)</f>
        <v>-30090090.090090089</v>
      </c>
      <c r="G28" s="20">
        <f>-$B$28/(1+$B$27)</f>
        <v>-30090090.090090089</v>
      </c>
      <c r="K28" s="29"/>
    </row>
    <row r="29" spans="1:11" s="9" customFormat="1" x14ac:dyDescent="0.25">
      <c r="A29" s="10" t="s">
        <v>84</v>
      </c>
      <c r="B29" s="10">
        <v>1340</v>
      </c>
      <c r="C29" s="10"/>
      <c r="D29" s="9" t="s">
        <v>66</v>
      </c>
      <c r="E29" s="20">
        <f>E27+E28</f>
        <v>6666075.9442057535</v>
      </c>
      <c r="F29" s="20">
        <f t="shared" ref="F29:G29" si="1">F27+F28</f>
        <v>11392871.422668315</v>
      </c>
      <c r="G29" s="20">
        <f t="shared" si="1"/>
        <v>3311775.0240790211</v>
      </c>
    </row>
    <row r="30" spans="1:11" s="9" customFormat="1" x14ac:dyDescent="0.25">
      <c r="A30" s="10"/>
      <c r="B30" s="10"/>
      <c r="C30" s="10"/>
      <c r="D30" s="9" t="s">
        <v>92</v>
      </c>
      <c r="E30" s="20">
        <f>E29</f>
        <v>6666075.9442057535</v>
      </c>
      <c r="F30" s="20">
        <f>F29*A32</f>
        <v>7405366.4247344052</v>
      </c>
      <c r="G30" s="20">
        <f>G29*A33</f>
        <v>1159121.2584276572</v>
      </c>
      <c r="K30" s="29"/>
    </row>
    <row r="31" spans="1:11" s="9" customFormat="1" x14ac:dyDescent="0.25">
      <c r="A31" s="10" t="s">
        <v>85</v>
      </c>
      <c r="B31" s="10"/>
      <c r="C31" s="10"/>
      <c r="E31" s="20"/>
      <c r="F31" s="20"/>
      <c r="G31" s="20"/>
    </row>
    <row r="32" spans="1:11" s="9" customFormat="1" x14ac:dyDescent="0.25">
      <c r="A32" s="10">
        <v>0.65</v>
      </c>
      <c r="B32" s="10" t="s">
        <v>86</v>
      </c>
      <c r="C32" s="10">
        <v>1540</v>
      </c>
      <c r="D32" s="9" t="s">
        <v>93</v>
      </c>
      <c r="E32" s="20">
        <f>E30</f>
        <v>6666075.9442057535</v>
      </c>
      <c r="F32" s="20"/>
      <c r="G32" s="20"/>
    </row>
    <row r="33" spans="1:7" s="9" customFormat="1" x14ac:dyDescent="0.25">
      <c r="A33" s="10">
        <v>0.35</v>
      </c>
      <c r="B33" s="10" t="s">
        <v>86</v>
      </c>
      <c r="C33" s="10">
        <v>1240</v>
      </c>
      <c r="D33" s="9" t="s">
        <v>94</v>
      </c>
      <c r="E33" s="20">
        <f>F30+G30</f>
        <v>8564487.6831620634</v>
      </c>
      <c r="F33" s="20"/>
      <c r="G33" s="20"/>
    </row>
    <row r="34" spans="1:7" s="9" customFormat="1" x14ac:dyDescent="0.25">
      <c r="D34" s="26" t="s">
        <v>95</v>
      </c>
      <c r="E34" s="27">
        <f>E33-E32</f>
        <v>1898411.7389563099</v>
      </c>
      <c r="F34" s="20"/>
      <c r="G34" s="20"/>
    </row>
    <row r="35" spans="1:7" s="9" customFormat="1" x14ac:dyDescent="0.25"/>
    <row r="36" spans="1:7" s="9" customFormat="1" x14ac:dyDescent="0.25"/>
  </sheetData>
  <mergeCells count="1">
    <mergeCell ref="J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 6</vt:lpstr>
      <vt:lpstr>Chapter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Aj Fontana</cp:lastModifiedBy>
  <dcterms:created xsi:type="dcterms:W3CDTF">2017-01-28T20:20:06Z</dcterms:created>
  <dcterms:modified xsi:type="dcterms:W3CDTF">2017-02-01T04:54:43Z</dcterms:modified>
</cp:coreProperties>
</file>