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000" activeTab="3"/>
  </bookViews>
  <sheets>
    <sheet name="Base case" sheetId="1" r:id="rId1"/>
    <sheet name="Optimistic" sheetId="6" r:id="rId2"/>
    <sheet name="Pessimistic" sheetId="7" r:id="rId3"/>
    <sheet name="Cost of capital" sheetId="2" r:id="rId4"/>
    <sheet name="Conclusion" sheetId="3" r:id="rId5"/>
  </sheets>
  <definedNames>
    <definedName name="_xlnm.Print_Area" localSheetId="0">'Base case'!$A$1:$L$22</definedName>
    <definedName name="_xlnm.Print_Area" localSheetId="4">Conclusion!$A$1:$G$15</definedName>
    <definedName name="_xlnm.Print_Area" localSheetId="3">'Cost of capital'!$A$1:$H$38</definedName>
    <definedName name="_xlnm.Print_Area" localSheetId="1">Optimistic!$A$1:$L$13</definedName>
    <definedName name="_xlnm.Print_Area" localSheetId="2">Pessimistic!$A$1:$L$22</definedName>
    <definedName name="tax_rate" localSheetId="1">Optimistic!#REF!</definedName>
    <definedName name="tax_rate" localSheetId="2">Pessimistic!$K$9</definedName>
    <definedName name="tax_rate">'Base case'!$K$9</definedName>
    <definedName name="WACC">'Cost of capital'!$B$38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7" l="1"/>
  <c r="A23" i="6"/>
  <c r="B15" i="3"/>
  <c r="B14" i="3"/>
  <c r="B13" i="3"/>
  <c r="B12" i="3"/>
  <c r="D6" i="3"/>
  <c r="D5" i="3"/>
  <c r="D4" i="3"/>
  <c r="D3" i="3"/>
  <c r="C5" i="3"/>
  <c r="C4" i="3"/>
  <c r="C3" i="3"/>
  <c r="B4" i="3"/>
  <c r="B5" i="3"/>
  <c r="B3" i="3"/>
  <c r="D18" i="7"/>
  <c r="E18" i="7"/>
  <c r="F18" i="7"/>
  <c r="G13" i="7"/>
  <c r="G17" i="7"/>
  <c r="G18" i="7"/>
  <c r="H13" i="7"/>
  <c r="H17" i="7"/>
  <c r="H18" i="7"/>
  <c r="I13" i="7"/>
  <c r="I17" i="7"/>
  <c r="I18" i="7"/>
  <c r="J13" i="7"/>
  <c r="J17" i="7"/>
  <c r="J18" i="7"/>
  <c r="K13" i="7"/>
  <c r="K17" i="7"/>
  <c r="K18" i="7"/>
  <c r="L13" i="7"/>
  <c r="L17" i="7"/>
  <c r="L18" i="7"/>
  <c r="C18" i="7"/>
  <c r="D13" i="7"/>
  <c r="E13" i="7"/>
  <c r="F13" i="7"/>
  <c r="D12" i="7"/>
  <c r="E12" i="7"/>
  <c r="F4" i="7"/>
  <c r="C19" i="1"/>
  <c r="C17" i="1"/>
  <c r="D19" i="1"/>
  <c r="C13" i="1"/>
  <c r="C13" i="7"/>
  <c r="L21" i="7"/>
  <c r="B9" i="7"/>
  <c r="F7" i="1"/>
  <c r="F6" i="1"/>
  <c r="F3" i="1"/>
  <c r="F8" i="1"/>
  <c r="C14" i="1"/>
  <c r="C18" i="1"/>
  <c r="C22" i="1"/>
  <c r="C23" i="1"/>
  <c r="D14" i="1"/>
  <c r="D17" i="1"/>
  <c r="D18" i="1"/>
  <c r="D22" i="1"/>
  <c r="D23" i="1"/>
  <c r="E14" i="1"/>
  <c r="E17" i="1"/>
  <c r="E18" i="1"/>
  <c r="E19" i="1"/>
  <c r="E22" i="1"/>
  <c r="E23" i="1"/>
  <c r="F14" i="1"/>
  <c r="F17" i="1"/>
  <c r="F18" i="1"/>
  <c r="F19" i="1"/>
  <c r="F22" i="1"/>
  <c r="F23" i="1"/>
  <c r="G14" i="1"/>
  <c r="G17" i="1"/>
  <c r="G18" i="1"/>
  <c r="G19" i="1"/>
  <c r="G22" i="1"/>
  <c r="G23" i="1"/>
  <c r="H14" i="1"/>
  <c r="H17" i="1"/>
  <c r="H18" i="1"/>
  <c r="H19" i="1"/>
  <c r="H22" i="1"/>
  <c r="H23" i="1"/>
  <c r="I14" i="1"/>
  <c r="I17" i="1"/>
  <c r="I18" i="1"/>
  <c r="I19" i="1"/>
  <c r="I22" i="1"/>
  <c r="I23" i="1"/>
  <c r="J14" i="1"/>
  <c r="J17" i="1"/>
  <c r="J18" i="1"/>
  <c r="J19" i="1"/>
  <c r="J22" i="1"/>
  <c r="J23" i="1"/>
  <c r="K14" i="1"/>
  <c r="K17" i="1"/>
  <c r="K18" i="1"/>
  <c r="K19" i="1"/>
  <c r="K22" i="1"/>
  <c r="K23" i="1"/>
  <c r="L14" i="1"/>
  <c r="L17" i="1"/>
  <c r="L18" i="1"/>
  <c r="L19" i="1"/>
  <c r="L22" i="1"/>
  <c r="L23" i="1"/>
  <c r="M23" i="1"/>
  <c r="F6" i="6"/>
  <c r="F3" i="6"/>
  <c r="F7" i="6"/>
  <c r="F8" i="6"/>
  <c r="D14" i="6"/>
  <c r="D17" i="6"/>
  <c r="D18" i="6"/>
  <c r="E14" i="6"/>
  <c r="E17" i="6"/>
  <c r="E18" i="6"/>
  <c r="F14" i="6"/>
  <c r="F17" i="6"/>
  <c r="F18" i="6"/>
  <c r="G14" i="6"/>
  <c r="G17" i="6"/>
  <c r="G18" i="6"/>
  <c r="H14" i="6"/>
  <c r="H17" i="6"/>
  <c r="H18" i="6"/>
  <c r="I14" i="6"/>
  <c r="I17" i="6"/>
  <c r="I18" i="6"/>
  <c r="J14" i="6"/>
  <c r="J17" i="6"/>
  <c r="J18" i="6"/>
  <c r="K14" i="6"/>
  <c r="K17" i="6"/>
  <c r="K18" i="6"/>
  <c r="L14" i="6"/>
  <c r="L17" i="6"/>
  <c r="L18" i="6"/>
  <c r="C14" i="6"/>
  <c r="C17" i="6"/>
  <c r="C18" i="6"/>
  <c r="F4" i="6"/>
  <c r="D13" i="6"/>
  <c r="E13" i="6"/>
  <c r="F13" i="6"/>
  <c r="G13" i="6"/>
  <c r="H13" i="6"/>
  <c r="I13" i="6"/>
  <c r="J13" i="6"/>
  <c r="K13" i="6"/>
  <c r="L13" i="6"/>
  <c r="C13" i="6"/>
  <c r="B26" i="1"/>
  <c r="D13" i="1"/>
  <c r="E13" i="1"/>
  <c r="F13" i="1"/>
  <c r="G13" i="1"/>
  <c r="H13" i="1"/>
  <c r="I13" i="1"/>
  <c r="J13" i="1"/>
  <c r="K13" i="1"/>
  <c r="L13" i="1"/>
  <c r="L8" i="1"/>
  <c r="F5" i="1"/>
  <c r="L4" i="1"/>
  <c r="L3" i="1"/>
  <c r="L2" i="1"/>
  <c r="F4" i="1"/>
  <c r="F2" i="1"/>
  <c r="F2" i="7"/>
  <c r="F3" i="7"/>
  <c r="F5" i="7"/>
  <c r="F6" i="7"/>
  <c r="F7" i="7"/>
  <c r="F8" i="7"/>
  <c r="C14" i="7"/>
  <c r="L2" i="7"/>
  <c r="L3" i="7"/>
  <c r="C16" i="7"/>
  <c r="C17" i="7"/>
  <c r="C19" i="7"/>
  <c r="C16" i="1"/>
  <c r="C21" i="7"/>
  <c r="C20" i="1"/>
  <c r="C20" i="7"/>
  <c r="C22" i="7"/>
  <c r="C23" i="7"/>
  <c r="D14" i="7"/>
  <c r="D16" i="7"/>
  <c r="D17" i="7"/>
  <c r="D19" i="7"/>
  <c r="D16" i="1"/>
  <c r="D21" i="7"/>
  <c r="D20" i="1"/>
  <c r="D20" i="7"/>
  <c r="D22" i="7"/>
  <c r="D23" i="7"/>
  <c r="E14" i="7"/>
  <c r="E16" i="7"/>
  <c r="E17" i="7"/>
  <c r="E19" i="7"/>
  <c r="E16" i="1"/>
  <c r="E21" i="7"/>
  <c r="E20" i="1"/>
  <c r="E20" i="7"/>
  <c r="E22" i="7"/>
  <c r="E23" i="7"/>
  <c r="F14" i="7"/>
  <c r="F16" i="7"/>
  <c r="F17" i="7"/>
  <c r="F19" i="7"/>
  <c r="F16" i="1"/>
  <c r="F21" i="7"/>
  <c r="F20" i="1"/>
  <c r="F20" i="7"/>
  <c r="F22" i="7"/>
  <c r="F23" i="7"/>
  <c r="G14" i="7"/>
  <c r="G16" i="7"/>
  <c r="G19" i="7"/>
  <c r="G16" i="1"/>
  <c r="G21" i="7"/>
  <c r="G20" i="1"/>
  <c r="G20" i="7"/>
  <c r="G22" i="7"/>
  <c r="G23" i="7"/>
  <c r="H14" i="7"/>
  <c r="H16" i="7"/>
  <c r="H19" i="7"/>
  <c r="H16" i="1"/>
  <c r="H21" i="7"/>
  <c r="H20" i="1"/>
  <c r="H20" i="7"/>
  <c r="H22" i="7"/>
  <c r="H23" i="7"/>
  <c r="I14" i="7"/>
  <c r="I16" i="7"/>
  <c r="I19" i="7"/>
  <c r="I16" i="1"/>
  <c r="I21" i="7"/>
  <c r="I20" i="1"/>
  <c r="I20" i="7"/>
  <c r="I22" i="7"/>
  <c r="I23" i="7"/>
  <c r="J14" i="7"/>
  <c r="J16" i="7"/>
  <c r="J19" i="7"/>
  <c r="J16" i="1"/>
  <c r="J21" i="7"/>
  <c r="J20" i="1"/>
  <c r="J20" i="7"/>
  <c r="J22" i="7"/>
  <c r="J23" i="7"/>
  <c r="K14" i="7"/>
  <c r="K19" i="7"/>
  <c r="K20" i="1"/>
  <c r="K20" i="7"/>
  <c r="K21" i="7"/>
  <c r="K22" i="7"/>
  <c r="K23" i="7"/>
  <c r="L14" i="7"/>
  <c r="L19" i="7"/>
  <c r="B9" i="1"/>
  <c r="L21" i="1"/>
  <c r="B20" i="1"/>
  <c r="L20" i="1"/>
  <c r="L20" i="7"/>
  <c r="L22" i="7"/>
  <c r="L23" i="7"/>
  <c r="B21" i="1"/>
  <c r="B21" i="7"/>
  <c r="B20" i="7"/>
  <c r="B22" i="7"/>
  <c r="B23" i="7"/>
  <c r="M23" i="7"/>
  <c r="F2" i="6"/>
  <c r="F5" i="6"/>
  <c r="L2" i="6"/>
  <c r="L3" i="6"/>
  <c r="C16" i="6"/>
  <c r="C19" i="6"/>
  <c r="C21" i="6"/>
  <c r="C20" i="6"/>
  <c r="C22" i="6"/>
  <c r="C23" i="6"/>
  <c r="D16" i="6"/>
  <c r="D12" i="6"/>
  <c r="D19" i="6"/>
  <c r="D21" i="6"/>
  <c r="D20" i="6"/>
  <c r="D22" i="6"/>
  <c r="D23" i="6"/>
  <c r="E16" i="6"/>
  <c r="E12" i="6"/>
  <c r="E19" i="6"/>
  <c r="E21" i="6"/>
  <c r="E20" i="6"/>
  <c r="E22" i="6"/>
  <c r="E23" i="6"/>
  <c r="F16" i="6"/>
  <c r="F19" i="6"/>
  <c r="F21" i="6"/>
  <c r="F20" i="6"/>
  <c r="F22" i="6"/>
  <c r="F23" i="6"/>
  <c r="G16" i="6"/>
  <c r="G19" i="6"/>
  <c r="G21" i="6"/>
  <c r="G20" i="6"/>
  <c r="G22" i="6"/>
  <c r="G23" i="6"/>
  <c r="H16" i="6"/>
  <c r="H19" i="6"/>
  <c r="H21" i="6"/>
  <c r="H20" i="6"/>
  <c r="H22" i="6"/>
  <c r="H23" i="6"/>
  <c r="I16" i="6"/>
  <c r="I19" i="6"/>
  <c r="I21" i="6"/>
  <c r="I20" i="6"/>
  <c r="I22" i="6"/>
  <c r="I23" i="6"/>
  <c r="J16" i="6"/>
  <c r="J19" i="6"/>
  <c r="J21" i="6"/>
  <c r="J20" i="6"/>
  <c r="J22" i="6"/>
  <c r="J23" i="6"/>
  <c r="K19" i="6"/>
  <c r="K20" i="6"/>
  <c r="K21" i="6"/>
  <c r="K22" i="6"/>
  <c r="K23" i="6"/>
  <c r="L19" i="6"/>
  <c r="L21" i="6"/>
  <c r="L20" i="6"/>
  <c r="L22" i="6"/>
  <c r="L23" i="6"/>
  <c r="B21" i="6"/>
  <c r="B20" i="6"/>
  <c r="B22" i="6"/>
  <c r="B23" i="6"/>
  <c r="M23" i="6"/>
  <c r="D12" i="1"/>
  <c r="E12" i="1"/>
  <c r="B22" i="1"/>
  <c r="B23" i="1"/>
  <c r="H4" i="2"/>
  <c r="D35" i="2"/>
  <c r="B38" i="2"/>
  <c r="B7" i="2"/>
  <c r="H3" i="2"/>
  <c r="B35" i="2"/>
  <c r="D34" i="2"/>
  <c r="J25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11" i="2"/>
  <c r="B34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1" i="2"/>
  <c r="E25" i="2"/>
  <c r="F12" i="2"/>
  <c r="B29" i="2"/>
  <c r="B36" i="2"/>
  <c r="C35" i="2"/>
  <c r="C34" i="2"/>
  <c r="C36" i="2"/>
  <c r="B7" i="1"/>
  <c r="B8" i="1"/>
  <c r="L9" i="7"/>
  <c r="L8" i="7"/>
  <c r="L7" i="7"/>
  <c r="L5" i="7"/>
  <c r="L4" i="7"/>
  <c r="B8" i="7"/>
  <c r="B7" i="7"/>
  <c r="B6" i="7"/>
  <c r="B5" i="7"/>
  <c r="B4" i="7"/>
  <c r="B3" i="7"/>
  <c r="B2" i="7"/>
  <c r="L9" i="6"/>
  <c r="L8" i="6"/>
  <c r="L7" i="6"/>
  <c r="L5" i="6"/>
  <c r="L4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<sst xmlns="http://schemas.openxmlformats.org/spreadsheetml/2006/main" count="254" uniqueCount="144">
  <si>
    <t>Depreciation</t>
  </si>
  <si>
    <t>Taxes</t>
  </si>
  <si>
    <t>Changes in NWC</t>
  </si>
  <si>
    <t>Net Capital Spending</t>
  </si>
  <si>
    <t>Cash Flow From Assets</t>
  </si>
  <si>
    <t>Debt</t>
  </si>
  <si>
    <t>Capital structure weight</t>
  </si>
  <si>
    <t>Total</t>
  </si>
  <si>
    <t>Cost of capital</t>
  </si>
  <si>
    <t>WACC</t>
  </si>
  <si>
    <t>OCF</t>
  </si>
  <si>
    <t>Years from now</t>
  </si>
  <si>
    <t>Number of jets</t>
  </si>
  <si>
    <t>Seats per Boeing 737-300</t>
  </si>
  <si>
    <t>Number of ASM per day</t>
  </si>
  <si>
    <t>Number of ASM per year</t>
  </si>
  <si>
    <t>Revenue per ASM (cents)</t>
  </si>
  <si>
    <t>Number of one-way flights per day</t>
  </si>
  <si>
    <t>Revenue</t>
  </si>
  <si>
    <t>Costs</t>
  </si>
  <si>
    <t>Plane</t>
  </si>
  <si>
    <t>Refurbishment</t>
  </si>
  <si>
    <t>Depreciation schedule</t>
  </si>
  <si>
    <t>Annual maintenance</t>
  </si>
  <si>
    <t>Salaries</t>
  </si>
  <si>
    <t>Jet fuel</t>
  </si>
  <si>
    <t>Terminal fees</t>
  </si>
  <si>
    <t>Landing fees</t>
  </si>
  <si>
    <t>Ads and admin</t>
  </si>
  <si>
    <t>Operating income (EBIT)</t>
  </si>
  <si>
    <t>Terminal fees per take-off</t>
  </si>
  <si>
    <t>Operating expense per ASM (cents)</t>
  </si>
  <si>
    <t>Equity</t>
  </si>
  <si>
    <t>Source</t>
  </si>
  <si>
    <t>Beta</t>
  </si>
  <si>
    <t>Value</t>
  </si>
  <si>
    <t>Variable</t>
  </si>
  <si>
    <t>Landing fees per ton</t>
  </si>
  <si>
    <t>Bonds</t>
  </si>
  <si>
    <t>Bond issue</t>
  </si>
  <si>
    <t>YTM</t>
  </si>
  <si>
    <t>Book value ($ million)</t>
  </si>
  <si>
    <t>Market value ($ million)</t>
  </si>
  <si>
    <t>Price (% of par)</t>
  </si>
  <si>
    <t>Number of shares outstanding (million)</t>
  </si>
  <si>
    <t>Base case</t>
  </si>
  <si>
    <t>Probability</t>
  </si>
  <si>
    <t>Optimistic case</t>
  </si>
  <si>
    <t>Pessimistic case</t>
  </si>
  <si>
    <t>Scenario</t>
  </si>
  <si>
    <t>Expected</t>
  </si>
  <si>
    <t>New share price</t>
  </si>
  <si>
    <t>Old share price</t>
  </si>
  <si>
    <t>Number of shares (million)</t>
  </si>
  <si>
    <t>Marginal tax rate</t>
  </si>
  <si>
    <t>Series</t>
  </si>
  <si>
    <t>Jet fuel as % of operating expenses per ASM</t>
  </si>
  <si>
    <t>Value of parts after 10 years</t>
  </si>
  <si>
    <t>After-tax salvage value of plane</t>
  </si>
  <si>
    <t>Expected NPV per share ($)</t>
  </si>
  <si>
    <t xml:space="preserve"> </t>
  </si>
  <si>
    <t>Annual costs ($ 1,000)</t>
  </si>
  <si>
    <t>Other ($ 1,000)</t>
  </si>
  <si>
    <t>Revenue ($ 1,000)</t>
  </si>
  <si>
    <t>Max take-off weight (metric tons)</t>
  </si>
  <si>
    <t>NPV ($ 1,000)</t>
  </si>
  <si>
    <t>Discount rate</t>
  </si>
  <si>
    <t>Verbal conclusion:</t>
  </si>
  <si>
    <t>Yield on 6-month Treasury Bills</t>
  </si>
  <si>
    <t>Annual market risk premium</t>
  </si>
  <si>
    <t>Winter 2014 template</t>
  </si>
  <si>
    <r>
      <t>Distance one-way</t>
    </r>
    <r>
      <rPr>
        <sz val="10"/>
        <rFont val="Arial"/>
      </rPr>
      <t xml:space="preserve"> (miles)</t>
    </r>
  </si>
  <si>
    <t>Yearly increase to NWC for wages, etc.</t>
  </si>
  <si>
    <t>Extra increase to NWC</t>
  </si>
  <si>
    <t>5.125% Notes due 2017</t>
  </si>
  <si>
    <t>Fixed-rate 737 Aircraft Notes payable through 2018 - 7.03%</t>
  </si>
  <si>
    <t xml:space="preserve">2.75% Notes due 2019 </t>
  </si>
  <si>
    <t xml:space="preserve">Term Loan Agreement payable through 2019 - 6.315% </t>
  </si>
  <si>
    <t xml:space="preserve">Term Loan Agreement payable through 2019 - 4.84% </t>
  </si>
  <si>
    <t xml:space="preserve">2.65% Notes due 2020 </t>
  </si>
  <si>
    <t xml:space="preserve">Term Loan Agreement payable through 2020 - 5.223% </t>
  </si>
  <si>
    <t xml:space="preserve">737 Aircraft Notes payable through 2020 </t>
  </si>
  <si>
    <t xml:space="preserve">Term Loan Agreements payable through 2021 - 7.94% </t>
  </si>
  <si>
    <t xml:space="preserve">Pass Through Certificates due 2022 - 6.24% </t>
  </si>
  <si>
    <t xml:space="preserve">Term Loan Agreement payable through 2026 - 2.36% </t>
  </si>
  <si>
    <t xml:space="preserve">3.00% Notes due 2026 </t>
  </si>
  <si>
    <t xml:space="preserve">7.375% Debentures due 2027 </t>
  </si>
  <si>
    <t>French Credit Agreements 2.23%</t>
  </si>
  <si>
    <t>https://ycharts.com/companies/LUV/shares_outstanding</t>
  </si>
  <si>
    <t>http://finance.yahoo.com/quote/LUV/history?p=LUV</t>
  </si>
  <si>
    <t>http://finance.yahoo.com/bonds</t>
  </si>
  <si>
    <t xml:space="preserve">Table 10.2 in textbook </t>
  </si>
  <si>
    <t>No frequency info, assumed semi annual</t>
  </si>
  <si>
    <t>Took YTM as given on FINRA</t>
  </si>
  <si>
    <t>Current USD LIBO</t>
  </si>
  <si>
    <t>rate calculated LIBO + 1.1</t>
  </si>
  <si>
    <t>Total of 20M but different years of maturity?</t>
  </si>
  <si>
    <t>Can't find, assuming semi annual payments</t>
  </si>
  <si>
    <r>
      <t>No coupon rate</t>
    </r>
    <r>
      <rPr>
        <sz val="12"/>
        <color theme="1"/>
        <rFont val="Calibri"/>
        <family val="2"/>
        <scheme val="minor"/>
      </rPr>
      <t xml:space="preserve"> found</t>
    </r>
  </si>
  <si>
    <t>Weighted Portion</t>
  </si>
  <si>
    <t>Ru</t>
  </si>
  <si>
    <t>Rs</t>
  </si>
  <si>
    <t>=Ru+(D/E)(Ru-Rd)(1-tax)</t>
  </si>
  <si>
    <t>=(D/T)*(1-tax)*Rd+(S/T)*Rs</t>
  </si>
  <si>
    <t>Level 2</t>
  </si>
  <si>
    <t>Level 3</t>
  </si>
  <si>
    <t>=(MV of indiv bond/Total MV bonds)*YTM of indiv. Bond</t>
  </si>
  <si>
    <t>Explanation of Levels</t>
  </si>
  <si>
    <t>Level 2 - Traded on public markets and thus have publicly quoted MVs</t>
  </si>
  <si>
    <t>Level 3 - Not publicly held and so MV needs to be estimated by company (which is why they aren't on FINRA)</t>
  </si>
  <si>
    <t>Share price ($) as of Tuesday March 14, 2017</t>
  </si>
  <si>
    <t>NPV</t>
  </si>
  <si>
    <t>Revenue per ASM (dollars)</t>
  </si>
  <si>
    <t>Revenue ($)</t>
  </si>
  <si>
    <t>Other</t>
  </si>
  <si>
    <t>Annual costs</t>
  </si>
  <si>
    <t>Operating expense per ASM (Dollars)</t>
  </si>
  <si>
    <t>Don't do it!</t>
  </si>
  <si>
    <t>Very similar maturity date found on FINRA</t>
  </si>
  <si>
    <t>=ASM/yr*jet fuel %</t>
  </si>
  <si>
    <t>=#flights/yr*fees/takeoff</t>
  </si>
  <si>
    <t>=fees/ton*flights/year</t>
  </si>
  <si>
    <t>=yearly cost (not per jet)</t>
  </si>
  <si>
    <t>=maint/plane*#planes</t>
  </si>
  <si>
    <t>TOTAL NPV OF PROJECT</t>
  </si>
  <si>
    <t>=Income/Taxable Income (from most recent 10K)</t>
  </si>
  <si>
    <t>Given</t>
  </si>
  <si>
    <t>=Rev-Costs-Depreciation</t>
  </si>
  <si>
    <t>=EBIT-Taxes+Depreciatoin</t>
  </si>
  <si>
    <t>=yearly increase to wages+upfront increase to NWC (in year 0)</t>
  </si>
  <si>
    <t>Year 10 = aftertax SV</t>
  </si>
  <si>
    <t>=(1-tax)*SV of plane</t>
  </si>
  <si>
    <t>http://bit.ly/2mNlkbD</t>
  </si>
  <si>
    <t>Table 6.3 in textbook</t>
  </si>
  <si>
    <t>http://www.webflyer.com/travel/mileage_calculator/</t>
  </si>
  <si>
    <t>Assumed no tax if EBIT&lt;0. Normal taxes otherwise</t>
  </si>
  <si>
    <t>Explanation</t>
  </si>
  <si>
    <t>Calculated rD</t>
  </si>
  <si>
    <t>Calculated using MV and payment frequency on 10K. Used site http://www.investopedia.com/calculator/aoytm.aspx</t>
  </si>
  <si>
    <t>Notes</t>
  </si>
  <si>
    <t>Given on 10K</t>
  </si>
  <si>
    <t>Assuming semi annual payments</t>
  </si>
  <si>
    <r>
      <t>Quarterly</t>
    </r>
    <r>
      <rPr>
        <sz val="12"/>
        <color theme="1"/>
        <rFont val="Calibri"/>
        <family val="2"/>
        <scheme val="minor"/>
      </rPr>
      <t xml:space="preserve"> payments</t>
    </r>
  </si>
  <si>
    <t>Semi annual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</si>
</sst>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&quot;$&quot;#,##0.00_);[Red]\(&quot;$&quot;#,##0.00\)"/>
    <numFmt numFmtId="165" formatCode="_(* #,##0.00_);_(* \(#,##0.00\);_(* &quot;-&quot;??_);_(@_)"/>
    <numFmt numFmtId="166" formatCode="0.0000%"/>
    <numFmt numFmtId="167" formatCode="_(* #,##0_);_(* \(#,##0\);_(* &quot;-&quot;??_);_(@_)"/>
    <numFmt numFmtId="168" formatCode="0.0%"/>
    <numFmt numFmtId="169" formatCode="0.00000"/>
    <numFmt numFmtId="170" formatCode="0.0000000%"/>
    <numFmt numFmtId="171" formatCode="0.000"/>
    <numFmt numFmtId="172" formatCode="_(* #,##0.0000_);_(* \(#,##0.0000\);_(* &quot;-&quot;??_);_(@_)"/>
    <numFmt numFmtId="173" formatCode="_-* #,##0_-;\-* #,##0_-;_-* &quot;-&quot;??_-;_-@_-"/>
  </numFmts>
  <fonts count="25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sz val="10"/>
      <color indexed="55"/>
      <name val="Arial"/>
      <family val="2"/>
    </font>
    <font>
      <sz val="10"/>
      <color theme="0"/>
      <name val="Arial"/>
      <family val="2"/>
    </font>
    <font>
      <u/>
      <sz val="10"/>
      <color theme="11"/>
      <name val="Arial"/>
      <family val="2"/>
    </font>
    <font>
      <sz val="10"/>
      <color rgb="FF008000"/>
      <name val="Arial"/>
      <family val="2"/>
    </font>
    <font>
      <sz val="9"/>
      <name val="TimesNewRomanRegula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name val="Calibri"/>
      <family val="2"/>
      <scheme val="minor"/>
    </font>
    <font>
      <sz val="8"/>
      <color indexed="55"/>
      <name val="Arial"/>
    </font>
    <font>
      <sz val="8"/>
      <color theme="0" tint="-0.34998626667073579"/>
      <name val="Arial"/>
    </font>
    <font>
      <sz val="10"/>
      <color theme="0" tint="-0.34998626667073579"/>
      <name val="Arial"/>
    </font>
    <font>
      <u/>
      <sz val="8"/>
      <color theme="0" tint="-0.34998626667073579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165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2" borderId="0" applyNumberFormat="0" applyBorder="0" applyAlignment="0" applyProtection="0"/>
    <xf numFmtId="9" fontId="1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2">
    <xf numFmtId="0" fontId="0" fillId="0" borderId="0" xfId="0"/>
    <xf numFmtId="167" fontId="0" fillId="0" borderId="0" xfId="1" applyNumberFormat="1" applyFont="1" applyFill="1"/>
    <xf numFmtId="167" fontId="0" fillId="0" borderId="1" xfId="1" applyNumberFormat="1" applyFont="1" applyFill="1" applyBorder="1"/>
    <xf numFmtId="0" fontId="0" fillId="0" borderId="0" xfId="0" applyFill="1" applyBorder="1"/>
    <xf numFmtId="0" fontId="0" fillId="0" borderId="0" xfId="0" applyFill="1"/>
    <xf numFmtId="9" fontId="0" fillId="0" borderId="0" xfId="3" applyFont="1" applyFill="1"/>
    <xf numFmtId="10" fontId="0" fillId="0" borderId="0" xfId="3" applyNumberFormat="1" applyFont="1" applyFill="1"/>
    <xf numFmtId="9" fontId="0" fillId="0" borderId="1" xfId="3" applyFont="1" applyFill="1" applyBorder="1"/>
    <xf numFmtId="10" fontId="0" fillId="0" borderId="1" xfId="3" applyNumberFormat="1" applyFont="1" applyFill="1" applyBorder="1"/>
    <xf numFmtId="167" fontId="0" fillId="0" borderId="0" xfId="0" applyNumberFormat="1" applyFill="1"/>
    <xf numFmtId="9" fontId="0" fillId="0" borderId="0" xfId="0" applyNumberFormat="1" applyFill="1"/>
    <xf numFmtId="10" fontId="5" fillId="0" borderId="0" xfId="3" applyNumberFormat="1" applyFont="1" applyFill="1"/>
    <xf numFmtId="167" fontId="6" fillId="0" borderId="1" xfId="0" applyNumberFormat="1" applyFont="1" applyFill="1" applyBorder="1" applyAlignment="1">
      <alignment horizontal="left"/>
    </xf>
    <xf numFmtId="0" fontId="5" fillId="0" borderId="0" xfId="0" applyFont="1" applyFill="1"/>
    <xf numFmtId="0" fontId="10" fillId="0" borderId="0" xfId="0" applyFont="1" applyFill="1"/>
    <xf numFmtId="0" fontId="6" fillId="0" borderId="0" xfId="0" applyFont="1" applyFill="1"/>
    <xf numFmtId="2" fontId="10" fillId="0" borderId="0" xfId="0" applyNumberFormat="1" applyFont="1" applyFill="1"/>
    <xf numFmtId="167" fontId="0" fillId="0" borderId="0" xfId="1" applyNumberFormat="1" applyFont="1" applyFill="1" applyAlignment="1">
      <alignment horizontal="right"/>
    </xf>
    <xf numFmtId="0" fontId="0" fillId="0" borderId="1" xfId="0" applyFill="1" applyBorder="1"/>
    <xf numFmtId="2" fontId="10" fillId="0" borderId="1" xfId="0" applyNumberFormat="1" applyFont="1" applyFill="1" applyBorder="1"/>
    <xf numFmtId="0" fontId="6" fillId="0" borderId="1" xfId="0" applyFont="1" applyFill="1" applyBorder="1"/>
    <xf numFmtId="0" fontId="0" fillId="0" borderId="1" xfId="1" applyNumberFormat="1" applyFont="1" applyFill="1" applyBorder="1"/>
    <xf numFmtId="0" fontId="0" fillId="0" borderId="2" xfId="0" applyFill="1" applyBorder="1"/>
    <xf numFmtId="3" fontId="0" fillId="0" borderId="2" xfId="0" applyNumberFormat="1" applyFill="1" applyBorder="1"/>
    <xf numFmtId="168" fontId="0" fillId="0" borderId="0" xfId="0" applyNumberFormat="1" applyFill="1"/>
    <xf numFmtId="3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/>
    <xf numFmtId="0" fontId="9" fillId="0" borderId="0" xfId="0" applyFont="1" applyFill="1"/>
    <xf numFmtId="0" fontId="5" fillId="0" borderId="1" xfId="0" applyFont="1" applyFill="1" applyBorder="1"/>
    <xf numFmtId="0" fontId="8" fillId="0" borderId="0" xfId="2" applyFill="1" applyAlignment="1" applyProtection="1"/>
    <xf numFmtId="10" fontId="0" fillId="0" borderId="0" xfId="0" applyNumberFormat="1" applyFill="1"/>
    <xf numFmtId="2" fontId="0" fillId="0" borderId="0" xfId="0" applyNumberFormat="1" applyFill="1"/>
    <xf numFmtId="2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 applyAlignment="1">
      <alignment horizontal="right"/>
    </xf>
    <xf numFmtId="169" fontId="0" fillId="0" borderId="0" xfId="0" applyNumberFormat="1" applyFill="1"/>
    <xf numFmtId="0" fontId="11" fillId="0" borderId="0" xfId="0" applyFont="1" applyFill="1"/>
    <xf numFmtId="0" fontId="0" fillId="0" borderId="0" xfId="0" applyFont="1" applyFill="1"/>
    <xf numFmtId="43" fontId="0" fillId="0" borderId="0" xfId="1" applyNumberFormat="1" applyFont="1" applyFill="1"/>
    <xf numFmtId="165" fontId="0" fillId="0" borderId="0" xfId="1" applyNumberFormat="1" applyFont="1" applyFill="1"/>
    <xf numFmtId="165" fontId="0" fillId="0" borderId="0" xfId="0" applyNumberFormat="1"/>
    <xf numFmtId="0" fontId="0" fillId="0" borderId="0" xfId="0" quotePrefix="1" applyFill="1"/>
    <xf numFmtId="10" fontId="13" fillId="0" borderId="0" xfId="0" applyNumberFormat="1" applyFont="1" applyFill="1"/>
    <xf numFmtId="0" fontId="13" fillId="0" borderId="0" xfId="0" applyFont="1" applyFill="1"/>
    <xf numFmtId="167" fontId="13" fillId="0" borderId="0" xfId="1" applyNumberFormat="1" applyFont="1" applyFill="1"/>
    <xf numFmtId="0" fontId="14" fillId="0" borderId="0" xfId="0" applyFont="1"/>
    <xf numFmtId="2" fontId="0" fillId="0" borderId="0" xfId="1" applyNumberFormat="1" applyFont="1" applyFill="1"/>
    <xf numFmtId="15" fontId="8" fillId="0" borderId="0" xfId="2" applyNumberFormat="1" applyFill="1" applyAlignment="1" applyProtection="1"/>
    <xf numFmtId="2" fontId="0" fillId="0" borderId="0" xfId="3" applyNumberFormat="1" applyFont="1" applyFill="1"/>
    <xf numFmtId="0" fontId="15" fillId="0" borderId="0" xfId="24"/>
    <xf numFmtId="0" fontId="16" fillId="3" borderId="0" xfId="25"/>
    <xf numFmtId="0" fontId="17" fillId="4" borderId="0" xfId="26"/>
    <xf numFmtId="170" fontId="15" fillId="0" borderId="0" xfId="24" applyNumberFormat="1"/>
    <xf numFmtId="0" fontId="18" fillId="2" borderId="0" xfId="27"/>
    <xf numFmtId="10" fontId="15" fillId="0" borderId="0" xfId="24" applyNumberFormat="1"/>
    <xf numFmtId="0" fontId="14" fillId="0" borderId="0" xfId="24" applyFont="1"/>
    <xf numFmtId="10" fontId="0" fillId="0" borderId="0" xfId="28" applyNumberFormat="1" applyFont="1"/>
    <xf numFmtId="10" fontId="15" fillId="0" borderId="0" xfId="24" applyNumberFormat="1" applyFill="1"/>
    <xf numFmtId="167" fontId="15" fillId="0" borderId="0" xfId="24" applyNumberFormat="1" applyFill="1"/>
    <xf numFmtId="0" fontId="15" fillId="0" borderId="0" xfId="24" applyFill="1"/>
    <xf numFmtId="10" fontId="18" fillId="2" borderId="0" xfId="27" applyNumberFormat="1"/>
    <xf numFmtId="10" fontId="17" fillId="4" borderId="0" xfId="26" applyNumberFormat="1"/>
    <xf numFmtId="10" fontId="16" fillId="3" borderId="0" xfId="25" applyNumberFormat="1"/>
    <xf numFmtId="0" fontId="5" fillId="0" borderId="0" xfId="24" applyFont="1" applyFill="1" applyBorder="1"/>
    <xf numFmtId="0" fontId="5" fillId="0" borderId="1" xfId="24" applyFont="1" applyFill="1" applyBorder="1"/>
    <xf numFmtId="10" fontId="5" fillId="0" borderId="1" xfId="28" applyNumberFormat="1" applyFont="1" applyFill="1" applyBorder="1"/>
    <xf numFmtId="14" fontId="15" fillId="0" borderId="0" xfId="24" applyNumberFormat="1" applyFill="1"/>
    <xf numFmtId="0" fontId="9" fillId="0" borderId="0" xfId="24" applyFont="1" applyFill="1"/>
    <xf numFmtId="0" fontId="3" fillId="0" borderId="0" xfId="24" applyFont="1"/>
    <xf numFmtId="0" fontId="4" fillId="0" borderId="0" xfId="24" applyFont="1" applyFill="1" applyBorder="1"/>
    <xf numFmtId="0" fontId="19" fillId="0" borderId="0" xfId="24" applyFont="1" applyFill="1" applyBorder="1"/>
    <xf numFmtId="0" fontId="4" fillId="0" borderId="0" xfId="2" applyFont="1" applyFill="1" applyAlignment="1" applyProtection="1"/>
    <xf numFmtId="171" fontId="0" fillId="0" borderId="0" xfId="0" applyNumberFormat="1" applyFill="1"/>
    <xf numFmtId="172" fontId="0" fillId="0" borderId="0" xfId="1" applyNumberFormat="1" applyFont="1" applyFill="1"/>
    <xf numFmtId="173" fontId="0" fillId="0" borderId="0" xfId="1" applyNumberFormat="1" applyFont="1" applyFill="1"/>
    <xf numFmtId="171" fontId="0" fillId="0" borderId="1" xfId="0" applyNumberFormat="1" applyFill="1" applyBorder="1"/>
    <xf numFmtId="0" fontId="2" fillId="0" borderId="0" xfId="24" applyFont="1"/>
    <xf numFmtId="2" fontId="20" fillId="0" borderId="0" xfId="0" quotePrefix="1" applyNumberFormat="1" applyFont="1" applyFill="1"/>
    <xf numFmtId="2" fontId="20" fillId="0" borderId="1" xfId="0" quotePrefix="1" applyNumberFormat="1" applyFont="1" applyFill="1" applyBorder="1"/>
    <xf numFmtId="0" fontId="5" fillId="0" borderId="0" xfId="0" applyFont="1" applyFill="1" applyBorder="1"/>
    <xf numFmtId="0" fontId="21" fillId="0" borderId="0" xfId="0" applyFont="1" applyFill="1"/>
    <xf numFmtId="0" fontId="21" fillId="0" borderId="0" xfId="0" quotePrefix="1" applyFont="1" applyFill="1"/>
    <xf numFmtId="0" fontId="22" fillId="0" borderId="0" xfId="0" applyFont="1" applyFill="1"/>
    <xf numFmtId="0" fontId="23" fillId="0" borderId="0" xfId="2" applyFont="1" applyFill="1" applyAlignment="1" applyProtection="1"/>
    <xf numFmtId="0" fontId="5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5" fillId="0" borderId="5" xfId="0" applyFont="1" applyFill="1" applyBorder="1"/>
    <xf numFmtId="10" fontId="24" fillId="0" borderId="0" xfId="0" applyNumberFormat="1" applyFont="1"/>
    <xf numFmtId="0" fontId="8" fillId="0" borderId="0" xfId="2" applyAlignment="1" applyProtection="1"/>
    <xf numFmtId="0" fontId="1" fillId="0" borderId="0" xfId="24" applyFont="1"/>
  </cellXfs>
  <cellStyles count="49">
    <cellStyle name="Bad 2" xfId="25"/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Good 2" xfId="27"/>
    <cellStyle name="Hyperlink" xfId="2" builtinId="8"/>
    <cellStyle name="Neutral 2" xfId="26"/>
    <cellStyle name="Normal" xfId="0" builtinId="0"/>
    <cellStyle name="Normal 2" xfId="24"/>
    <cellStyle name="Percent" xfId="3" builtinId="5"/>
    <cellStyle name="Percent 2" xfId="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ebflyer.com/travel/mileage_calculator/" TargetMode="External"/><Relationship Id="rId2" Type="http://schemas.openxmlformats.org/officeDocument/2006/relationships/hyperlink" Target="http://bit.ly/2mNlkb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vestopedia.com/calculator/aoytm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38"/>
  <sheetViews>
    <sheetView zoomScale="125" zoomScaleNormal="125" zoomScalePageLayoutView="125" workbookViewId="0">
      <pane xSplit="1" ySplit="11" topLeftCell="B12" activePane="bottomRight" state="frozen"/>
      <selection activeCell="V36" sqref="V36"/>
      <selection pane="topRight" activeCell="V36" sqref="V36"/>
      <selection pane="bottomLeft" activeCell="V36" sqref="V36"/>
      <selection pane="bottomRight" activeCell="B25" sqref="B25"/>
    </sheetView>
  </sheetViews>
  <sheetFormatPr baseColWidth="10" defaultColWidth="8.83203125" defaultRowHeight="12" x14ac:dyDescent="0"/>
  <cols>
    <col min="1" max="1" width="41.5" style="4" bestFit="1" customWidth="1"/>
    <col min="2" max="2" width="16.33203125" style="4" bestFit="1" customWidth="1"/>
    <col min="3" max="3" width="21" style="4" customWidth="1"/>
    <col min="4" max="4" width="13.1640625" style="4" customWidth="1"/>
    <col min="5" max="8" width="13.1640625" style="4" bestFit="1" customWidth="1"/>
    <col min="9" max="9" width="13.83203125" style="4" customWidth="1"/>
    <col min="10" max="12" width="13.1640625" style="4" bestFit="1" customWidth="1"/>
    <col min="13" max="13" width="21.5" style="4" customWidth="1"/>
    <col min="14" max="16384" width="8.83203125" style="4"/>
  </cols>
  <sheetData>
    <row r="1" spans="1:13">
      <c r="A1" s="13" t="s">
        <v>18</v>
      </c>
      <c r="C1" s="4" t="s">
        <v>136</v>
      </c>
      <c r="D1" s="13" t="s">
        <v>115</v>
      </c>
      <c r="G1" s="4" t="s">
        <v>136</v>
      </c>
      <c r="I1" s="13" t="s">
        <v>114</v>
      </c>
    </row>
    <row r="2" spans="1:13">
      <c r="A2" s="15" t="s">
        <v>12</v>
      </c>
      <c r="B2" s="4">
        <v>2</v>
      </c>
      <c r="D2" s="4" t="s">
        <v>23</v>
      </c>
      <c r="F2" s="1">
        <f>900000*B2</f>
        <v>1800000</v>
      </c>
      <c r="G2" s="78" t="s">
        <v>123</v>
      </c>
      <c r="I2" s="4" t="s">
        <v>20</v>
      </c>
      <c r="K2" s="17"/>
      <c r="L2" s="4">
        <f>B2*6000000</f>
        <v>12000000</v>
      </c>
      <c r="M2" s="81" t="s">
        <v>126</v>
      </c>
    </row>
    <row r="3" spans="1:13">
      <c r="A3" s="4" t="s">
        <v>64</v>
      </c>
      <c r="B3" s="4">
        <v>62.82</v>
      </c>
      <c r="D3" s="4" t="s">
        <v>24</v>
      </c>
      <c r="F3" s="1">
        <f>1500000</f>
        <v>1500000</v>
      </c>
      <c r="G3" s="78" t="s">
        <v>122</v>
      </c>
      <c r="I3" s="4" t="s">
        <v>21</v>
      </c>
      <c r="K3" s="1"/>
      <c r="L3" s="4">
        <f>B2*1500000</f>
        <v>3000000</v>
      </c>
      <c r="M3" s="81" t="s">
        <v>126</v>
      </c>
    </row>
    <row r="4" spans="1:13">
      <c r="A4" s="38" t="s">
        <v>71</v>
      </c>
      <c r="B4" s="4">
        <v>387</v>
      </c>
      <c r="C4" s="84" t="s">
        <v>134</v>
      </c>
      <c r="D4" s="4" t="s">
        <v>25</v>
      </c>
      <c r="F4" s="1">
        <f>L6*B8*L5</f>
        <v>2853071.2585979998</v>
      </c>
      <c r="G4" s="78" t="s">
        <v>119</v>
      </c>
      <c r="I4" s="4" t="s">
        <v>57</v>
      </c>
      <c r="K4" s="1"/>
      <c r="L4" s="4">
        <f>2*1800000</f>
        <v>3600000</v>
      </c>
      <c r="M4" s="81" t="s">
        <v>126</v>
      </c>
    </row>
    <row r="5" spans="1:13">
      <c r="A5" s="15" t="s">
        <v>13</v>
      </c>
      <c r="B5" s="4">
        <v>137</v>
      </c>
      <c r="C5" s="84" t="s">
        <v>132</v>
      </c>
      <c r="D5" s="4" t="s">
        <v>26</v>
      </c>
      <c r="E5" s="1"/>
      <c r="F5" s="1">
        <f>L7*B6*365</f>
        <v>854100</v>
      </c>
      <c r="G5" s="78" t="s">
        <v>120</v>
      </c>
      <c r="I5" s="4" t="s">
        <v>31</v>
      </c>
      <c r="L5" s="4">
        <v>0.11219999999999999</v>
      </c>
      <c r="M5" s="81" t="s">
        <v>126</v>
      </c>
    </row>
    <row r="6" spans="1:13">
      <c r="A6" s="15" t="s">
        <v>17</v>
      </c>
      <c r="B6" s="4">
        <v>6</v>
      </c>
      <c r="C6" s="81"/>
      <c r="D6" s="4" t="s">
        <v>27</v>
      </c>
      <c r="E6" s="1"/>
      <c r="F6" s="1">
        <f>(L8*B3)*(B6*365)</f>
        <v>1238182.2</v>
      </c>
      <c r="G6" s="78" t="s">
        <v>121</v>
      </c>
      <c r="I6" s="4" t="s">
        <v>56</v>
      </c>
      <c r="L6" s="31">
        <v>0.219</v>
      </c>
      <c r="M6" s="81" t="s">
        <v>126</v>
      </c>
    </row>
    <row r="7" spans="1:13">
      <c r="A7" s="15" t="s">
        <v>14</v>
      </c>
      <c r="B7" s="1">
        <f>B5*B4*B6</f>
        <v>318114</v>
      </c>
      <c r="C7" s="81"/>
      <c r="D7" s="18" t="s">
        <v>28</v>
      </c>
      <c r="E7" s="18"/>
      <c r="F7" s="2">
        <f>1200000</f>
        <v>1200000</v>
      </c>
      <c r="G7" s="79" t="s">
        <v>122</v>
      </c>
      <c r="I7" s="4" t="s">
        <v>30</v>
      </c>
      <c r="L7" s="4">
        <v>390</v>
      </c>
      <c r="M7" s="81" t="s">
        <v>126</v>
      </c>
    </row>
    <row r="8" spans="1:13">
      <c r="A8" s="15" t="s">
        <v>15</v>
      </c>
      <c r="B8" s="75">
        <f>B7*365</f>
        <v>116111610</v>
      </c>
      <c r="D8" s="4" t="s">
        <v>7</v>
      </c>
      <c r="F8" s="9">
        <f>SUM(F2:F7)</f>
        <v>9445353.4585979991</v>
      </c>
      <c r="G8" s="16"/>
      <c r="I8" s="4" t="s">
        <v>37</v>
      </c>
      <c r="L8" s="4">
        <f>9</f>
        <v>9</v>
      </c>
      <c r="M8" s="81" t="s">
        <v>126</v>
      </c>
    </row>
    <row r="9" spans="1:13">
      <c r="A9" s="15" t="s">
        <v>58</v>
      </c>
      <c r="B9" s="1">
        <f>(L4*(1-L9))</f>
        <v>2277360</v>
      </c>
      <c r="C9" s="82" t="s">
        <v>131</v>
      </c>
      <c r="F9" s="9"/>
      <c r="G9" s="16"/>
      <c r="I9" s="4" t="s">
        <v>54</v>
      </c>
      <c r="L9" s="31">
        <v>0.3674</v>
      </c>
      <c r="M9" s="82" t="s">
        <v>125</v>
      </c>
    </row>
    <row r="10" spans="1:13">
      <c r="A10" s="15"/>
      <c r="B10" s="1"/>
      <c r="M10" s="83"/>
    </row>
    <row r="11" spans="1:13">
      <c r="A11" s="20" t="s">
        <v>11</v>
      </c>
      <c r="B11" s="21">
        <v>0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  <c r="M11" s="4" t="s">
        <v>136</v>
      </c>
    </row>
    <row r="12" spans="1:13">
      <c r="A12" s="38" t="s">
        <v>112</v>
      </c>
      <c r="C12" s="4">
        <v>0.06</v>
      </c>
      <c r="D12" s="73">
        <f>C12+(($F$12-$C$12)/$E$11)</f>
        <v>8.5833333333333331E-2</v>
      </c>
      <c r="E12" s="73">
        <f>D12+(($F$12-$C$12)/$E$11)</f>
        <v>0.11166666666666666</v>
      </c>
      <c r="F12" s="74">
        <v>0.13750000000000001</v>
      </c>
      <c r="G12" s="74">
        <v>0.13750000000000001</v>
      </c>
      <c r="H12" s="74">
        <v>0.13750000000000001</v>
      </c>
      <c r="I12" s="74">
        <v>0.13750000000000001</v>
      </c>
      <c r="J12" s="74">
        <v>0.13750000000000001</v>
      </c>
      <c r="K12" s="74">
        <v>0.13750000000000001</v>
      </c>
      <c r="L12" s="74">
        <v>0.13750000000000001</v>
      </c>
      <c r="M12" s="81"/>
    </row>
    <row r="13" spans="1:13">
      <c r="A13" s="38" t="s">
        <v>113</v>
      </c>
      <c r="B13" s="1"/>
      <c r="C13" s="9">
        <f>$B$8*C12</f>
        <v>6966696.5999999996</v>
      </c>
      <c r="D13" s="9">
        <f t="shared" ref="D13:L13" si="0">$B$8*D12</f>
        <v>9966246.5250000004</v>
      </c>
      <c r="E13" s="9">
        <f t="shared" si="0"/>
        <v>12965796.449999999</v>
      </c>
      <c r="F13" s="9">
        <f t="shared" si="0"/>
        <v>15965346.375000002</v>
      </c>
      <c r="G13" s="9">
        <f t="shared" si="0"/>
        <v>15965346.375000002</v>
      </c>
      <c r="H13" s="9">
        <f t="shared" si="0"/>
        <v>15965346.375000002</v>
      </c>
      <c r="I13" s="9">
        <f t="shared" si="0"/>
        <v>15965346.375000002</v>
      </c>
      <c r="J13" s="9">
        <f t="shared" si="0"/>
        <v>15965346.375000002</v>
      </c>
      <c r="K13" s="9">
        <f t="shared" si="0"/>
        <v>15965346.375000002</v>
      </c>
      <c r="L13" s="9">
        <f t="shared" si="0"/>
        <v>15965346.375000002</v>
      </c>
      <c r="M13" s="81"/>
    </row>
    <row r="14" spans="1:13">
      <c r="A14" s="15" t="s">
        <v>19</v>
      </c>
      <c r="B14" s="1"/>
      <c r="C14" s="9">
        <f>$F$8</f>
        <v>9445353.4585979991</v>
      </c>
      <c r="D14" s="9">
        <f>$F$8</f>
        <v>9445353.4585979991</v>
      </c>
      <c r="E14" s="9">
        <f t="shared" ref="E14:L14" si="1">$F$8</f>
        <v>9445353.4585979991</v>
      </c>
      <c r="F14" s="9">
        <f t="shared" si="1"/>
        <v>9445353.4585979991</v>
      </c>
      <c r="G14" s="9">
        <f t="shared" si="1"/>
        <v>9445353.4585979991</v>
      </c>
      <c r="H14" s="9">
        <f t="shared" si="1"/>
        <v>9445353.4585979991</v>
      </c>
      <c r="I14" s="9">
        <f t="shared" si="1"/>
        <v>9445353.4585979991</v>
      </c>
      <c r="J14" s="9">
        <f t="shared" si="1"/>
        <v>9445353.4585979991</v>
      </c>
      <c r="K14" s="9">
        <f t="shared" si="1"/>
        <v>9445353.4585979991</v>
      </c>
      <c r="L14" s="9">
        <f t="shared" si="1"/>
        <v>9445353.4585979991</v>
      </c>
      <c r="M14" s="81"/>
    </row>
    <row r="15" spans="1:13">
      <c r="A15" s="15" t="s">
        <v>22</v>
      </c>
      <c r="B15" s="1"/>
      <c r="C15" s="6">
        <v>0.1429</v>
      </c>
      <c r="D15" s="6">
        <v>0.24490000000000001</v>
      </c>
      <c r="E15" s="6">
        <v>0.1749</v>
      </c>
      <c r="F15" s="6">
        <v>0.1249</v>
      </c>
      <c r="G15" s="6">
        <v>8.9300000000000004E-2</v>
      </c>
      <c r="H15" s="6">
        <v>8.9200000000000002E-2</v>
      </c>
      <c r="I15" s="6">
        <v>8.9300000000000004E-2</v>
      </c>
      <c r="J15" s="6">
        <v>4.4600000000000001E-2</v>
      </c>
      <c r="K15" s="6"/>
      <c r="L15" s="6"/>
      <c r="M15" s="81" t="s">
        <v>133</v>
      </c>
    </row>
    <row r="16" spans="1:13">
      <c r="A16" s="15" t="s">
        <v>0</v>
      </c>
      <c r="B16" s="1"/>
      <c r="C16" s="9">
        <f t="shared" ref="C16:J16" si="2">C15*($L$3+$L$2)</f>
        <v>2143500</v>
      </c>
      <c r="D16" s="9">
        <f t="shared" si="2"/>
        <v>3673500</v>
      </c>
      <c r="E16" s="9">
        <f t="shared" si="2"/>
        <v>2623500</v>
      </c>
      <c r="F16" s="9">
        <f t="shared" si="2"/>
        <v>1873500</v>
      </c>
      <c r="G16" s="9">
        <f t="shared" si="2"/>
        <v>1339500</v>
      </c>
      <c r="H16" s="9">
        <f t="shared" si="2"/>
        <v>1338000</v>
      </c>
      <c r="I16" s="9">
        <f t="shared" si="2"/>
        <v>1339500</v>
      </c>
      <c r="J16" s="9">
        <f t="shared" si="2"/>
        <v>669000</v>
      </c>
      <c r="K16" s="9">
        <v>0</v>
      </c>
      <c r="L16" s="9">
        <v>0</v>
      </c>
      <c r="M16" s="81"/>
    </row>
    <row r="17" spans="1:13">
      <c r="A17" s="15" t="s">
        <v>29</v>
      </c>
      <c r="B17" s="1"/>
      <c r="C17" s="9">
        <f>C13-C14-C16</f>
        <v>-4622156.8585979994</v>
      </c>
      <c r="D17" s="9">
        <f t="shared" ref="D17:L17" si="3">D13-D14-D16</f>
        <v>-3152606.9335979987</v>
      </c>
      <c r="E17" s="9">
        <f t="shared" si="3"/>
        <v>896942.99140200019</v>
      </c>
      <c r="F17" s="9">
        <f t="shared" si="3"/>
        <v>4646492.9164020028</v>
      </c>
      <c r="G17" s="9">
        <f t="shared" si="3"/>
        <v>5180492.9164020028</v>
      </c>
      <c r="H17" s="9">
        <f t="shared" si="3"/>
        <v>5181992.9164020028</v>
      </c>
      <c r="I17" s="9">
        <f t="shared" si="3"/>
        <v>5180492.9164020028</v>
      </c>
      <c r="J17" s="9">
        <f t="shared" si="3"/>
        <v>5850992.9164020028</v>
      </c>
      <c r="K17" s="9">
        <f t="shared" si="3"/>
        <v>6519992.9164020028</v>
      </c>
      <c r="L17" s="9">
        <f t="shared" si="3"/>
        <v>6519992.9164020028</v>
      </c>
      <c r="M17" s="82" t="s">
        <v>127</v>
      </c>
    </row>
    <row r="18" spans="1:13">
      <c r="A18" s="15" t="s">
        <v>1</v>
      </c>
      <c r="B18" s="1"/>
      <c r="C18" s="9">
        <f>IF($L$9*C17&lt;0,0,$L$9*C17)</f>
        <v>0</v>
      </c>
      <c r="D18" s="9">
        <f t="shared" ref="D18:L18" si="4">IF($L$9*D17&lt;0,0,$L$9*D17)</f>
        <v>0</v>
      </c>
      <c r="E18" s="9">
        <f t="shared" si="4"/>
        <v>329536.85504109488</v>
      </c>
      <c r="F18" s="9">
        <f t="shared" si="4"/>
        <v>1707121.4974860959</v>
      </c>
      <c r="G18" s="9">
        <f t="shared" si="4"/>
        <v>1903313.0974860957</v>
      </c>
      <c r="H18" s="9">
        <f t="shared" si="4"/>
        <v>1903864.1974860958</v>
      </c>
      <c r="I18" s="9">
        <f t="shared" si="4"/>
        <v>1903313.0974860957</v>
      </c>
      <c r="J18" s="9">
        <f t="shared" si="4"/>
        <v>2149654.7974860957</v>
      </c>
      <c r="K18" s="9">
        <f t="shared" si="4"/>
        <v>2395445.3974860958</v>
      </c>
      <c r="L18" s="9">
        <f t="shared" si="4"/>
        <v>2395445.3974860958</v>
      </c>
      <c r="M18" s="81" t="s">
        <v>135</v>
      </c>
    </row>
    <row r="19" spans="1:13">
      <c r="A19" s="15" t="s">
        <v>10</v>
      </c>
      <c r="C19" s="1">
        <f>C16+C17-C18</f>
        <v>-2478656.8585979994</v>
      </c>
      <c r="D19" s="1">
        <f>D16+D17-D18</f>
        <v>520893.06640200131</v>
      </c>
      <c r="E19" s="1">
        <f t="shared" ref="E19:L19" si="5">E16+E17-E18</f>
        <v>3190906.1363609051</v>
      </c>
      <c r="F19" s="1">
        <f t="shared" si="5"/>
        <v>4812871.4189159069</v>
      </c>
      <c r="G19" s="1">
        <f t="shared" si="5"/>
        <v>4616679.8189159073</v>
      </c>
      <c r="H19" s="1">
        <f t="shared" si="5"/>
        <v>4616128.7189159067</v>
      </c>
      <c r="I19" s="1">
        <f t="shared" si="5"/>
        <v>4616679.8189159073</v>
      </c>
      <c r="J19" s="1">
        <f t="shared" si="5"/>
        <v>4370338.1189159071</v>
      </c>
      <c r="K19" s="1">
        <f t="shared" si="5"/>
        <v>4124547.518915907</v>
      </c>
      <c r="L19" s="1">
        <f t="shared" si="5"/>
        <v>4124547.518915907</v>
      </c>
      <c r="M19" s="82" t="s">
        <v>128</v>
      </c>
    </row>
    <row r="20" spans="1:13">
      <c r="A20" s="4" t="s">
        <v>2</v>
      </c>
      <c r="B20" s="1">
        <f>-(B26+B27)</f>
        <v>-1230000</v>
      </c>
      <c r="C20" s="1">
        <f t="shared" ref="C20:K20" si="6">-$B$27</f>
        <v>-30000</v>
      </c>
      <c r="D20" s="1">
        <f t="shared" si="6"/>
        <v>-30000</v>
      </c>
      <c r="E20" s="1">
        <f t="shared" si="6"/>
        <v>-30000</v>
      </c>
      <c r="F20" s="1">
        <f t="shared" si="6"/>
        <v>-30000</v>
      </c>
      <c r="G20" s="1">
        <f t="shared" si="6"/>
        <v>-30000</v>
      </c>
      <c r="H20" s="1">
        <f t="shared" si="6"/>
        <v>-30000</v>
      </c>
      <c r="I20" s="1">
        <f t="shared" si="6"/>
        <v>-30000</v>
      </c>
      <c r="J20" s="1">
        <f t="shared" si="6"/>
        <v>-30000</v>
      </c>
      <c r="K20" s="1">
        <f t="shared" si="6"/>
        <v>-30000</v>
      </c>
      <c r="L20" s="1">
        <f>-SUM(B20:K20)</f>
        <v>1500000</v>
      </c>
      <c r="M20" s="82" t="s">
        <v>129</v>
      </c>
    </row>
    <row r="21" spans="1:13">
      <c r="A21" s="18" t="s">
        <v>3</v>
      </c>
      <c r="B21" s="12">
        <f>-(L2+L3)</f>
        <v>-15000000</v>
      </c>
      <c r="C21" s="12"/>
      <c r="D21" s="12"/>
      <c r="E21" s="12"/>
      <c r="F21" s="12"/>
      <c r="G21" s="12"/>
      <c r="H21" s="12"/>
      <c r="I21" s="12"/>
      <c r="J21" s="12"/>
      <c r="K21" s="12"/>
      <c r="L21" s="1">
        <f>B9</f>
        <v>2277360</v>
      </c>
      <c r="M21" s="82" t="s">
        <v>130</v>
      </c>
    </row>
    <row r="22" spans="1:13" ht="13" thickBot="1">
      <c r="A22" s="22" t="s">
        <v>4</v>
      </c>
      <c r="B22" s="23">
        <f>B19+B21+B20</f>
        <v>-16230000</v>
      </c>
      <c r="C22" s="23">
        <f>C19+C21+C20</f>
        <v>-2508656.8585979994</v>
      </c>
      <c r="D22" s="23">
        <f t="shared" ref="D22:L22" si="7">D19+D21+D20</f>
        <v>490893.06640200131</v>
      </c>
      <c r="E22" s="23">
        <f t="shared" si="7"/>
        <v>3160906.1363609051</v>
      </c>
      <c r="F22" s="23">
        <f t="shared" si="7"/>
        <v>4782871.4189159069</v>
      </c>
      <c r="G22" s="23">
        <f t="shared" si="7"/>
        <v>4586679.8189159073</v>
      </c>
      <c r="H22" s="23">
        <f t="shared" si="7"/>
        <v>4586128.7189159067</v>
      </c>
      <c r="I22" s="23">
        <f t="shared" si="7"/>
        <v>4586679.8189159073</v>
      </c>
      <c r="J22" s="23">
        <f t="shared" si="7"/>
        <v>4340338.1189159071</v>
      </c>
      <c r="K22" s="23">
        <f t="shared" si="7"/>
        <v>4094547.518915907</v>
      </c>
      <c r="L22" s="23">
        <f t="shared" si="7"/>
        <v>7901907.5189159065</v>
      </c>
      <c r="M22" s="85" t="s">
        <v>124</v>
      </c>
    </row>
    <row r="23" spans="1:13" ht="14" thickTop="1" thickBot="1">
      <c r="A23" s="80" t="s">
        <v>111</v>
      </c>
      <c r="B23" s="4">
        <f>B22/(1+WACC)^'Base case'!B11</f>
        <v>-16230000</v>
      </c>
      <c r="C23" s="4">
        <f>C22/(1+WACC)^'Base case'!C11</f>
        <v>-2271645.6153110857</v>
      </c>
      <c r="D23" s="4">
        <f>D22/(1+WACC)^'Base case'!D11</f>
        <v>402518.21403535176</v>
      </c>
      <c r="E23" s="4">
        <f>E22/(1+WACC)^'Base case'!E11</f>
        <v>2346980.915968074</v>
      </c>
      <c r="F23" s="4">
        <f>F22/(1+WACC)^'Base case'!F11</f>
        <v>3215777.4375499273</v>
      </c>
      <c r="G23" s="4">
        <f>G22/(1+WACC)^'Base case'!G11</f>
        <v>2792511.8341996805</v>
      </c>
      <c r="H23" s="4">
        <f>H22/(1+WACC)^'Base case'!H11</f>
        <v>2528378.8990521943</v>
      </c>
      <c r="I23" s="4">
        <f>I22/(1+WACC)^'Base case'!I11</f>
        <v>2289779.4919232884</v>
      </c>
      <c r="J23" s="4">
        <f>J22/(1+WACC)^'Base case'!J11</f>
        <v>1962086.3634072642</v>
      </c>
      <c r="K23" s="4">
        <f>K22/(1+WACC)^'Base case'!K11</f>
        <v>1676099.4809310122</v>
      </c>
      <c r="L23" s="4">
        <f>L22/(1+WACC)^'Base case'!L11</f>
        <v>2929038.8901153076</v>
      </c>
      <c r="M23" s="86">
        <f>SUM(B23:L23)</f>
        <v>1641525.9118710135</v>
      </c>
    </row>
    <row r="24" spans="1:13">
      <c r="A24" s="3"/>
      <c r="B24" s="24"/>
    </row>
    <row r="25" spans="1:13">
      <c r="B25" s="25"/>
    </row>
    <row r="26" spans="1:13">
      <c r="A26" s="4" t="s">
        <v>72</v>
      </c>
      <c r="B26" s="4">
        <f>600000*B2</f>
        <v>1200000</v>
      </c>
    </row>
    <row r="27" spans="1:13">
      <c r="A27" s="4" t="s">
        <v>73</v>
      </c>
      <c r="B27" s="4">
        <v>30000</v>
      </c>
    </row>
    <row r="29" spans="1:13">
      <c r="A29" s="27"/>
    </row>
    <row r="38" spans="25:25">
      <c r="Y38" s="37" t="s">
        <v>70</v>
      </c>
    </row>
  </sheetData>
  <phoneticPr fontId="0" type="noConversion"/>
  <hyperlinks>
    <hyperlink ref="C4" r:id="rId1"/>
    <hyperlink ref="C5" r:id="rId2"/>
  </hyperlinks>
  <pageMargins left="0.25" right="0.25" top="0.5" bottom="0.5" header="0.5" footer="0.5"/>
  <pageSetup scale="91"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27"/>
  <sheetViews>
    <sheetView workbookViewId="0">
      <pane xSplit="1" topLeftCell="B1" activePane="topRight" state="frozen"/>
      <selection activeCell="C13" sqref="C13"/>
      <selection pane="topRight" activeCell="A25" sqref="A25"/>
    </sheetView>
  </sheetViews>
  <sheetFormatPr baseColWidth="10" defaultColWidth="8.83203125" defaultRowHeight="12" x14ac:dyDescent="0"/>
  <cols>
    <col min="1" max="1" width="23" style="3" customWidth="1"/>
    <col min="2" max="2" width="16.6640625" style="3" bestFit="1" customWidth="1"/>
    <col min="3" max="3" width="12.83203125" style="3" bestFit="1" customWidth="1"/>
    <col min="4" max="4" width="22.1640625" style="3" bestFit="1" customWidth="1"/>
    <col min="5" max="8" width="11.5" style="3" bestFit="1" customWidth="1"/>
    <col min="9" max="9" width="17.83203125" style="3" customWidth="1"/>
    <col min="10" max="11" width="11.5" style="3" bestFit="1" customWidth="1"/>
    <col min="12" max="12" width="14" style="3" customWidth="1"/>
    <col min="13" max="13" width="11" style="3" customWidth="1"/>
    <col min="14" max="16384" width="8.83203125" style="3"/>
  </cols>
  <sheetData>
    <row r="1" spans="1:12">
      <c r="A1" s="13" t="s">
        <v>18</v>
      </c>
      <c r="B1" s="4"/>
      <c r="C1" s="4"/>
      <c r="D1" s="13" t="s">
        <v>61</v>
      </c>
      <c r="E1" s="4"/>
      <c r="F1" s="4"/>
      <c r="G1" s="14"/>
      <c r="H1" s="4"/>
      <c r="I1" s="13" t="s">
        <v>62</v>
      </c>
      <c r="J1" s="4"/>
      <c r="K1" s="4"/>
      <c r="L1" s="4"/>
    </row>
    <row r="2" spans="1:12">
      <c r="A2" s="15" t="s">
        <v>12</v>
      </c>
      <c r="B2" s="4">
        <f>'Base case'!B2</f>
        <v>2</v>
      </c>
      <c r="C2" s="4"/>
      <c r="D2" s="4" t="s">
        <v>23</v>
      </c>
      <c r="E2" s="4"/>
      <c r="F2" s="1">
        <f>'Base case'!F2</f>
        <v>1800000</v>
      </c>
      <c r="G2" s="16"/>
      <c r="H2" s="4"/>
      <c r="I2" s="4" t="s">
        <v>20</v>
      </c>
      <c r="J2" s="4"/>
      <c r="K2" s="17"/>
      <c r="L2" s="4">
        <f>'Base case'!L2</f>
        <v>12000000</v>
      </c>
    </row>
    <row r="3" spans="1:12">
      <c r="A3" s="4" t="s">
        <v>64</v>
      </c>
      <c r="B3" s="4">
        <f>'Base case'!B3</f>
        <v>62.82</v>
      </c>
      <c r="C3" s="4"/>
      <c r="D3" s="4" t="s">
        <v>24</v>
      </c>
      <c r="E3" s="4"/>
      <c r="F3" s="1">
        <f>'Base case'!F3</f>
        <v>1500000</v>
      </c>
      <c r="G3" s="16"/>
      <c r="H3" s="4"/>
      <c r="I3" s="4" t="s">
        <v>21</v>
      </c>
      <c r="J3" s="4"/>
      <c r="K3" s="1"/>
      <c r="L3" s="4">
        <f>'Base case'!L3</f>
        <v>3000000</v>
      </c>
    </row>
    <row r="4" spans="1:12">
      <c r="A4" s="38" t="s">
        <v>71</v>
      </c>
      <c r="B4" s="4">
        <f>'Base case'!B4</f>
        <v>387</v>
      </c>
      <c r="C4" s="4"/>
      <c r="D4" s="4" t="s">
        <v>25</v>
      </c>
      <c r="E4" s="4"/>
      <c r="F4" s="1">
        <f>L6*'Base case'!L5*'Base case'!B8</f>
        <v>2475267.30198</v>
      </c>
      <c r="G4" s="16"/>
      <c r="H4" s="4"/>
      <c r="I4" s="4" t="s">
        <v>57</v>
      </c>
      <c r="J4" s="4"/>
      <c r="K4" s="1"/>
      <c r="L4" s="4">
        <f>'Base case'!L4</f>
        <v>3600000</v>
      </c>
    </row>
    <row r="5" spans="1:12">
      <c r="A5" s="15" t="s">
        <v>13</v>
      </c>
      <c r="B5" s="4">
        <f>'Base case'!B5</f>
        <v>137</v>
      </c>
      <c r="C5" s="4"/>
      <c r="D5" s="4" t="s">
        <v>26</v>
      </c>
      <c r="E5" s="1"/>
      <c r="F5" s="1">
        <f>'Base case'!F5</f>
        <v>854100</v>
      </c>
      <c r="G5" s="16"/>
      <c r="H5" s="4"/>
      <c r="I5" s="4" t="s">
        <v>31</v>
      </c>
      <c r="J5" s="4"/>
      <c r="K5" s="4"/>
      <c r="L5" s="4">
        <f>'Base case'!L5</f>
        <v>0.11219999999999999</v>
      </c>
    </row>
    <row r="6" spans="1:12">
      <c r="A6" s="15" t="s">
        <v>17</v>
      </c>
      <c r="B6" s="4">
        <f>'Base case'!B6</f>
        <v>6</v>
      </c>
      <c r="C6" s="4"/>
      <c r="D6" s="4" t="s">
        <v>27</v>
      </c>
      <c r="E6" s="1"/>
      <c r="F6" s="1">
        <f>'Base case'!F6</f>
        <v>1238182.2</v>
      </c>
      <c r="G6" s="16"/>
      <c r="H6" s="4"/>
      <c r="I6" s="4" t="s">
        <v>56</v>
      </c>
      <c r="J6" s="4"/>
      <c r="K6" s="4"/>
      <c r="L6" s="43">
        <v>0.19</v>
      </c>
    </row>
    <row r="7" spans="1:12">
      <c r="A7" s="15" t="s">
        <v>14</v>
      </c>
      <c r="B7" s="1">
        <f>'Base case'!B7</f>
        <v>318114</v>
      </c>
      <c r="C7" s="4"/>
      <c r="D7" s="18" t="s">
        <v>28</v>
      </c>
      <c r="E7" s="18"/>
      <c r="F7" s="2">
        <f>'Base case'!F7</f>
        <v>1200000</v>
      </c>
      <c r="G7" s="19"/>
      <c r="H7" s="4"/>
      <c r="I7" s="4" t="s">
        <v>30</v>
      </c>
      <c r="J7" s="4"/>
      <c r="K7" s="4"/>
      <c r="L7" s="4">
        <f>'Base case'!L7</f>
        <v>390</v>
      </c>
    </row>
    <row r="8" spans="1:12">
      <c r="A8" s="15" t="s">
        <v>15</v>
      </c>
      <c r="B8" s="39">
        <f>'Base case'!B8</f>
        <v>116111610</v>
      </c>
      <c r="C8" s="4"/>
      <c r="D8" s="4" t="s">
        <v>7</v>
      </c>
      <c r="E8" s="4"/>
      <c r="F8" s="9">
        <f>SUM(F2:F7)</f>
        <v>9067549.5019799992</v>
      </c>
      <c r="G8" s="16"/>
      <c r="H8" s="4"/>
      <c r="I8" s="4" t="s">
        <v>37</v>
      </c>
      <c r="J8" s="4"/>
      <c r="K8" s="4"/>
      <c r="L8" s="4">
        <f>'Base case'!L8</f>
        <v>9</v>
      </c>
    </row>
    <row r="9" spans="1:12">
      <c r="A9" s="15" t="s">
        <v>58</v>
      </c>
      <c r="B9" s="1">
        <f>'Base case'!B9</f>
        <v>2277360</v>
      </c>
      <c r="C9" s="4"/>
      <c r="D9" s="4"/>
      <c r="E9" s="4"/>
      <c r="F9" s="9"/>
      <c r="G9" s="16"/>
      <c r="H9" s="4"/>
      <c r="I9" s="4" t="s">
        <v>54</v>
      </c>
      <c r="J9" s="4"/>
      <c r="K9" s="4"/>
      <c r="L9" s="31">
        <f>'Base case'!L9</f>
        <v>0.3674</v>
      </c>
    </row>
    <row r="10" spans="1:12">
      <c r="A10" s="15"/>
      <c r="B10" s="1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20" t="s">
        <v>11</v>
      </c>
      <c r="B11" s="21">
        <v>0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</row>
    <row r="12" spans="1:12">
      <c r="A12" s="38" t="s">
        <v>16</v>
      </c>
      <c r="B12" s="4"/>
      <c r="C12" s="44">
        <v>7.0000000000000007E-2</v>
      </c>
      <c r="D12" s="32">
        <f>C12+(($F$12-$C$12)/$E$11)</f>
        <v>9.2500000000000013E-2</v>
      </c>
      <c r="E12" s="73">
        <f>D12+(($F$12-$C$12)/$E$11)</f>
        <v>0.11500000000000002</v>
      </c>
      <c r="F12" s="74">
        <v>0.13750000000000001</v>
      </c>
      <c r="G12" s="74">
        <v>0.13750000000000001</v>
      </c>
      <c r="H12" s="74">
        <v>0.13750000000000001</v>
      </c>
      <c r="I12" s="74">
        <v>0.13750000000000001</v>
      </c>
      <c r="J12" s="74">
        <v>0.13750000000000001</v>
      </c>
      <c r="K12" s="74">
        <v>0.13750000000000001</v>
      </c>
      <c r="L12" s="74">
        <v>0.13750000000000001</v>
      </c>
    </row>
    <row r="13" spans="1:12">
      <c r="A13" s="15" t="s">
        <v>63</v>
      </c>
      <c r="B13" s="1"/>
      <c r="C13" s="9">
        <f>$B$8*C12</f>
        <v>8127812.7000000011</v>
      </c>
      <c r="D13" s="9">
        <f t="shared" ref="D13:L13" si="0">$B$8*D12</f>
        <v>10740323.925000001</v>
      </c>
      <c r="E13" s="9">
        <f t="shared" si="0"/>
        <v>13352835.150000002</v>
      </c>
      <c r="F13" s="9">
        <f t="shared" si="0"/>
        <v>15965346.375000002</v>
      </c>
      <c r="G13" s="9">
        <f t="shared" si="0"/>
        <v>15965346.375000002</v>
      </c>
      <c r="H13" s="9">
        <f t="shared" si="0"/>
        <v>15965346.375000002</v>
      </c>
      <c r="I13" s="9">
        <f t="shared" si="0"/>
        <v>15965346.375000002</v>
      </c>
      <c r="J13" s="9">
        <f t="shared" si="0"/>
        <v>15965346.375000002</v>
      </c>
      <c r="K13" s="9">
        <f t="shared" si="0"/>
        <v>15965346.375000002</v>
      </c>
      <c r="L13" s="9">
        <f t="shared" si="0"/>
        <v>15965346.375000002</v>
      </c>
    </row>
    <row r="14" spans="1:12">
      <c r="A14" s="15" t="s">
        <v>19</v>
      </c>
      <c r="B14" s="1"/>
      <c r="C14" s="9">
        <f>$F$8</f>
        <v>9067549.5019799992</v>
      </c>
      <c r="D14" s="9">
        <f t="shared" ref="D14:L14" si="1">$F$8</f>
        <v>9067549.5019799992</v>
      </c>
      <c r="E14" s="9">
        <f t="shared" si="1"/>
        <v>9067549.5019799992</v>
      </c>
      <c r="F14" s="9">
        <f t="shared" si="1"/>
        <v>9067549.5019799992</v>
      </c>
      <c r="G14" s="9">
        <f t="shared" si="1"/>
        <v>9067549.5019799992</v>
      </c>
      <c r="H14" s="9">
        <f t="shared" si="1"/>
        <v>9067549.5019799992</v>
      </c>
      <c r="I14" s="9">
        <f t="shared" si="1"/>
        <v>9067549.5019799992</v>
      </c>
      <c r="J14" s="9">
        <f t="shared" si="1"/>
        <v>9067549.5019799992</v>
      </c>
      <c r="K14" s="9">
        <f t="shared" si="1"/>
        <v>9067549.5019799992</v>
      </c>
      <c r="L14" s="9">
        <f t="shared" si="1"/>
        <v>9067549.5019799992</v>
      </c>
    </row>
    <row r="15" spans="1:12">
      <c r="A15" s="15" t="s">
        <v>22</v>
      </c>
      <c r="B15" s="1"/>
      <c r="C15" s="6">
        <v>0.1429</v>
      </c>
      <c r="D15" s="6">
        <v>0.24490000000000001</v>
      </c>
      <c r="E15" s="6">
        <v>0.1749</v>
      </c>
      <c r="F15" s="6">
        <v>0.1249</v>
      </c>
      <c r="G15" s="6">
        <v>8.9300000000000004E-2</v>
      </c>
      <c r="H15" s="6">
        <v>8.9200000000000002E-2</v>
      </c>
      <c r="I15" s="6">
        <v>8.9300000000000004E-2</v>
      </c>
      <c r="J15" s="6">
        <v>4.4600000000000001E-2</v>
      </c>
      <c r="K15" s="6"/>
      <c r="L15" s="6"/>
    </row>
    <row r="16" spans="1:12">
      <c r="A16" s="15" t="s">
        <v>0</v>
      </c>
      <c r="B16" s="1"/>
      <c r="C16" s="9">
        <f>C15*($L$2+$L$3)</f>
        <v>2143500</v>
      </c>
      <c r="D16" s="9">
        <f t="shared" ref="D16:J16" si="2">D15*($L$2+$L$3)</f>
        <v>3673500</v>
      </c>
      <c r="E16" s="9">
        <f t="shared" si="2"/>
        <v>2623500</v>
      </c>
      <c r="F16" s="9">
        <f t="shared" si="2"/>
        <v>1873500</v>
      </c>
      <c r="G16" s="9">
        <f t="shared" si="2"/>
        <v>1339500</v>
      </c>
      <c r="H16" s="9">
        <f t="shared" si="2"/>
        <v>1338000</v>
      </c>
      <c r="I16" s="9">
        <f t="shared" si="2"/>
        <v>1339500</v>
      </c>
      <c r="J16" s="9">
        <f t="shared" si="2"/>
        <v>669000</v>
      </c>
      <c r="K16" s="9">
        <v>0</v>
      </c>
      <c r="L16" s="9">
        <v>0</v>
      </c>
    </row>
    <row r="17" spans="1:22">
      <c r="A17" s="15" t="s">
        <v>29</v>
      </c>
      <c r="B17" s="1"/>
      <c r="C17" s="9">
        <f>C13-C14-C16</f>
        <v>-3083236.8019799981</v>
      </c>
      <c r="D17" s="9">
        <f t="shared" ref="D17:L17" si="3">D13-D14-D16</f>
        <v>-2000725.5769799985</v>
      </c>
      <c r="E17" s="9">
        <f t="shared" si="3"/>
        <v>1661785.648020003</v>
      </c>
      <c r="F17" s="9">
        <f t="shared" si="3"/>
        <v>5024296.8730200026</v>
      </c>
      <c r="G17" s="9">
        <f t="shared" si="3"/>
        <v>5558296.8730200026</v>
      </c>
      <c r="H17" s="9">
        <f t="shared" si="3"/>
        <v>5559796.8730200026</v>
      </c>
      <c r="I17" s="9">
        <f t="shared" si="3"/>
        <v>5558296.8730200026</v>
      </c>
      <c r="J17" s="9">
        <f t="shared" si="3"/>
        <v>6228796.8730200026</v>
      </c>
      <c r="K17" s="9">
        <f t="shared" si="3"/>
        <v>6897796.8730200026</v>
      </c>
      <c r="L17" s="9">
        <f t="shared" si="3"/>
        <v>6897796.8730200026</v>
      </c>
    </row>
    <row r="18" spans="1:22">
      <c r="A18" s="15" t="s">
        <v>1</v>
      </c>
      <c r="B18" s="1"/>
      <c r="C18" s="9">
        <f>IF($L$9*C17&lt;0,0,$L$9*C17)</f>
        <v>0</v>
      </c>
      <c r="D18" s="9">
        <f t="shared" ref="D18:L18" si="4">IF($L$9*D17&lt;0,0,$L$9*D17)</f>
        <v>0</v>
      </c>
      <c r="E18" s="9">
        <f t="shared" si="4"/>
        <v>610540.04708254908</v>
      </c>
      <c r="F18" s="9">
        <f t="shared" si="4"/>
        <v>1845926.6711475491</v>
      </c>
      <c r="G18" s="9">
        <f t="shared" si="4"/>
        <v>2042118.2711475489</v>
      </c>
      <c r="H18" s="9">
        <f t="shared" si="4"/>
        <v>2042669.371147549</v>
      </c>
      <c r="I18" s="9">
        <f t="shared" si="4"/>
        <v>2042118.2711475489</v>
      </c>
      <c r="J18" s="9">
        <f t="shared" si="4"/>
        <v>2288459.9711475489</v>
      </c>
      <c r="K18" s="9">
        <f t="shared" si="4"/>
        <v>2534250.571147549</v>
      </c>
      <c r="L18" s="9">
        <f t="shared" si="4"/>
        <v>2534250.571147549</v>
      </c>
    </row>
    <row r="19" spans="1:22">
      <c r="A19" s="15" t="s">
        <v>10</v>
      </c>
      <c r="B19" s="4"/>
      <c r="C19" s="1">
        <f>C16+C17-C18</f>
        <v>-939736.80197999813</v>
      </c>
      <c r="D19" s="1">
        <f t="shared" ref="D19:L19" si="5">D16+D17-D18</f>
        <v>1672774.4230200015</v>
      </c>
      <c r="E19" s="1">
        <f t="shared" si="5"/>
        <v>3674745.600937454</v>
      </c>
      <c r="F19" s="1">
        <f t="shared" si="5"/>
        <v>5051870.2018724531</v>
      </c>
      <c r="G19" s="1">
        <f t="shared" si="5"/>
        <v>4855678.6018724535</v>
      </c>
      <c r="H19" s="1">
        <f t="shared" si="5"/>
        <v>4855127.5018724538</v>
      </c>
      <c r="I19" s="1">
        <f t="shared" si="5"/>
        <v>4855678.6018724535</v>
      </c>
      <c r="J19" s="1">
        <f t="shared" si="5"/>
        <v>4609336.9018724542</v>
      </c>
      <c r="K19" s="1">
        <f t="shared" si="5"/>
        <v>4363546.3018724537</v>
      </c>
      <c r="L19" s="1">
        <f t="shared" si="5"/>
        <v>4363546.3018724537</v>
      </c>
    </row>
    <row r="20" spans="1:22">
      <c r="A20" s="4" t="s">
        <v>2</v>
      </c>
      <c r="B20" s="1">
        <f>'Base case'!B20</f>
        <v>-1230000</v>
      </c>
      <c r="C20" s="1">
        <f>'Base case'!C20</f>
        <v>-30000</v>
      </c>
      <c r="D20" s="1">
        <f>'Base case'!D20</f>
        <v>-30000</v>
      </c>
      <c r="E20" s="1">
        <f>'Base case'!E20</f>
        <v>-30000</v>
      </c>
      <c r="F20" s="1">
        <f>'Base case'!F20</f>
        <v>-30000</v>
      </c>
      <c r="G20" s="1">
        <f>'Base case'!G20</f>
        <v>-30000</v>
      </c>
      <c r="H20" s="1">
        <f>'Base case'!H20</f>
        <v>-30000</v>
      </c>
      <c r="I20" s="1">
        <f>'Base case'!I20</f>
        <v>-30000</v>
      </c>
      <c r="J20" s="1">
        <f>'Base case'!J20</f>
        <v>-30000</v>
      </c>
      <c r="K20" s="1">
        <f>'Base case'!K20</f>
        <v>-30000</v>
      </c>
      <c r="L20" s="1">
        <f>'Base case'!L20</f>
        <v>1500000</v>
      </c>
    </row>
    <row r="21" spans="1:22">
      <c r="A21" s="18" t="s">
        <v>3</v>
      </c>
      <c r="B21" s="12">
        <f>'Base case'!B21</f>
        <v>-15000000</v>
      </c>
      <c r="C21" s="12">
        <f>'Base case'!C21</f>
        <v>0</v>
      </c>
      <c r="D21" s="12">
        <f>'Base case'!D21</f>
        <v>0</v>
      </c>
      <c r="E21" s="12">
        <f>'Base case'!E21</f>
        <v>0</v>
      </c>
      <c r="F21" s="12">
        <f>'Base case'!F21</f>
        <v>0</v>
      </c>
      <c r="G21" s="12">
        <f>'Base case'!G21</f>
        <v>0</v>
      </c>
      <c r="H21" s="12">
        <f>'Base case'!H21</f>
        <v>0</v>
      </c>
      <c r="I21" s="12">
        <f>'Base case'!I21</f>
        <v>0</v>
      </c>
      <c r="J21" s="12">
        <f>'Base case'!J21</f>
        <v>0</v>
      </c>
      <c r="K21" s="12">
        <f>'Base case'!K21</f>
        <v>0</v>
      </c>
      <c r="L21" s="12">
        <f>'Base case'!L21</f>
        <v>2277360</v>
      </c>
    </row>
    <row r="22" spans="1:22" ht="13" thickBot="1">
      <c r="A22" s="22" t="s">
        <v>4</v>
      </c>
      <c r="B22" s="23">
        <f>B19+B20+B21</f>
        <v>-16230000</v>
      </c>
      <c r="C22" s="23">
        <f>C19+C20+C21</f>
        <v>-969736.80197999813</v>
      </c>
      <c r="D22" s="23">
        <f t="shared" ref="D22:L22" si="6">D19+D20+D21</f>
        <v>1642774.4230200015</v>
      </c>
      <c r="E22" s="23">
        <f t="shared" si="6"/>
        <v>3644745.600937454</v>
      </c>
      <c r="F22" s="23">
        <f t="shared" si="6"/>
        <v>5021870.2018724531</v>
      </c>
      <c r="G22" s="23">
        <f t="shared" si="6"/>
        <v>4825678.6018724535</v>
      </c>
      <c r="H22" s="23">
        <f t="shared" si="6"/>
        <v>4825127.5018724538</v>
      </c>
      <c r="I22" s="23">
        <f t="shared" si="6"/>
        <v>4825678.6018724535</v>
      </c>
      <c r="J22" s="23">
        <f t="shared" si="6"/>
        <v>4579336.9018724542</v>
      </c>
      <c r="K22" s="23">
        <f t="shared" si="6"/>
        <v>4333546.3018724537</v>
      </c>
      <c r="L22" s="23">
        <f t="shared" si="6"/>
        <v>8140906.3018724537</v>
      </c>
      <c r="M22" s="88" t="s">
        <v>124</v>
      </c>
    </row>
    <row r="23" spans="1:22" ht="14" thickTop="1" thickBot="1">
      <c r="A23" s="80" t="str">
        <f>'Base case'!A23</f>
        <v>NPV</v>
      </c>
      <c r="B23" s="4">
        <f>B22/(1+WACC)^Optimistic!B11</f>
        <v>-16230000</v>
      </c>
      <c r="C23" s="4">
        <f>C22/(1+WACC)^Optimistic!C11</f>
        <v>-878118.64212261396</v>
      </c>
      <c r="D23" s="4">
        <f>D22/(1+WACC)^Optimistic!D11</f>
        <v>1347027.8398176834</v>
      </c>
      <c r="E23" s="4">
        <f>E22/(1+WACC)^Optimistic!E11</f>
        <v>2706232.9597698948</v>
      </c>
      <c r="F23" s="4">
        <f>F22/(1+WACC)^Optimistic!F11</f>
        <v>3376468.9608039139</v>
      </c>
      <c r="G23" s="4">
        <f>G22/(1+WACC)^Optimistic!G11</f>
        <v>2938021.6487311036</v>
      </c>
      <c r="H23" s="4">
        <f>H22/(1+WACC)^Optimistic!H11</f>
        <v>2660141.3324165442</v>
      </c>
      <c r="I23" s="4">
        <f>I22/(1+WACC)^Optimistic!I11</f>
        <v>2409093.3602145948</v>
      </c>
      <c r="J23" s="4">
        <f>J22/(1+WACC)^Optimistic!J11</f>
        <v>2070127.7740213987</v>
      </c>
      <c r="K23" s="4">
        <f>K22/(1+WACC)^Optimistic!K11</f>
        <v>1773933.425757881</v>
      </c>
      <c r="L23" s="4">
        <f>L22/(1+WACC)^Optimistic!L11</f>
        <v>3017629.7434370122</v>
      </c>
      <c r="M23" s="87">
        <f>SUM(B23:L23)</f>
        <v>5190558.4028474111</v>
      </c>
    </row>
    <row r="24" spans="1:22">
      <c r="B24" s="24"/>
      <c r="C24" s="4"/>
      <c r="D24" s="4"/>
      <c r="E24" s="4"/>
      <c r="F24" s="4"/>
      <c r="G24" s="4"/>
      <c r="H24" s="4"/>
      <c r="I24" s="4"/>
      <c r="J24" s="4"/>
      <c r="K24" s="4"/>
      <c r="L24" s="4"/>
    </row>
    <row r="27" spans="1:22">
      <c r="V27" s="37" t="s">
        <v>70</v>
      </c>
    </row>
  </sheetData>
  <phoneticPr fontId="0" type="noConversion"/>
  <pageMargins left="0.25" right="0.25" top="0.5" bottom="0.5" header="0.5" footer="0.5"/>
  <pageSetup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9"/>
  <sheetViews>
    <sheetView workbookViewId="0">
      <pane xSplit="1" topLeftCell="B1" activePane="topRight" state="frozen"/>
      <selection activeCell="V36" sqref="V36"/>
      <selection pane="topRight" activeCell="A25" sqref="A25"/>
    </sheetView>
  </sheetViews>
  <sheetFormatPr baseColWidth="10" defaultColWidth="8.83203125" defaultRowHeight="12" x14ac:dyDescent="0"/>
  <cols>
    <col min="1" max="1" width="30.33203125" style="4" bestFit="1" customWidth="1"/>
    <col min="2" max="2" width="15.6640625" style="4" bestFit="1" customWidth="1"/>
    <col min="3" max="3" width="13.83203125" style="4" bestFit="1" customWidth="1"/>
    <col min="4" max="4" width="13" style="4" customWidth="1"/>
    <col min="5" max="5" width="12.83203125" style="4" bestFit="1" customWidth="1"/>
    <col min="6" max="6" width="11.83203125" style="4" bestFit="1" customWidth="1"/>
    <col min="7" max="8" width="12.83203125" style="4" bestFit="1" customWidth="1"/>
    <col min="9" max="9" width="14.33203125" style="4" customWidth="1"/>
    <col min="10" max="11" width="13.1640625" style="4" bestFit="1" customWidth="1"/>
    <col min="12" max="12" width="13.5" style="4" customWidth="1"/>
    <col min="13" max="13" width="14.33203125" style="4" customWidth="1"/>
    <col min="14" max="16384" width="8.83203125" style="4"/>
  </cols>
  <sheetData>
    <row r="1" spans="1:12" s="3" customFormat="1">
      <c r="A1" s="13" t="s">
        <v>18</v>
      </c>
      <c r="B1" s="4"/>
      <c r="C1" s="4"/>
      <c r="D1" s="13" t="s">
        <v>61</v>
      </c>
      <c r="E1" s="4"/>
      <c r="F1" s="4"/>
      <c r="G1" s="14"/>
      <c r="H1" s="4"/>
      <c r="I1" s="13" t="s">
        <v>62</v>
      </c>
      <c r="J1" s="4"/>
      <c r="K1" s="4"/>
      <c r="L1" s="4"/>
    </row>
    <row r="2" spans="1:12" s="3" customFormat="1">
      <c r="A2" s="15" t="s">
        <v>12</v>
      </c>
      <c r="B2" s="4">
        <f>'Base case'!B2</f>
        <v>2</v>
      </c>
      <c r="C2" s="4"/>
      <c r="D2" s="4" t="s">
        <v>23</v>
      </c>
      <c r="E2" s="4"/>
      <c r="F2" s="1">
        <f>'Base case'!F2</f>
        <v>1800000</v>
      </c>
      <c r="G2" s="16"/>
      <c r="H2" s="4"/>
      <c r="I2" s="4" t="s">
        <v>20</v>
      </c>
      <c r="J2" s="4"/>
      <c r="K2" s="17"/>
      <c r="L2" s="4">
        <f>'Base case'!L2</f>
        <v>12000000</v>
      </c>
    </row>
    <row r="3" spans="1:12" s="3" customFormat="1">
      <c r="A3" s="4" t="s">
        <v>64</v>
      </c>
      <c r="B3" s="4">
        <f>'Base case'!B3</f>
        <v>62.82</v>
      </c>
      <c r="C3" s="4"/>
      <c r="D3" s="4" t="s">
        <v>24</v>
      </c>
      <c r="E3" s="4"/>
      <c r="F3" s="1">
        <f>'Base case'!F3</f>
        <v>1500000</v>
      </c>
      <c r="G3" s="16"/>
      <c r="H3" s="4"/>
      <c r="I3" s="4" t="s">
        <v>21</v>
      </c>
      <c r="J3" s="4"/>
      <c r="K3" s="1"/>
      <c r="L3" s="4">
        <f>'Base case'!L3</f>
        <v>3000000</v>
      </c>
    </row>
    <row r="4" spans="1:12" s="3" customFormat="1">
      <c r="A4" s="38" t="s">
        <v>71</v>
      </c>
      <c r="B4" s="4">
        <f>'Base case'!B4</f>
        <v>387</v>
      </c>
      <c r="C4" s="4"/>
      <c r="D4" s="4" t="s">
        <v>25</v>
      </c>
      <c r="E4" s="4"/>
      <c r="F4" s="1">
        <f>L6*'Base case'!L5*'Base case'!B8</f>
        <v>3908316.7925999993</v>
      </c>
      <c r="G4" s="16"/>
      <c r="H4" s="4"/>
      <c r="I4" s="4" t="s">
        <v>57</v>
      </c>
      <c r="J4" s="4"/>
      <c r="K4" s="1"/>
      <c r="L4" s="4">
        <f>'Base case'!L4</f>
        <v>3600000</v>
      </c>
    </row>
    <row r="5" spans="1:12" s="3" customFormat="1">
      <c r="A5" s="15" t="s">
        <v>13</v>
      </c>
      <c r="B5" s="4">
        <f>'Base case'!B5</f>
        <v>137</v>
      </c>
      <c r="C5" s="4"/>
      <c r="D5" s="4" t="s">
        <v>26</v>
      </c>
      <c r="E5" s="1"/>
      <c r="F5" s="1">
        <f>'Base case'!F5</f>
        <v>854100</v>
      </c>
      <c r="G5" s="16"/>
      <c r="H5" s="4"/>
      <c r="I5" s="4" t="s">
        <v>116</v>
      </c>
      <c r="J5" s="4"/>
      <c r="K5" s="4"/>
      <c r="L5" s="4">
        <f>'Base case'!L5</f>
        <v>0.11219999999999999</v>
      </c>
    </row>
    <row r="6" spans="1:12" s="3" customFormat="1">
      <c r="A6" s="15" t="s">
        <v>17</v>
      </c>
      <c r="B6" s="4">
        <f>'Base case'!B6</f>
        <v>6</v>
      </c>
      <c r="C6" s="4"/>
      <c r="D6" s="4" t="s">
        <v>27</v>
      </c>
      <c r="E6" s="1"/>
      <c r="F6" s="1">
        <f>'Base case'!F6</f>
        <v>1238182.2</v>
      </c>
      <c r="G6" s="16"/>
      <c r="H6" s="4"/>
      <c r="I6" s="4" t="s">
        <v>56</v>
      </c>
      <c r="J6" s="4"/>
      <c r="K6" s="4"/>
      <c r="L6" s="43">
        <v>0.3</v>
      </c>
    </row>
    <row r="7" spans="1:12" s="3" customFormat="1">
      <c r="A7" s="15" t="s">
        <v>14</v>
      </c>
      <c r="B7" s="1">
        <f>'Base case'!B7</f>
        <v>318114</v>
      </c>
      <c r="C7" s="4"/>
      <c r="D7" s="18" t="s">
        <v>28</v>
      </c>
      <c r="E7" s="18"/>
      <c r="F7" s="2">
        <f>'Base case'!F7</f>
        <v>1200000</v>
      </c>
      <c r="G7" s="19"/>
      <c r="H7" s="4"/>
      <c r="I7" s="4" t="s">
        <v>30</v>
      </c>
      <c r="J7" s="4"/>
      <c r="K7" s="4"/>
      <c r="L7" s="4">
        <f>'Base case'!L7</f>
        <v>390</v>
      </c>
    </row>
    <row r="8" spans="1:12" s="3" customFormat="1">
      <c r="A8" s="15" t="s">
        <v>15</v>
      </c>
      <c r="B8" s="75">
        <f>'Base case'!B8</f>
        <v>116111610</v>
      </c>
      <c r="C8" s="4"/>
      <c r="D8" s="4" t="s">
        <v>7</v>
      </c>
      <c r="E8" s="4"/>
      <c r="F8" s="9">
        <f>SUM(F2:F7)</f>
        <v>10500598.9926</v>
      </c>
      <c r="G8" s="16"/>
      <c r="H8" s="4"/>
      <c r="I8" s="4" t="s">
        <v>37</v>
      </c>
      <c r="J8" s="4"/>
      <c r="K8" s="4"/>
      <c r="L8" s="4">
        <f>'Base case'!L8</f>
        <v>9</v>
      </c>
    </row>
    <row r="9" spans="1:12" s="3" customFormat="1">
      <c r="A9" s="15" t="s">
        <v>58</v>
      </c>
      <c r="B9" s="45">
        <f>1000000*(1-L9)</f>
        <v>632600</v>
      </c>
      <c r="C9" s="4"/>
      <c r="D9" s="4"/>
      <c r="E9" s="4"/>
      <c r="F9" s="9"/>
      <c r="G9" s="16"/>
      <c r="H9" s="4"/>
      <c r="I9" s="4" t="s">
        <v>54</v>
      </c>
      <c r="J9" s="4"/>
      <c r="K9" s="4"/>
      <c r="L9" s="31">
        <f>'Base case'!L9</f>
        <v>0.3674</v>
      </c>
    </row>
    <row r="10" spans="1:12" s="3" customFormat="1">
      <c r="A10" s="15"/>
      <c r="B10" s="1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s="3" customFormat="1">
      <c r="A11" s="20" t="s">
        <v>11</v>
      </c>
      <c r="B11" s="21">
        <v>0</v>
      </c>
      <c r="C11" s="18">
        <v>1</v>
      </c>
      <c r="D11" s="18">
        <v>2</v>
      </c>
      <c r="E11" s="18">
        <v>3</v>
      </c>
      <c r="F11" s="18">
        <v>4</v>
      </c>
      <c r="G11" s="18">
        <v>5</v>
      </c>
      <c r="H11" s="18">
        <v>6</v>
      </c>
      <c r="I11" s="18">
        <v>7</v>
      </c>
      <c r="J11" s="18">
        <v>8</v>
      </c>
      <c r="K11" s="18">
        <v>9</v>
      </c>
      <c r="L11" s="18">
        <v>10</v>
      </c>
    </row>
    <row r="12" spans="1:12" s="3" customFormat="1">
      <c r="A12" s="38" t="s">
        <v>16</v>
      </c>
      <c r="B12" s="4"/>
      <c r="C12" s="44">
        <v>0.04</v>
      </c>
      <c r="D12" s="32">
        <f>C12+(($F$12-$C$12)/$E$11)</f>
        <v>7.2500000000000009E-2</v>
      </c>
      <c r="E12" s="73">
        <f>D12+(($F$12-$C$12)/$E$11)</f>
        <v>0.10500000000000001</v>
      </c>
      <c r="F12" s="40">
        <v>0.13750000000000001</v>
      </c>
      <c r="G12" s="41">
        <v>0.13750000000000001</v>
      </c>
      <c r="H12" s="41">
        <v>0.13750000000000001</v>
      </c>
      <c r="I12" s="41">
        <v>0.13750000000000001</v>
      </c>
      <c r="J12" s="41">
        <v>0.13750000000000001</v>
      </c>
      <c r="K12" s="41">
        <v>0.13750000000000001</v>
      </c>
      <c r="L12" s="41">
        <v>0.13750000000000001</v>
      </c>
    </row>
    <row r="13" spans="1:12" s="3" customFormat="1">
      <c r="A13" s="15" t="s">
        <v>63</v>
      </c>
      <c r="B13" s="1"/>
      <c r="C13" s="9">
        <f>$B$8*C12</f>
        <v>4644464.4000000004</v>
      </c>
      <c r="D13" s="9">
        <f t="shared" ref="D13:L13" si="0">$B$8*D12</f>
        <v>8418091.7250000015</v>
      </c>
      <c r="E13" s="9">
        <f t="shared" si="0"/>
        <v>12191719.050000001</v>
      </c>
      <c r="F13" s="9">
        <f t="shared" si="0"/>
        <v>15965346.375000002</v>
      </c>
      <c r="G13" s="9">
        <f t="shared" si="0"/>
        <v>15965346.375000002</v>
      </c>
      <c r="H13" s="9">
        <f t="shared" si="0"/>
        <v>15965346.375000002</v>
      </c>
      <c r="I13" s="9">
        <f t="shared" si="0"/>
        <v>15965346.375000002</v>
      </c>
      <c r="J13" s="9">
        <f t="shared" si="0"/>
        <v>15965346.375000002</v>
      </c>
      <c r="K13" s="9">
        <f t="shared" si="0"/>
        <v>15965346.375000002</v>
      </c>
      <c r="L13" s="9">
        <f t="shared" si="0"/>
        <v>15965346.375000002</v>
      </c>
    </row>
    <row r="14" spans="1:12" s="3" customFormat="1">
      <c r="A14" s="15" t="s">
        <v>19</v>
      </c>
      <c r="B14" s="1"/>
      <c r="C14" s="9">
        <f>$F$8</f>
        <v>10500598.9926</v>
      </c>
      <c r="D14" s="9">
        <f t="shared" ref="D14:L14" si="1">$F$8</f>
        <v>10500598.9926</v>
      </c>
      <c r="E14" s="9">
        <f t="shared" si="1"/>
        <v>10500598.9926</v>
      </c>
      <c r="F14" s="9">
        <f t="shared" si="1"/>
        <v>10500598.9926</v>
      </c>
      <c r="G14" s="9">
        <f t="shared" si="1"/>
        <v>10500598.9926</v>
      </c>
      <c r="H14" s="9">
        <f t="shared" si="1"/>
        <v>10500598.9926</v>
      </c>
      <c r="I14" s="9">
        <f t="shared" si="1"/>
        <v>10500598.9926</v>
      </c>
      <c r="J14" s="9">
        <f t="shared" si="1"/>
        <v>10500598.9926</v>
      </c>
      <c r="K14" s="9">
        <f t="shared" si="1"/>
        <v>10500598.9926</v>
      </c>
      <c r="L14" s="9">
        <f t="shared" si="1"/>
        <v>10500598.9926</v>
      </c>
    </row>
    <row r="15" spans="1:12" s="3" customFormat="1">
      <c r="A15" s="15" t="s">
        <v>22</v>
      </c>
      <c r="B15" s="1"/>
      <c r="C15" s="6">
        <v>0.1429</v>
      </c>
      <c r="D15" s="6">
        <v>0.24490000000000001</v>
      </c>
      <c r="E15" s="6">
        <v>0.1749</v>
      </c>
      <c r="F15" s="6">
        <v>0.1249</v>
      </c>
      <c r="G15" s="6">
        <v>8.9300000000000004E-2</v>
      </c>
      <c r="H15" s="6">
        <v>8.9200000000000002E-2</v>
      </c>
      <c r="I15" s="6">
        <v>8.9300000000000004E-2</v>
      </c>
      <c r="J15" s="6">
        <v>4.4600000000000001E-2</v>
      </c>
      <c r="K15" s="6"/>
      <c r="L15" s="6"/>
    </row>
    <row r="16" spans="1:12" s="3" customFormat="1">
      <c r="A16" s="15" t="s">
        <v>0</v>
      </c>
      <c r="B16" s="1"/>
      <c r="C16" s="9">
        <f>C15*($L$2+$L$3)</f>
        <v>2143500</v>
      </c>
      <c r="D16" s="9">
        <f t="shared" ref="D16:J16" si="2">D15*($L$2+$L$3)</f>
        <v>3673500</v>
      </c>
      <c r="E16" s="9">
        <f t="shared" si="2"/>
        <v>2623500</v>
      </c>
      <c r="F16" s="9">
        <f t="shared" si="2"/>
        <v>1873500</v>
      </c>
      <c r="G16" s="9">
        <f t="shared" si="2"/>
        <v>1339500</v>
      </c>
      <c r="H16" s="9">
        <f t="shared" si="2"/>
        <v>1338000</v>
      </c>
      <c r="I16" s="9">
        <f t="shared" si="2"/>
        <v>1339500</v>
      </c>
      <c r="J16" s="9">
        <f t="shared" si="2"/>
        <v>669000</v>
      </c>
      <c r="K16" s="9">
        <v>0</v>
      </c>
      <c r="L16" s="9">
        <v>0</v>
      </c>
    </row>
    <row r="17" spans="1:13" s="3" customFormat="1">
      <c r="A17" s="15" t="s">
        <v>29</v>
      </c>
      <c r="B17" s="1"/>
      <c r="C17" s="9">
        <f>C13-C14-C16</f>
        <v>-7999634.5925999992</v>
      </c>
      <c r="D17" s="9">
        <f t="shared" ref="D17:L17" si="3">D13-D14-D16</f>
        <v>-5756007.267599998</v>
      </c>
      <c r="E17" s="9">
        <f t="shared" si="3"/>
        <v>-932379.94259999879</v>
      </c>
      <c r="F17" s="9">
        <f t="shared" si="3"/>
        <v>3591247.3824000023</v>
      </c>
      <c r="G17" s="9">
        <f t="shared" si="3"/>
        <v>4125247.3824000023</v>
      </c>
      <c r="H17" s="9">
        <f t="shared" si="3"/>
        <v>4126747.3824000023</v>
      </c>
      <c r="I17" s="9">
        <f t="shared" si="3"/>
        <v>4125247.3824000023</v>
      </c>
      <c r="J17" s="9">
        <f t="shared" si="3"/>
        <v>4795747.3824000023</v>
      </c>
      <c r="K17" s="9">
        <f t="shared" si="3"/>
        <v>5464747.3824000023</v>
      </c>
      <c r="L17" s="9">
        <f t="shared" si="3"/>
        <v>5464747.3824000023</v>
      </c>
    </row>
    <row r="18" spans="1:13" s="3" customFormat="1">
      <c r="A18" s="15" t="s">
        <v>1</v>
      </c>
      <c r="B18" s="1"/>
      <c r="C18" s="9">
        <f>IF($L$9*C17&lt;0,0,$L$9*C17)</f>
        <v>0</v>
      </c>
      <c r="D18" s="9">
        <f t="shared" ref="D18:L18" si="4">IF($L$9*D17&lt;0,0,$L$9*D17)</f>
        <v>0</v>
      </c>
      <c r="E18" s="9">
        <f t="shared" si="4"/>
        <v>0</v>
      </c>
      <c r="F18" s="9">
        <f t="shared" si="4"/>
        <v>1319424.288293761</v>
      </c>
      <c r="G18" s="9">
        <f t="shared" si="4"/>
        <v>1515615.8882937608</v>
      </c>
      <c r="H18" s="9">
        <f t="shared" si="4"/>
        <v>1516166.9882937609</v>
      </c>
      <c r="I18" s="9">
        <f t="shared" si="4"/>
        <v>1515615.8882937608</v>
      </c>
      <c r="J18" s="9">
        <f t="shared" si="4"/>
        <v>1761957.5882937608</v>
      </c>
      <c r="K18" s="9">
        <f t="shared" si="4"/>
        <v>2007748.1882937609</v>
      </c>
      <c r="L18" s="9">
        <f t="shared" si="4"/>
        <v>2007748.1882937609</v>
      </c>
    </row>
    <row r="19" spans="1:13" s="3" customFormat="1">
      <c r="A19" s="15" t="s">
        <v>10</v>
      </c>
      <c r="B19" s="4"/>
      <c r="C19" s="1">
        <f>C16+C17-C18</f>
        <v>-5856134.5925999992</v>
      </c>
      <c r="D19" s="1">
        <f t="shared" ref="D19:L19" si="5">D16+D17-D18</f>
        <v>-2082507.267599998</v>
      </c>
      <c r="E19" s="1">
        <f t="shared" si="5"/>
        <v>1691120.0574000012</v>
      </c>
      <c r="F19" s="1">
        <f t="shared" si="5"/>
        <v>4145323.0941062411</v>
      </c>
      <c r="G19" s="1">
        <f t="shared" si="5"/>
        <v>3949131.4941062415</v>
      </c>
      <c r="H19" s="1">
        <f t="shared" si="5"/>
        <v>3948580.3941062414</v>
      </c>
      <c r="I19" s="1">
        <f t="shared" si="5"/>
        <v>3949131.4941062415</v>
      </c>
      <c r="J19" s="1">
        <f t="shared" si="5"/>
        <v>3702789.7941062413</v>
      </c>
      <c r="K19" s="1">
        <f t="shared" si="5"/>
        <v>3456999.1941062417</v>
      </c>
      <c r="L19" s="1">
        <f t="shared" si="5"/>
        <v>3456999.1941062417</v>
      </c>
    </row>
    <row r="20" spans="1:13" s="3" customFormat="1">
      <c r="A20" s="4" t="s">
        <v>2</v>
      </c>
      <c r="B20" s="1">
        <f>'Base case'!B20</f>
        <v>-1230000</v>
      </c>
      <c r="C20" s="1">
        <f>'Base case'!C20</f>
        <v>-30000</v>
      </c>
      <c r="D20" s="1">
        <f>'Base case'!D20</f>
        <v>-30000</v>
      </c>
      <c r="E20" s="1">
        <f>'Base case'!E20</f>
        <v>-30000</v>
      </c>
      <c r="F20" s="1">
        <f>'Base case'!F20</f>
        <v>-30000</v>
      </c>
      <c r="G20" s="1">
        <f>'Base case'!G20</f>
        <v>-30000</v>
      </c>
      <c r="H20" s="1">
        <f>'Base case'!H20</f>
        <v>-30000</v>
      </c>
      <c r="I20" s="1">
        <f>'Base case'!I20</f>
        <v>-30000</v>
      </c>
      <c r="J20" s="1">
        <f>'Base case'!J20</f>
        <v>-30000</v>
      </c>
      <c r="K20" s="1">
        <f>'Base case'!K20</f>
        <v>-30000</v>
      </c>
      <c r="L20" s="1">
        <f>'Base case'!L20</f>
        <v>1500000</v>
      </c>
    </row>
    <row r="21" spans="1:13" s="3" customFormat="1">
      <c r="A21" s="18" t="s">
        <v>3</v>
      </c>
      <c r="B21" s="12">
        <f>'Base case'!B21</f>
        <v>-15000000</v>
      </c>
      <c r="C21" s="12">
        <f>'Base case'!C21</f>
        <v>0</v>
      </c>
      <c r="D21" s="12">
        <f>'Base case'!D21</f>
        <v>0</v>
      </c>
      <c r="E21" s="12">
        <f>'Base case'!E21</f>
        <v>0</v>
      </c>
      <c r="F21" s="12">
        <f>'Base case'!F21</f>
        <v>0</v>
      </c>
      <c r="G21" s="12">
        <f>'Base case'!G21</f>
        <v>0</v>
      </c>
      <c r="H21" s="12">
        <f>'Base case'!H21</f>
        <v>0</v>
      </c>
      <c r="I21" s="12">
        <f>'Base case'!I21</f>
        <v>0</v>
      </c>
      <c r="J21" s="12">
        <f>'Base case'!J21</f>
        <v>0</v>
      </c>
      <c r="K21" s="12">
        <f>'Base case'!K21</f>
        <v>0</v>
      </c>
      <c r="L21" s="12">
        <f>B9</f>
        <v>632600</v>
      </c>
    </row>
    <row r="22" spans="1:13" s="3" customFormat="1" ht="13" thickBot="1">
      <c r="A22" s="22" t="s">
        <v>4</v>
      </c>
      <c r="B22" s="23">
        <f>B19+B20+B21</f>
        <v>-16230000</v>
      </c>
      <c r="C22" s="23">
        <f>C19+C20+C21</f>
        <v>-5886134.5925999992</v>
      </c>
      <c r="D22" s="23">
        <f t="shared" ref="D22:L22" si="6">D19+D20+D21</f>
        <v>-2112507.267599998</v>
      </c>
      <c r="E22" s="23">
        <f t="shared" si="6"/>
        <v>1661120.0574000012</v>
      </c>
      <c r="F22" s="23">
        <f t="shared" si="6"/>
        <v>4115323.0941062411</v>
      </c>
      <c r="G22" s="23">
        <f t="shared" si="6"/>
        <v>3919131.4941062415</v>
      </c>
      <c r="H22" s="23">
        <f t="shared" si="6"/>
        <v>3918580.3941062414</v>
      </c>
      <c r="I22" s="23">
        <f t="shared" si="6"/>
        <v>3919131.4941062415</v>
      </c>
      <c r="J22" s="23">
        <f t="shared" si="6"/>
        <v>3672789.7941062413</v>
      </c>
      <c r="K22" s="23">
        <f t="shared" si="6"/>
        <v>3426999.1941062417</v>
      </c>
      <c r="L22" s="23">
        <f t="shared" si="6"/>
        <v>5589599.1941062417</v>
      </c>
      <c r="M22" s="88" t="s">
        <v>124</v>
      </c>
    </row>
    <row r="23" spans="1:13" s="3" customFormat="1" ht="14" thickTop="1" thickBot="1">
      <c r="A23" s="4" t="str">
        <f>'Base case'!A23</f>
        <v>NPV</v>
      </c>
      <c r="B23" s="4">
        <f>B22/(1+WACC+0.02)^Pessimistic!B11</f>
        <v>-16230000</v>
      </c>
      <c r="C23" s="4">
        <f>C22/(1+WACC+0.02)^Pessimistic!C11</f>
        <v>-5235216.0800036797</v>
      </c>
      <c r="D23" s="4">
        <f>D22/(1+WACC+0.02)^Pessimistic!D11</f>
        <v>-1671117.7723552629</v>
      </c>
      <c r="E23" s="4">
        <f>E22/(1+WACC+0.02)^Pessimistic!E11</f>
        <v>1168730.2678582997</v>
      </c>
      <c r="F23" s="4">
        <f>F22/(1+WACC+0.02)^Pessimistic!F11</f>
        <v>2575263.2470827252</v>
      </c>
      <c r="G23" s="4">
        <f>G22/(1+WACC+0.02)^Pessimistic!G11</f>
        <v>2181282.6788117872</v>
      </c>
      <c r="H23" s="4">
        <f>H22/(1+WACC+0.02)^Pessimistic!H11</f>
        <v>1939792.607776809</v>
      </c>
      <c r="I23" s="4">
        <f>I22/(1+WACC+0.02)^Pessimistic!I11</f>
        <v>1725523.1766536515</v>
      </c>
      <c r="J23" s="4">
        <f>J22/(1+WACC+0.02)^Pessimistic!J11</f>
        <v>1438240.3141072565</v>
      </c>
      <c r="K23" s="4">
        <f>K22/(1+WACC+0.02)^Pessimistic!K11</f>
        <v>1193586.2590178831</v>
      </c>
      <c r="L23" s="4">
        <f>L22/(1+WACC+0.02)^Pessimistic!L11</f>
        <v>1731509.5805091453</v>
      </c>
      <c r="M23" s="87">
        <f>SUM(B23:L23)</f>
        <v>-9182405.7205413822</v>
      </c>
    </row>
    <row r="24" spans="1:13" s="3" customFormat="1">
      <c r="A24" s="4"/>
      <c r="B24" s="2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3">
      <c r="B25" s="25"/>
    </row>
    <row r="27" spans="1:13">
      <c r="A27" s="26"/>
    </row>
    <row r="29" spans="1:13">
      <c r="A29" s="27"/>
    </row>
    <row r="39" spans="12:12">
      <c r="L39" s="37" t="s">
        <v>70</v>
      </c>
    </row>
  </sheetData>
  <phoneticPr fontId="0" type="noConversion"/>
  <pageMargins left="0.25" right="0.25" top="0.5" bottom="0.5" header="0.5" footer="0.5"/>
  <pageSetup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tabSelected="1" zoomScale="96" zoomScaleNormal="96" zoomScalePageLayoutView="96" workbookViewId="0">
      <selection activeCell="G18" sqref="G18"/>
    </sheetView>
  </sheetViews>
  <sheetFormatPr baseColWidth="10" defaultColWidth="8.83203125" defaultRowHeight="12" x14ac:dyDescent="0"/>
  <cols>
    <col min="1" max="1" width="48.33203125" style="4" customWidth="1"/>
    <col min="2" max="2" width="14.83203125" style="4" customWidth="1"/>
    <col min="3" max="3" width="18.6640625" style="4" customWidth="1"/>
    <col min="4" max="4" width="16.5" style="4" bestFit="1" customWidth="1"/>
    <col min="5" max="5" width="13.1640625" style="4" customWidth="1"/>
    <col min="6" max="6" width="15.83203125" style="4" customWidth="1"/>
    <col min="7" max="7" width="8.83203125" style="4"/>
    <col min="8" max="8" width="12.33203125" style="4" bestFit="1" customWidth="1"/>
    <col min="9" max="9" width="14.5" style="4" customWidth="1"/>
    <col min="10" max="10" width="14.1640625" style="4" customWidth="1"/>
    <col min="11" max="16384" width="8.83203125" style="4"/>
  </cols>
  <sheetData>
    <row r="1" spans="1:16" ht="17">
      <c r="A1" s="28" t="s">
        <v>32</v>
      </c>
    </row>
    <row r="2" spans="1:16">
      <c r="A2" s="29" t="s">
        <v>36</v>
      </c>
      <c r="B2" s="29" t="s">
        <v>35</v>
      </c>
      <c r="C2" s="29" t="s">
        <v>33</v>
      </c>
    </row>
    <row r="3" spans="1:16">
      <c r="A3" s="4" t="s">
        <v>44</v>
      </c>
      <c r="B3" s="47">
        <v>615.25</v>
      </c>
      <c r="C3" s="30" t="s">
        <v>88</v>
      </c>
      <c r="G3" s="4" t="s">
        <v>100</v>
      </c>
      <c r="H3" s="31">
        <f>B6+B5*B7</f>
        <v>0.10739999999999998</v>
      </c>
    </row>
    <row r="4" spans="1:16">
      <c r="A4" s="4" t="s">
        <v>110</v>
      </c>
      <c r="B4" s="32">
        <v>53.78</v>
      </c>
      <c r="C4" s="48" t="s">
        <v>89</v>
      </c>
      <c r="G4" s="4" t="s">
        <v>101</v>
      </c>
      <c r="H4" s="4">
        <f>H3+(B34/B35)*(H3-D34)*(1-'Base case'!L9)</f>
        <v>0.11204564656748933</v>
      </c>
      <c r="I4" s="42" t="s">
        <v>102</v>
      </c>
    </row>
    <row r="5" spans="1:16">
      <c r="A5" s="4" t="s">
        <v>34</v>
      </c>
      <c r="B5" s="32">
        <v>1.2</v>
      </c>
      <c r="C5" s="30" t="s">
        <v>88</v>
      </c>
    </row>
    <row r="6" spans="1:16">
      <c r="A6" s="4" t="s">
        <v>68</v>
      </c>
      <c r="B6" s="89">
        <v>7.7999999999999996E-3</v>
      </c>
      <c r="C6" s="30" t="s">
        <v>90</v>
      </c>
    </row>
    <row r="7" spans="1:16">
      <c r="A7" s="4" t="s">
        <v>69</v>
      </c>
      <c r="B7" s="49">
        <f>0.118-0.035</f>
        <v>8.299999999999999E-2</v>
      </c>
      <c r="C7" s="30" t="s">
        <v>91</v>
      </c>
      <c r="D7" s="30"/>
      <c r="E7" s="4" t="s">
        <v>60</v>
      </c>
    </row>
    <row r="9" spans="1:16" ht="17">
      <c r="A9" s="68" t="s">
        <v>38</v>
      </c>
      <c r="B9" s="60"/>
      <c r="C9" s="60"/>
      <c r="D9" s="67"/>
      <c r="E9" s="60"/>
      <c r="F9" s="58"/>
      <c r="G9" s="58"/>
      <c r="H9" s="58"/>
      <c r="I9" s="50"/>
      <c r="J9" s="50"/>
      <c r="K9" s="50"/>
      <c r="L9" s="50"/>
      <c r="M9" s="50"/>
      <c r="N9" s="50"/>
      <c r="O9" s="50"/>
      <c r="P9" s="50"/>
    </row>
    <row r="10" spans="1:16" ht="15">
      <c r="A10" s="65" t="s">
        <v>39</v>
      </c>
      <c r="B10" s="65" t="s">
        <v>55</v>
      </c>
      <c r="C10" s="66" t="s">
        <v>41</v>
      </c>
      <c r="D10" s="65" t="s">
        <v>43</v>
      </c>
      <c r="E10" s="65" t="s">
        <v>42</v>
      </c>
      <c r="F10" s="65" t="s">
        <v>40</v>
      </c>
      <c r="G10" s="64" t="s">
        <v>139</v>
      </c>
      <c r="H10" s="50"/>
      <c r="I10" s="64"/>
      <c r="J10" s="64" t="s">
        <v>99</v>
      </c>
      <c r="K10" s="50"/>
      <c r="L10" s="50"/>
      <c r="M10" s="50"/>
      <c r="N10" s="50"/>
      <c r="O10" s="50"/>
      <c r="P10" s="50"/>
    </row>
    <row r="11" spans="1:16" ht="15">
      <c r="A11" s="56" t="s">
        <v>74</v>
      </c>
      <c r="B11" s="71" t="s">
        <v>104</v>
      </c>
      <c r="C11" s="60">
        <v>301</v>
      </c>
      <c r="D11" s="58">
        <f>E11/C11</f>
        <v>1.0066445182724253</v>
      </c>
      <c r="E11" s="50">
        <v>303</v>
      </c>
      <c r="F11" s="61">
        <v>6.0899999999999999E-3</v>
      </c>
      <c r="G11" s="91" t="s">
        <v>140</v>
      </c>
      <c r="H11" s="50"/>
      <c r="I11" s="57"/>
      <c r="J11" s="50">
        <f>(E11/$E$25)*F11</f>
        <v>6.6209903121636172E-4</v>
      </c>
      <c r="K11" s="42" t="s">
        <v>106</v>
      </c>
      <c r="L11" s="50"/>
      <c r="M11" s="50"/>
      <c r="N11" s="50"/>
      <c r="O11" s="50"/>
      <c r="P11" s="50"/>
    </row>
    <row r="12" spans="1:16" ht="15">
      <c r="A12" s="70" t="s">
        <v>87</v>
      </c>
      <c r="B12" s="72" t="s">
        <v>105</v>
      </c>
      <c r="C12" s="60">
        <v>14</v>
      </c>
      <c r="D12" s="58">
        <f t="shared" ref="D12:D24" si="0">E12/C12</f>
        <v>1</v>
      </c>
      <c r="E12" s="50">
        <v>14</v>
      </c>
      <c r="F12" s="62">
        <f>B28-0.45%</f>
        <v>1.3734400000000001E-2</v>
      </c>
      <c r="G12" s="91" t="s">
        <v>141</v>
      </c>
      <c r="H12" s="50"/>
      <c r="I12" s="57"/>
      <c r="J12" s="50">
        <f t="shared" ref="J12:J24" si="1">(E12/$E$25)*F12</f>
        <v>6.8992321492644429E-5</v>
      </c>
      <c r="L12" s="50"/>
      <c r="M12" s="50"/>
      <c r="N12" s="50"/>
      <c r="O12" s="50"/>
      <c r="P12" s="50"/>
    </row>
    <row r="13" spans="1:16" ht="15">
      <c r="A13" s="70" t="s">
        <v>75</v>
      </c>
      <c r="B13" s="72" t="s">
        <v>105</v>
      </c>
      <c r="C13" s="60">
        <v>8</v>
      </c>
      <c r="D13" s="58">
        <f t="shared" si="0"/>
        <v>1</v>
      </c>
      <c r="E13" s="50">
        <v>8</v>
      </c>
      <c r="F13" s="63">
        <v>3.5200000000000002E-2</v>
      </c>
      <c r="G13" s="50" t="s">
        <v>97</v>
      </c>
      <c r="H13" s="50"/>
      <c r="I13" s="57"/>
      <c r="J13" s="50">
        <f t="shared" si="1"/>
        <v>1.0104054538930751E-4</v>
      </c>
      <c r="L13" s="50"/>
      <c r="M13" s="50"/>
      <c r="N13" s="50"/>
      <c r="O13" s="50"/>
      <c r="P13" s="50"/>
    </row>
    <row r="14" spans="1:16" ht="15">
      <c r="A14" s="56" t="s">
        <v>76</v>
      </c>
      <c r="B14" s="72" t="s">
        <v>104</v>
      </c>
      <c r="C14" s="60">
        <v>301</v>
      </c>
      <c r="D14" s="58">
        <f t="shared" si="0"/>
        <v>1.0166112956810631</v>
      </c>
      <c r="E14" s="50">
        <v>306</v>
      </c>
      <c r="F14" s="61">
        <v>2.1440000000000001E-2</v>
      </c>
      <c r="G14" s="91" t="s">
        <v>140</v>
      </c>
      <c r="H14" s="50"/>
      <c r="I14" s="57"/>
      <c r="J14" s="50">
        <f t="shared" si="1"/>
        <v>2.3540150699677071E-3</v>
      </c>
      <c r="L14" s="50"/>
      <c r="M14" s="50"/>
      <c r="N14" s="50"/>
      <c r="O14" s="50"/>
      <c r="P14" s="50"/>
    </row>
    <row r="15" spans="1:16" ht="15">
      <c r="A15" s="56" t="s">
        <v>77</v>
      </c>
      <c r="B15" s="72" t="s">
        <v>105</v>
      </c>
      <c r="C15" s="60">
        <v>106</v>
      </c>
      <c r="D15" s="58">
        <f t="shared" si="0"/>
        <v>1.0094339622641511</v>
      </c>
      <c r="E15" s="50">
        <v>107</v>
      </c>
      <c r="F15" s="62">
        <v>1.49E-2</v>
      </c>
      <c r="G15" s="91" t="s">
        <v>142</v>
      </c>
      <c r="H15" s="50"/>
      <c r="I15" s="57"/>
      <c r="J15" s="50">
        <f t="shared" si="1"/>
        <v>5.7204879799067096E-4</v>
      </c>
      <c r="L15" s="50"/>
      <c r="M15" s="50"/>
      <c r="N15" s="50"/>
      <c r="O15" s="50"/>
      <c r="P15" s="50"/>
    </row>
    <row r="16" spans="1:16" ht="15">
      <c r="A16" s="56" t="s">
        <v>78</v>
      </c>
      <c r="B16" s="71" t="s">
        <v>105</v>
      </c>
      <c r="C16" s="60">
        <v>28</v>
      </c>
      <c r="D16" s="58">
        <f t="shared" si="0"/>
        <v>1.0357142857142858</v>
      </c>
      <c r="E16" s="50">
        <v>29</v>
      </c>
      <c r="F16" s="61">
        <v>6.4180000000000001E-2</v>
      </c>
      <c r="G16" s="77" t="s">
        <v>118</v>
      </c>
      <c r="H16" s="50"/>
      <c r="I16" s="57"/>
      <c r="J16" s="50">
        <f t="shared" si="1"/>
        <v>6.6782203085755294E-4</v>
      </c>
      <c r="L16" s="50"/>
      <c r="M16" s="50"/>
      <c r="N16" s="50"/>
      <c r="O16" s="50"/>
      <c r="P16" s="50"/>
    </row>
    <row r="17" spans="1:16" ht="15">
      <c r="A17" s="56" t="s">
        <v>79</v>
      </c>
      <c r="B17" s="72" t="s">
        <v>104</v>
      </c>
      <c r="C17" s="60">
        <v>492</v>
      </c>
      <c r="D17" s="58">
        <f t="shared" si="0"/>
        <v>1.0020325203252032</v>
      </c>
      <c r="E17" s="50">
        <v>493</v>
      </c>
      <c r="F17" s="61">
        <v>2.5250000000000002E-2</v>
      </c>
      <c r="G17" s="91" t="s">
        <v>140</v>
      </c>
      <c r="H17" s="50"/>
      <c r="I17" s="57"/>
      <c r="J17" s="50">
        <f t="shared" si="1"/>
        <v>4.4665410836024402E-3</v>
      </c>
      <c r="L17" s="50"/>
      <c r="M17" s="50"/>
      <c r="N17" s="50"/>
      <c r="O17" s="50"/>
      <c r="P17" s="50"/>
    </row>
    <row r="18" spans="1:16" ht="15">
      <c r="A18" s="56" t="s">
        <v>80</v>
      </c>
      <c r="B18" s="72" t="s">
        <v>105</v>
      </c>
      <c r="C18" s="60">
        <v>284</v>
      </c>
      <c r="D18" s="58">
        <f t="shared" si="0"/>
        <v>1</v>
      </c>
      <c r="E18" s="50">
        <v>284</v>
      </c>
      <c r="F18" s="62">
        <v>1.3100000000000001E-2</v>
      </c>
      <c r="G18" s="91" t="s">
        <v>142</v>
      </c>
      <c r="H18" s="50"/>
      <c r="I18" s="57"/>
      <c r="J18" s="50">
        <f t="shared" si="1"/>
        <v>1.3349120918550413E-3</v>
      </c>
      <c r="L18" s="50"/>
      <c r="M18" s="50"/>
      <c r="N18" s="50"/>
      <c r="O18" s="50"/>
      <c r="P18" s="50"/>
    </row>
    <row r="19" spans="1:16" ht="15">
      <c r="A19" s="56" t="s">
        <v>81</v>
      </c>
      <c r="B19" s="72" t="s">
        <v>105</v>
      </c>
      <c r="C19" s="60">
        <v>206</v>
      </c>
      <c r="D19" s="58">
        <f t="shared" si="0"/>
        <v>0.99029126213592233</v>
      </c>
      <c r="E19" s="50">
        <v>204</v>
      </c>
      <c r="F19" s="58"/>
      <c r="G19" s="69" t="s">
        <v>98</v>
      </c>
      <c r="H19" s="50"/>
      <c r="I19" s="57"/>
      <c r="J19" s="50">
        <f t="shared" si="1"/>
        <v>0</v>
      </c>
      <c r="L19" s="50"/>
      <c r="M19" s="50"/>
      <c r="N19" s="50"/>
      <c r="O19" s="50"/>
      <c r="P19" s="50"/>
    </row>
    <row r="20" spans="1:16" ht="15">
      <c r="A20" s="56" t="s">
        <v>82</v>
      </c>
      <c r="B20" s="72" t="s">
        <v>105</v>
      </c>
      <c r="C20" s="60">
        <v>20</v>
      </c>
      <c r="D20" s="58">
        <f t="shared" si="0"/>
        <v>1.1000000000000001</v>
      </c>
      <c r="E20" s="50">
        <v>22</v>
      </c>
      <c r="F20" s="62">
        <v>2.81E-2</v>
      </c>
      <c r="G20" s="50" t="s">
        <v>96</v>
      </c>
      <c r="H20" s="50"/>
      <c r="I20" s="57"/>
      <c r="J20" s="50">
        <f t="shared" si="1"/>
        <v>2.2181557229996411E-4</v>
      </c>
      <c r="L20" s="50"/>
      <c r="M20" s="50"/>
      <c r="N20" s="50"/>
      <c r="O20" s="50"/>
      <c r="P20" s="50"/>
    </row>
    <row r="21" spans="1:16" ht="15">
      <c r="A21" s="56" t="s">
        <v>83</v>
      </c>
      <c r="B21" s="72" t="s">
        <v>104</v>
      </c>
      <c r="C21" s="60">
        <v>324</v>
      </c>
      <c r="D21" s="58">
        <f t="shared" si="0"/>
        <v>1.117283950617284</v>
      </c>
      <c r="E21" s="50">
        <v>362</v>
      </c>
      <c r="F21" s="62">
        <v>2.01E-2</v>
      </c>
      <c r="G21" s="91" t="s">
        <v>143</v>
      </c>
      <c r="H21" s="50"/>
      <c r="I21" s="57"/>
      <c r="J21" s="50">
        <f t="shared" si="1"/>
        <v>2.6107642626480086E-3</v>
      </c>
      <c r="L21" s="50"/>
      <c r="M21" s="50"/>
      <c r="N21" s="50"/>
      <c r="O21" s="50"/>
      <c r="P21" s="50"/>
    </row>
    <row r="22" spans="1:16" ht="15">
      <c r="A22" s="56" t="s">
        <v>84</v>
      </c>
      <c r="B22" s="72" t="s">
        <v>105</v>
      </c>
      <c r="C22" s="60">
        <v>215</v>
      </c>
      <c r="D22" s="58">
        <f t="shared" si="0"/>
        <v>1</v>
      </c>
      <c r="E22" s="50">
        <v>215</v>
      </c>
      <c r="F22" s="62">
        <v>1.18E-2</v>
      </c>
      <c r="G22" s="50" t="s">
        <v>95</v>
      </c>
      <c r="H22" s="50"/>
      <c r="I22" s="57"/>
      <c r="J22" s="50">
        <f t="shared" si="1"/>
        <v>9.1029781126659493E-4</v>
      </c>
      <c r="L22" s="50"/>
      <c r="M22" s="53"/>
      <c r="N22" s="50"/>
      <c r="O22" s="50"/>
      <c r="P22" s="50"/>
    </row>
    <row r="23" spans="1:16" ht="15">
      <c r="A23" s="56" t="s">
        <v>85</v>
      </c>
      <c r="B23" s="72" t="s">
        <v>104</v>
      </c>
      <c r="C23" s="60">
        <v>300</v>
      </c>
      <c r="D23" s="58">
        <f t="shared" si="0"/>
        <v>0.94666666666666666</v>
      </c>
      <c r="E23" s="50">
        <v>284</v>
      </c>
      <c r="F23" s="61">
        <v>3.8359999999999998E-2</v>
      </c>
      <c r="G23" s="91" t="s">
        <v>140</v>
      </c>
      <c r="H23" s="50"/>
      <c r="I23" s="57"/>
      <c r="J23" s="50">
        <f t="shared" si="1"/>
        <v>3.9089486903480441E-3</v>
      </c>
      <c r="L23" s="50"/>
      <c r="M23" s="50"/>
      <c r="N23" s="50"/>
      <c r="O23" s="50"/>
      <c r="P23" s="50"/>
    </row>
    <row r="24" spans="1:16" ht="15">
      <c r="A24" s="56" t="s">
        <v>86</v>
      </c>
      <c r="B24" s="72" t="s">
        <v>104</v>
      </c>
      <c r="C24" s="60">
        <v>130</v>
      </c>
      <c r="D24" s="58">
        <f t="shared" si="0"/>
        <v>1.2</v>
      </c>
      <c r="E24" s="50">
        <v>156</v>
      </c>
      <c r="F24" s="61">
        <v>4.1689999999999998E-2</v>
      </c>
      <c r="G24" s="91" t="s">
        <v>140</v>
      </c>
      <c r="H24" s="50"/>
      <c r="I24" s="57"/>
      <c r="J24" s="50">
        <f t="shared" si="1"/>
        <v>2.3335629709364905E-3</v>
      </c>
      <c r="L24" s="50"/>
      <c r="M24" s="50"/>
      <c r="N24" s="50"/>
      <c r="O24" s="50"/>
      <c r="P24" s="50"/>
    </row>
    <row r="25" spans="1:16" ht="15">
      <c r="A25" s="56"/>
      <c r="B25" s="30"/>
      <c r="C25" s="60"/>
      <c r="D25" s="58"/>
      <c r="E25" s="59">
        <f>SUM(E11:E24)</f>
        <v>2787</v>
      </c>
      <c r="F25" s="58"/>
      <c r="G25" s="58"/>
      <c r="H25" s="50"/>
      <c r="I25" s="57" t="s">
        <v>137</v>
      </c>
      <c r="J25" s="50">
        <f>SUM(J11:J24)</f>
        <v>2.0212860279870831E-2</v>
      </c>
      <c r="K25" s="50"/>
      <c r="L25" s="50"/>
      <c r="M25" s="50"/>
      <c r="N25" s="50"/>
      <c r="O25" s="50"/>
      <c r="P25" s="50"/>
    </row>
    <row r="26" spans="1:16" ht="15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</row>
    <row r="27" spans="1:16" ht="1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6" ht="15">
      <c r="A28" s="56" t="s">
        <v>94</v>
      </c>
      <c r="B28" s="55">
        <v>1.8234400000000001E-2</v>
      </c>
      <c r="C28" s="54"/>
      <c r="D28" s="50" t="s">
        <v>93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1:16" ht="15">
      <c r="A29" s="50"/>
      <c r="B29" s="53">
        <f>B28+3.3%</f>
        <v>5.1234399999999999E-2</v>
      </c>
      <c r="C29" s="52"/>
      <c r="D29" s="90" t="s">
        <v>138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16" ht="15">
      <c r="A30" s="50"/>
      <c r="B30" s="50"/>
      <c r="C30" s="51"/>
      <c r="D30" s="50" t="s">
        <v>92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6" ht="13">
      <c r="A31" s="46"/>
      <c r="C31" s="1"/>
      <c r="E31" s="9"/>
    </row>
    <row r="32" spans="1:16" ht="17">
      <c r="A32" s="28" t="s">
        <v>9</v>
      </c>
      <c r="I32" s="60"/>
    </row>
    <row r="33" spans="1:4">
      <c r="A33" s="29"/>
      <c r="B33" s="18" t="s">
        <v>42</v>
      </c>
      <c r="C33" s="18" t="s">
        <v>6</v>
      </c>
      <c r="D33" s="18" t="s">
        <v>8</v>
      </c>
    </row>
    <row r="34" spans="1:4">
      <c r="A34" s="4" t="s">
        <v>5</v>
      </c>
      <c r="B34" s="1">
        <f>E25</f>
        <v>2787</v>
      </c>
      <c r="C34" s="5">
        <f>B34/B36</f>
        <v>7.7686097157237968E-2</v>
      </c>
      <c r="D34" s="6">
        <f>J25</f>
        <v>2.0212860279870831E-2</v>
      </c>
    </row>
    <row r="35" spans="1:4">
      <c r="A35" s="18" t="s">
        <v>32</v>
      </c>
      <c r="B35" s="2">
        <f>B3*B4</f>
        <v>33088.145000000004</v>
      </c>
      <c r="C35" s="7">
        <f>B35/B36</f>
        <v>0.92231390284276205</v>
      </c>
      <c r="D35" s="8">
        <f>H4</f>
        <v>0.11204564656748933</v>
      </c>
    </row>
    <row r="36" spans="1:4">
      <c r="A36" s="4" t="s">
        <v>7</v>
      </c>
      <c r="B36" s="9">
        <f>B35+B34</f>
        <v>35875.145000000004</v>
      </c>
      <c r="C36" s="10">
        <f>C35+C34</f>
        <v>1</v>
      </c>
    </row>
    <row r="38" spans="1:4">
      <c r="A38" s="13" t="s">
        <v>9</v>
      </c>
      <c r="B38" s="11">
        <f>(B34/B36)*(1-'Base case'!L9)*'Cost of capital'!D34+('Cost of capital'!B35/'Cost of capital'!B36)*'Cost of capital'!D35</f>
        <v>0.10433460293693585</v>
      </c>
      <c r="C38" s="42" t="s">
        <v>103</v>
      </c>
    </row>
    <row r="40" spans="1:4">
      <c r="A40" s="13" t="s">
        <v>107</v>
      </c>
    </row>
    <row r="41" spans="1:4">
      <c r="A41" s="4" t="s">
        <v>108</v>
      </c>
    </row>
    <row r="42" spans="1:4">
      <c r="A42" s="4" t="s">
        <v>109</v>
      </c>
    </row>
    <row r="63" spans="47:47">
      <c r="AU63" s="37" t="s">
        <v>70</v>
      </c>
    </row>
  </sheetData>
  <phoneticPr fontId="7" type="noConversion"/>
  <hyperlinks>
    <hyperlink ref="D29" r:id="rId1"/>
  </hyperlinks>
  <pageMargins left="0.25" right="0.25" top="0.5" bottom="0.5" header="0.5" footer="0.5"/>
  <pageSetup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6"/>
  <sheetViews>
    <sheetView zoomScale="95" zoomScaleNormal="95" zoomScalePageLayoutView="95" workbookViewId="0">
      <selection activeCell="B8" sqref="B8"/>
    </sheetView>
  </sheetViews>
  <sheetFormatPr baseColWidth="10" defaultColWidth="8.83203125" defaultRowHeight="12" x14ac:dyDescent="0"/>
  <cols>
    <col min="1" max="1" width="26.33203125" style="4" customWidth="1"/>
    <col min="2" max="3" width="13" style="4" customWidth="1"/>
    <col min="4" max="4" width="13" style="4" bestFit="1" customWidth="1"/>
    <col min="5" max="16384" width="8.83203125" style="4"/>
  </cols>
  <sheetData>
    <row r="2" spans="1:6">
      <c r="A2" s="29" t="s">
        <v>49</v>
      </c>
      <c r="B2" s="29" t="s">
        <v>46</v>
      </c>
      <c r="C2" s="29" t="s">
        <v>66</v>
      </c>
      <c r="D2" s="29" t="s">
        <v>65</v>
      </c>
    </row>
    <row r="3" spans="1:6">
      <c r="A3" s="4" t="s">
        <v>45</v>
      </c>
      <c r="B3" s="32">
        <f>1/3</f>
        <v>0.33333333333333331</v>
      </c>
      <c r="C3" s="73">
        <f>WACC</f>
        <v>0.10433460293693585</v>
      </c>
      <c r="D3" s="25">
        <f>'Base case'!M23</f>
        <v>1641525.9118710135</v>
      </c>
    </row>
    <row r="4" spans="1:6">
      <c r="A4" s="4" t="s">
        <v>47</v>
      </c>
      <c r="B4" s="32">
        <f t="shared" ref="B4:B5" si="0">1/3</f>
        <v>0.33333333333333331</v>
      </c>
      <c r="C4" s="73">
        <f>WACC</f>
        <v>0.10433460293693585</v>
      </c>
      <c r="D4" s="25">
        <f>Optimistic!M23</f>
        <v>5190558.4028474111</v>
      </c>
    </row>
    <row r="5" spans="1:6">
      <c r="A5" s="18" t="s">
        <v>48</v>
      </c>
      <c r="B5" s="33">
        <f t="shared" si="0"/>
        <v>0.33333333333333331</v>
      </c>
      <c r="C5" s="76">
        <f>C4+0.02</f>
        <v>0.12433460293693585</v>
      </c>
      <c r="D5" s="34">
        <f>Pessimistic!M23</f>
        <v>-9182405.7205413822</v>
      </c>
    </row>
    <row r="6" spans="1:6">
      <c r="C6" s="35" t="s">
        <v>50</v>
      </c>
      <c r="D6" s="1">
        <f>SUMPRODUCT(B3:B5,D3:D5)</f>
        <v>-783440.46860765247</v>
      </c>
    </row>
    <row r="7" spans="1:6">
      <c r="F7" s="4" t="s">
        <v>60</v>
      </c>
    </row>
    <row r="8" spans="1:6">
      <c r="A8" s="13" t="s">
        <v>67</v>
      </c>
      <c r="B8" s="4" t="s">
        <v>117</v>
      </c>
    </row>
    <row r="11" spans="1:6">
      <c r="A11" s="13" t="s">
        <v>51</v>
      </c>
    </row>
    <row r="12" spans="1:6">
      <c r="A12" s="4" t="s">
        <v>52</v>
      </c>
      <c r="B12" s="73">
        <f>'Cost of capital'!B4</f>
        <v>53.78</v>
      </c>
      <c r="C12" s="32"/>
    </row>
    <row r="13" spans="1:6">
      <c r="A13" s="4" t="s">
        <v>53</v>
      </c>
      <c r="B13" s="32">
        <f>'Cost of capital'!B3</f>
        <v>615.25</v>
      </c>
    </row>
    <row r="14" spans="1:6">
      <c r="A14" s="4" t="s">
        <v>59</v>
      </c>
      <c r="B14" s="36">
        <f>D6/(B13*1000000)</f>
        <v>-1.2733693110242219E-3</v>
      </c>
      <c r="C14" s="36"/>
    </row>
    <row r="15" spans="1:6">
      <c r="A15" s="4" t="s">
        <v>51</v>
      </c>
      <c r="B15" s="73">
        <f>B12+B14</f>
        <v>53.778726630688979</v>
      </c>
      <c r="C15" s="32"/>
    </row>
    <row r="36" spans="27:27">
      <c r="AA36" s="37" t="s">
        <v>70</v>
      </c>
    </row>
  </sheetData>
  <phoneticPr fontId="7" type="noConversion"/>
  <pageMargins left="0.25" right="0.25" top="0.5" bottom="0.5" header="0.5" footer="0.5"/>
  <pageSetup orientation="landscape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case</vt:lpstr>
      <vt:lpstr>Optimistic</vt:lpstr>
      <vt:lpstr>Pessimistic</vt:lpstr>
      <vt:lpstr>Cost of capital</vt:lpstr>
      <vt:lpstr>Conclusion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Southwest Airlines</dc:title>
  <dc:creator>Pommerenke</dc:creator>
  <dc:description>Winter 2014 template</dc:description>
  <cp:lastModifiedBy>Matt Speakman</cp:lastModifiedBy>
  <cp:lastPrinted>2014-02-11T20:19:01Z</cp:lastPrinted>
  <dcterms:created xsi:type="dcterms:W3CDTF">2000-09-17T16:31:43Z</dcterms:created>
  <dcterms:modified xsi:type="dcterms:W3CDTF">2017-03-22T18:44:56Z</dcterms:modified>
</cp:coreProperties>
</file>