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rsh4998/Projects/drought_decision_model/misc/"/>
    </mc:Choice>
  </mc:AlternateContent>
  <bookViews>
    <workbookView xWindow="16080" yWindow="460" windowWidth="31260" windowHeight="23060" tabRatio="653" firstSheet="1" activeTab="4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0" i="5" l="1"/>
  <c r="B9" i="13"/>
  <c r="D9" i="13"/>
  <c r="B81" i="14"/>
  <c r="D8" i="13"/>
  <c r="D10" i="13"/>
  <c r="D18" i="13"/>
  <c r="C9" i="13"/>
  <c r="E9" i="13"/>
  <c r="C81" i="14"/>
  <c r="E8" i="13"/>
  <c r="E10" i="13"/>
  <c r="E18" i="13"/>
  <c r="F9" i="13"/>
  <c r="D81" i="14"/>
  <c r="F8" i="13"/>
  <c r="F10" i="13"/>
  <c r="F18" i="13"/>
  <c r="G9" i="13"/>
  <c r="E81" i="14"/>
  <c r="G8" i="13"/>
  <c r="G10" i="13"/>
  <c r="G18" i="13"/>
  <c r="H9" i="13"/>
  <c r="F81" i="14"/>
  <c r="H8" i="13"/>
  <c r="H10" i="13"/>
  <c r="H18" i="13"/>
  <c r="I9" i="13"/>
  <c r="I8" i="13"/>
  <c r="I10" i="13"/>
  <c r="I18" i="13"/>
  <c r="J18" i="13"/>
  <c r="K18" i="13"/>
  <c r="L18" i="13"/>
  <c r="M18" i="13"/>
  <c r="N18" i="13"/>
  <c r="O18" i="13"/>
  <c r="F3" i="13"/>
  <c r="H16" i="13"/>
  <c r="I13" i="5"/>
  <c r="U11" i="5"/>
  <c r="U10" i="5"/>
  <c r="V11" i="5"/>
  <c r="I21" i="5"/>
  <c r="I22" i="5"/>
  <c r="E163" i="5"/>
  <c r="I8" i="5"/>
  <c r="U9" i="5"/>
  <c r="U14" i="5"/>
  <c r="Q164" i="5"/>
  <c r="I19" i="5"/>
  <c r="E80" i="5"/>
  <c r="E94" i="5"/>
  <c r="E109" i="5"/>
  <c r="E123" i="5"/>
  <c r="U19" i="5"/>
  <c r="Q125" i="5"/>
  <c r="I12" i="5"/>
  <c r="I33" i="5"/>
  <c r="Q81" i="5"/>
  <c r="Q96" i="5"/>
  <c r="U15" i="5"/>
  <c r="Q95" i="5"/>
  <c r="Q111" i="5"/>
  <c r="U16" i="5"/>
  <c r="Q110" i="5"/>
  <c r="Q124" i="5"/>
  <c r="Q208" i="5"/>
  <c r="Q209" i="5"/>
  <c r="Q165" i="5"/>
  <c r="Q166" i="5"/>
  <c r="Q167" i="5"/>
  <c r="Q168" i="5"/>
  <c r="Q169" i="5"/>
  <c r="Q174" i="5"/>
  <c r="Q179" i="5"/>
  <c r="Q180" i="5"/>
  <c r="I16" i="5"/>
  <c r="Q181" i="5"/>
  <c r="Q178" i="5"/>
  <c r="Q182" i="5"/>
  <c r="Q183" i="5"/>
  <c r="Q184" i="5"/>
  <c r="Q189" i="5"/>
  <c r="Q194" i="5"/>
  <c r="Q195" i="5"/>
  <c r="Q196" i="5"/>
  <c r="Q193" i="5"/>
  <c r="Q197" i="5"/>
  <c r="Q198" i="5"/>
  <c r="Q199" i="5"/>
  <c r="Q203" i="5"/>
  <c r="Q210" i="5"/>
  <c r="E177" i="5"/>
  <c r="E192" i="5"/>
  <c r="E206" i="5"/>
  <c r="Q207" i="5"/>
  <c r="Q211" i="5"/>
  <c r="T110" i="5"/>
  <c r="T195" i="5"/>
  <c r="S81" i="5"/>
  <c r="E22" i="5"/>
  <c r="U18" i="5"/>
  <c r="J9" i="13"/>
  <c r="J8" i="13"/>
  <c r="J10" i="13"/>
  <c r="K9" i="13"/>
  <c r="K8" i="13"/>
  <c r="K10" i="13"/>
  <c r="L9" i="13"/>
  <c r="L8" i="13"/>
  <c r="L10" i="13"/>
  <c r="M9" i="13"/>
  <c r="M8" i="13"/>
  <c r="M10" i="13"/>
  <c r="N9" i="13"/>
  <c r="N8" i="13"/>
  <c r="N10" i="13"/>
  <c r="O9" i="13"/>
  <c r="O8" i="13"/>
  <c r="O10" i="13"/>
  <c r="S95" i="5"/>
  <c r="Y16" i="5"/>
  <c r="Y17" i="5"/>
  <c r="AA17" i="5"/>
  <c r="AB17" i="5"/>
  <c r="P28" i="5"/>
  <c r="AA16" i="5"/>
  <c r="I45" i="5"/>
  <c r="I27" i="5"/>
  <c r="AB16" i="5"/>
  <c r="I46" i="5"/>
  <c r="U47" i="5"/>
  <c r="I9" i="5"/>
  <c r="AB37" i="5"/>
  <c r="AB39" i="5"/>
  <c r="U45" i="5"/>
  <c r="AB38" i="5"/>
  <c r="AB40" i="5"/>
  <c r="U46" i="5"/>
  <c r="I15" i="5"/>
  <c r="U48" i="5"/>
  <c r="U51" i="5"/>
  <c r="U35" i="5"/>
  <c r="S96" i="5"/>
  <c r="S111" i="5"/>
  <c r="Y18" i="5"/>
  <c r="AA18" i="5"/>
  <c r="AB18" i="5"/>
  <c r="S110" i="5"/>
  <c r="S125" i="5"/>
  <c r="Y19" i="5"/>
  <c r="AA19" i="5"/>
  <c r="AB19" i="5"/>
  <c r="S124" i="5"/>
  <c r="E137" i="5"/>
  <c r="S139" i="5"/>
  <c r="Y20" i="5"/>
  <c r="AA20" i="5"/>
  <c r="AB20" i="5"/>
  <c r="S138" i="5"/>
  <c r="S165" i="5"/>
  <c r="S166" i="5"/>
  <c r="S164" i="5"/>
  <c r="S167" i="5"/>
  <c r="S168" i="5"/>
  <c r="S169" i="5"/>
  <c r="S174" i="5"/>
  <c r="S179" i="5"/>
  <c r="S180" i="5"/>
  <c r="S181" i="5"/>
  <c r="S178" i="5"/>
  <c r="S182" i="5"/>
  <c r="S183" i="5"/>
  <c r="S184" i="5"/>
  <c r="S189" i="5"/>
  <c r="S194" i="5"/>
  <c r="S195" i="5"/>
  <c r="S196" i="5"/>
  <c r="S193" i="5"/>
  <c r="S197" i="5"/>
  <c r="S198" i="5"/>
  <c r="S199" i="5"/>
  <c r="S203" i="5"/>
  <c r="S208" i="5"/>
  <c r="S209" i="5"/>
  <c r="S210" i="5"/>
  <c r="S207" i="5"/>
  <c r="S211" i="5"/>
  <c r="S212" i="5"/>
  <c r="S213" i="5"/>
  <c r="S217" i="5"/>
  <c r="S222" i="5"/>
  <c r="S223" i="5"/>
  <c r="S224" i="5"/>
  <c r="E220" i="5"/>
  <c r="S221" i="5"/>
  <c r="S225" i="5"/>
  <c r="S226" i="5"/>
  <c r="S227" i="5"/>
  <c r="S231" i="5"/>
  <c r="I10" i="5"/>
  <c r="S158" i="5"/>
  <c r="S173" i="5"/>
  <c r="S188" i="5"/>
  <c r="S202" i="5"/>
  <c r="S216" i="5"/>
  <c r="S230" i="5"/>
  <c r="S232" i="5"/>
  <c r="U13" i="5"/>
  <c r="S159" i="5"/>
  <c r="S160" i="5"/>
  <c r="S161" i="5"/>
  <c r="S235" i="5"/>
  <c r="S75" i="5"/>
  <c r="S90" i="5"/>
  <c r="S105" i="5"/>
  <c r="S119" i="5"/>
  <c r="S133" i="5"/>
  <c r="S147" i="5"/>
  <c r="U40" i="22"/>
  <c r="R165" i="5"/>
  <c r="I29" i="5"/>
  <c r="R166" i="5"/>
  <c r="R164" i="5"/>
  <c r="R167" i="5"/>
  <c r="R168" i="5"/>
  <c r="R169" i="5"/>
  <c r="R174" i="5"/>
  <c r="R179" i="5"/>
  <c r="R180" i="5"/>
  <c r="R181" i="5"/>
  <c r="R178" i="5"/>
  <c r="R182" i="5"/>
  <c r="R183" i="5"/>
  <c r="R184" i="5"/>
  <c r="R189" i="5"/>
  <c r="R194" i="5"/>
  <c r="R195" i="5"/>
  <c r="R196" i="5"/>
  <c r="R193" i="5"/>
  <c r="R197" i="5"/>
  <c r="R198" i="5"/>
  <c r="R199" i="5"/>
  <c r="R203" i="5"/>
  <c r="R208" i="5"/>
  <c r="R209" i="5"/>
  <c r="R210" i="5"/>
  <c r="R207" i="5"/>
  <c r="R211" i="5"/>
  <c r="R212" i="5"/>
  <c r="R213" i="5"/>
  <c r="R217" i="5"/>
  <c r="R222" i="5"/>
  <c r="R223" i="5"/>
  <c r="R224" i="5"/>
  <c r="R221" i="5"/>
  <c r="R225" i="5"/>
  <c r="R226" i="5"/>
  <c r="R227" i="5"/>
  <c r="R231" i="5"/>
  <c r="R158" i="5"/>
  <c r="R173" i="5"/>
  <c r="R188" i="5"/>
  <c r="R202" i="5"/>
  <c r="R216" i="5"/>
  <c r="R230" i="5"/>
  <c r="R232" i="5"/>
  <c r="R159" i="5"/>
  <c r="R160" i="5"/>
  <c r="R161" i="5"/>
  <c r="R235" i="5"/>
  <c r="R96" i="5"/>
  <c r="R111" i="5"/>
  <c r="R125" i="5"/>
  <c r="R139" i="5"/>
  <c r="P75" i="5"/>
  <c r="P90" i="5"/>
  <c r="P105" i="5"/>
  <c r="P119" i="5"/>
  <c r="P133" i="5"/>
  <c r="P147" i="5"/>
  <c r="P81" i="5"/>
  <c r="Q75" i="5"/>
  <c r="Q90" i="5"/>
  <c r="Q105" i="5"/>
  <c r="Q119" i="5"/>
  <c r="Q133" i="5"/>
  <c r="Q147" i="5"/>
  <c r="R75" i="5"/>
  <c r="R90" i="5"/>
  <c r="R105" i="5"/>
  <c r="R119" i="5"/>
  <c r="R133" i="5"/>
  <c r="R147" i="5"/>
  <c r="R81" i="5"/>
  <c r="T75" i="5"/>
  <c r="T87" i="5"/>
  <c r="T90" i="5"/>
  <c r="T102" i="5"/>
  <c r="T105" i="5"/>
  <c r="T117" i="5"/>
  <c r="T119" i="5"/>
  <c r="T131" i="5"/>
  <c r="T133" i="5"/>
  <c r="T145" i="5"/>
  <c r="T147" i="5"/>
  <c r="U8" i="5"/>
  <c r="AC44" i="5"/>
  <c r="T81" i="5"/>
  <c r="U75" i="5"/>
  <c r="U87" i="5"/>
  <c r="U90" i="5"/>
  <c r="U105" i="5"/>
  <c r="U119" i="5"/>
  <c r="U133" i="5"/>
  <c r="U147" i="5"/>
  <c r="U81" i="5"/>
  <c r="U96" i="5"/>
  <c r="U111" i="5"/>
  <c r="U125" i="5"/>
  <c r="U139" i="5"/>
  <c r="U165" i="5"/>
  <c r="U166" i="5"/>
  <c r="U164" i="5"/>
  <c r="U167" i="5"/>
  <c r="U168" i="5"/>
  <c r="U169" i="5"/>
  <c r="U170" i="5"/>
  <c r="I17" i="5"/>
  <c r="U171" i="5"/>
  <c r="U174" i="5"/>
  <c r="U179" i="5"/>
  <c r="U181" i="5"/>
  <c r="U180" i="5"/>
  <c r="U182" i="5"/>
  <c r="U183" i="5"/>
  <c r="U184" i="5"/>
  <c r="U189" i="5"/>
  <c r="U194" i="5"/>
  <c r="U196" i="5"/>
  <c r="U195" i="5"/>
  <c r="U197" i="5"/>
  <c r="U198" i="5"/>
  <c r="U199" i="5"/>
  <c r="U203" i="5"/>
  <c r="U208" i="5"/>
  <c r="U210" i="5"/>
  <c r="U209" i="5"/>
  <c r="U211" i="5"/>
  <c r="U212" i="5"/>
  <c r="U213" i="5"/>
  <c r="U217" i="5"/>
  <c r="U222" i="5"/>
  <c r="U224" i="5"/>
  <c r="U223" i="5"/>
  <c r="U225" i="5"/>
  <c r="U226" i="5"/>
  <c r="U227" i="5"/>
  <c r="U231" i="5"/>
  <c r="U158" i="5"/>
  <c r="U173" i="5"/>
  <c r="U188" i="5"/>
  <c r="U202" i="5"/>
  <c r="U216" i="5"/>
  <c r="U230" i="5"/>
  <c r="U232" i="5"/>
  <c r="U159" i="5"/>
  <c r="U160" i="5"/>
  <c r="U161" i="5"/>
  <c r="U235" i="5"/>
  <c r="U97" i="5"/>
  <c r="U112" i="5"/>
  <c r="U126" i="5"/>
  <c r="U140" i="5"/>
  <c r="X40" i="22"/>
  <c r="T95" i="5"/>
  <c r="T96" i="5"/>
  <c r="T97" i="5"/>
  <c r="T111" i="5"/>
  <c r="T124" i="5"/>
  <c r="T125" i="5"/>
  <c r="T138" i="5"/>
  <c r="T139" i="5"/>
  <c r="T165" i="5"/>
  <c r="T166" i="5"/>
  <c r="T164" i="5"/>
  <c r="T167" i="5"/>
  <c r="T168" i="5"/>
  <c r="T169" i="5"/>
  <c r="T170" i="5"/>
  <c r="T174" i="5"/>
  <c r="T178" i="5"/>
  <c r="T179" i="5"/>
  <c r="T180" i="5"/>
  <c r="T181" i="5"/>
  <c r="T182" i="5"/>
  <c r="T183" i="5"/>
  <c r="T184" i="5"/>
  <c r="T185" i="5"/>
  <c r="T189" i="5"/>
  <c r="T193" i="5"/>
  <c r="T194" i="5"/>
  <c r="T196" i="5"/>
  <c r="T197" i="5"/>
  <c r="T198" i="5"/>
  <c r="T199" i="5"/>
  <c r="T200" i="5"/>
  <c r="T203" i="5"/>
  <c r="T207" i="5"/>
  <c r="T208" i="5"/>
  <c r="T209" i="5"/>
  <c r="T210" i="5"/>
  <c r="T211" i="5"/>
  <c r="T212" i="5"/>
  <c r="T213" i="5"/>
  <c r="T214" i="5"/>
  <c r="T217" i="5"/>
  <c r="T221" i="5"/>
  <c r="T222" i="5"/>
  <c r="T223" i="5"/>
  <c r="T224" i="5"/>
  <c r="T225" i="5"/>
  <c r="T226" i="5"/>
  <c r="T227" i="5"/>
  <c r="T228" i="5"/>
  <c r="T231" i="5"/>
  <c r="T158" i="5"/>
  <c r="T173" i="5"/>
  <c r="T188" i="5"/>
  <c r="T202" i="5"/>
  <c r="T216" i="5"/>
  <c r="T230" i="5"/>
  <c r="T232" i="5"/>
  <c r="T159" i="5"/>
  <c r="T160" i="5"/>
  <c r="T161" i="5"/>
  <c r="T235" i="5"/>
  <c r="V40" i="22"/>
  <c r="R95" i="5"/>
  <c r="R110" i="5"/>
  <c r="R124" i="5"/>
  <c r="R138" i="5"/>
  <c r="T40" i="22"/>
  <c r="Q139" i="5"/>
  <c r="Q138" i="5"/>
  <c r="Q212" i="5"/>
  <c r="Q213" i="5"/>
  <c r="Q217" i="5"/>
  <c r="Q222" i="5"/>
  <c r="Q223" i="5"/>
  <c r="Q224" i="5"/>
  <c r="Q221" i="5"/>
  <c r="Q225" i="5"/>
  <c r="Q226" i="5"/>
  <c r="Q227" i="5"/>
  <c r="Q231" i="5"/>
  <c r="Q158" i="5"/>
  <c r="Q173" i="5"/>
  <c r="Q188" i="5"/>
  <c r="Q202" i="5"/>
  <c r="Q216" i="5"/>
  <c r="Q230" i="5"/>
  <c r="Q232" i="5"/>
  <c r="Q159" i="5"/>
  <c r="Q160" i="5"/>
  <c r="Q161" i="5"/>
  <c r="Q235" i="5"/>
  <c r="R40" i="22"/>
  <c r="P95" i="5"/>
  <c r="P110" i="5"/>
  <c r="P124" i="5"/>
  <c r="P138" i="5"/>
  <c r="P166" i="5"/>
  <c r="P164" i="5"/>
  <c r="P167" i="5"/>
  <c r="P168" i="5"/>
  <c r="P169" i="5"/>
  <c r="P174" i="5"/>
  <c r="P180" i="5"/>
  <c r="P181" i="5"/>
  <c r="P178" i="5"/>
  <c r="P182" i="5"/>
  <c r="P183" i="5"/>
  <c r="P184" i="5"/>
  <c r="P189" i="5"/>
  <c r="P195" i="5"/>
  <c r="P196" i="5"/>
  <c r="P193" i="5"/>
  <c r="P197" i="5"/>
  <c r="P198" i="5"/>
  <c r="P199" i="5"/>
  <c r="P203" i="5"/>
  <c r="P209" i="5"/>
  <c r="P210" i="5"/>
  <c r="P207" i="5"/>
  <c r="P211" i="5"/>
  <c r="P212" i="5"/>
  <c r="P213" i="5"/>
  <c r="P217" i="5"/>
  <c r="P223" i="5"/>
  <c r="P224" i="5"/>
  <c r="P221" i="5"/>
  <c r="P225" i="5"/>
  <c r="P226" i="5"/>
  <c r="P227" i="5"/>
  <c r="P231" i="5"/>
  <c r="P158" i="5"/>
  <c r="P173" i="5"/>
  <c r="P188" i="5"/>
  <c r="P202" i="5"/>
  <c r="P216" i="5"/>
  <c r="P230" i="5"/>
  <c r="P232" i="5"/>
  <c r="P159" i="5"/>
  <c r="P160" i="5"/>
  <c r="P161" i="5"/>
  <c r="P235" i="5"/>
  <c r="Q40" i="22"/>
  <c r="U88" i="5"/>
  <c r="N33" i="22"/>
  <c r="N32" i="22"/>
  <c r="N31" i="22"/>
  <c r="N30" i="22"/>
  <c r="N29" i="22"/>
  <c r="N28" i="22"/>
  <c r="N40" i="22"/>
  <c r="N39" i="22"/>
  <c r="N38" i="22"/>
  <c r="N37" i="22"/>
  <c r="N36" i="22"/>
  <c r="N35" i="22"/>
  <c r="N26" i="22"/>
  <c r="N25" i="22"/>
  <c r="N24" i="22"/>
  <c r="N23" i="22"/>
  <c r="N22" i="22"/>
  <c r="N21" i="22"/>
  <c r="N19" i="22"/>
  <c r="N18" i="22"/>
  <c r="N17" i="22"/>
  <c r="N16" i="22"/>
  <c r="N15" i="22"/>
  <c r="N14" i="22"/>
  <c r="N12" i="22"/>
  <c r="N11" i="22"/>
  <c r="N10" i="22"/>
  <c r="N9" i="22"/>
  <c r="N8" i="22"/>
  <c r="N7" i="22"/>
  <c r="S204" i="5"/>
  <c r="N64" i="22"/>
  <c r="Q204" i="5"/>
  <c r="N62" i="22"/>
  <c r="N80" i="22"/>
  <c r="N79" i="22"/>
  <c r="N77" i="22"/>
  <c r="N78" i="22"/>
  <c r="N76" i="22"/>
  <c r="N75" i="22"/>
  <c r="U218" i="5"/>
  <c r="N73" i="22"/>
  <c r="T218" i="5"/>
  <c r="N72" i="22"/>
  <c r="S218" i="5"/>
  <c r="N71" i="22"/>
  <c r="R218" i="5"/>
  <c r="N70" i="22"/>
  <c r="Q218" i="5"/>
  <c r="N69" i="22"/>
  <c r="P218" i="5"/>
  <c r="N68" i="22"/>
  <c r="U204" i="5"/>
  <c r="N66" i="22"/>
  <c r="T204" i="5"/>
  <c r="N65" i="22"/>
  <c r="R204" i="5"/>
  <c r="N63" i="22"/>
  <c r="P204" i="5"/>
  <c r="N61" i="22"/>
  <c r="R190" i="5"/>
  <c r="N56" i="22"/>
  <c r="T190" i="5"/>
  <c r="N58" i="22"/>
  <c r="U190" i="5"/>
  <c r="N59" i="22"/>
  <c r="S190" i="5"/>
  <c r="N57" i="22"/>
  <c r="Q190" i="5"/>
  <c r="N55" i="22"/>
  <c r="P190" i="5"/>
  <c r="N54" i="22"/>
  <c r="U175" i="5"/>
  <c r="N52" i="22"/>
  <c r="T175" i="5"/>
  <c r="N51" i="22"/>
  <c r="S175" i="5"/>
  <c r="N50" i="22"/>
  <c r="R175" i="5"/>
  <c r="N49" i="22"/>
  <c r="Q175" i="5"/>
  <c r="N48" i="22"/>
  <c r="P175" i="5"/>
  <c r="N47" i="22"/>
  <c r="Q63" i="22"/>
  <c r="Q62" i="22"/>
  <c r="Q61" i="22"/>
  <c r="Q60" i="22"/>
  <c r="Q59" i="22"/>
  <c r="P15" i="22"/>
  <c r="P76" i="5"/>
  <c r="P77" i="5"/>
  <c r="P78" i="5"/>
  <c r="Q14" i="22"/>
  <c r="Q76" i="5"/>
  <c r="Q77" i="5"/>
  <c r="Q78" i="5"/>
  <c r="R14" i="22"/>
  <c r="R76" i="5"/>
  <c r="R77" i="5"/>
  <c r="R78" i="5"/>
  <c r="S14" i="22"/>
  <c r="S76" i="5"/>
  <c r="S77" i="5"/>
  <c r="S78" i="5"/>
  <c r="T14" i="22"/>
  <c r="T76" i="5"/>
  <c r="T77" i="5"/>
  <c r="T78" i="5"/>
  <c r="U14" i="22"/>
  <c r="U76" i="5"/>
  <c r="U77" i="5"/>
  <c r="U78" i="5"/>
  <c r="V14" i="22"/>
  <c r="P16" i="22"/>
  <c r="P17" i="22"/>
  <c r="P18" i="22"/>
  <c r="P19" i="22"/>
  <c r="I35" i="5"/>
  <c r="I34" i="5"/>
  <c r="I32" i="5"/>
  <c r="I18" i="5"/>
  <c r="I11" i="5"/>
  <c r="I37" i="5"/>
  <c r="O19" i="13"/>
  <c r="N19" i="13"/>
  <c r="M19" i="13"/>
  <c r="L19" i="13"/>
  <c r="K19" i="13"/>
  <c r="J19" i="13"/>
  <c r="I19" i="13"/>
  <c r="H19" i="13"/>
  <c r="G19" i="13"/>
  <c r="F19" i="13"/>
  <c r="E19" i="13"/>
  <c r="O17" i="13"/>
  <c r="N17" i="13"/>
  <c r="M17" i="13"/>
  <c r="L17" i="13"/>
  <c r="K17" i="13"/>
  <c r="J17" i="13"/>
  <c r="I17" i="13"/>
  <c r="H17" i="13"/>
  <c r="G17" i="13"/>
  <c r="F17" i="13"/>
  <c r="E17" i="13"/>
  <c r="E16" i="13"/>
  <c r="O16" i="13"/>
  <c r="N16" i="13"/>
  <c r="M16" i="13"/>
  <c r="L16" i="13"/>
  <c r="K16" i="13"/>
  <c r="J16" i="13"/>
  <c r="I16" i="13"/>
  <c r="G16" i="13"/>
  <c r="F16" i="13"/>
  <c r="G4" i="20"/>
  <c r="H4" i="20"/>
  <c r="I4" i="20"/>
  <c r="J4" i="20"/>
  <c r="K4" i="20"/>
  <c r="K10" i="20"/>
  <c r="I36" i="5"/>
  <c r="U38" i="5"/>
  <c r="U37" i="5"/>
  <c r="U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L81" i="14"/>
  <c r="K81" i="14"/>
  <c r="J81" i="14"/>
  <c r="G81" i="14"/>
  <c r="H81" i="14"/>
  <c r="I81" i="14"/>
  <c r="K7" i="20"/>
  <c r="K8" i="20"/>
  <c r="K9" i="20"/>
  <c r="K11" i="20"/>
  <c r="K12" i="20"/>
  <c r="K13" i="20"/>
  <c r="K14" i="20"/>
  <c r="K15" i="20"/>
  <c r="K16" i="20"/>
  <c r="K6" i="20"/>
  <c r="J7" i="20"/>
  <c r="J8" i="20"/>
  <c r="J9" i="20"/>
  <c r="J10" i="20"/>
  <c r="J11" i="20"/>
  <c r="J12" i="20"/>
  <c r="J13" i="20"/>
  <c r="J14" i="20"/>
  <c r="J15" i="20"/>
  <c r="J16" i="20"/>
  <c r="J6" i="20"/>
  <c r="I7" i="20"/>
  <c r="I8" i="20"/>
  <c r="I9" i="20"/>
  <c r="I10" i="20"/>
  <c r="I11" i="20"/>
  <c r="I12" i="20"/>
  <c r="I13" i="20"/>
  <c r="I14" i="20"/>
  <c r="I15" i="20"/>
  <c r="I16" i="20"/>
  <c r="I6" i="20"/>
  <c r="H7" i="20"/>
  <c r="H8" i="20"/>
  <c r="H9" i="20"/>
  <c r="H10" i="20"/>
  <c r="H11" i="20"/>
  <c r="H12" i="20"/>
  <c r="H13" i="20"/>
  <c r="H14" i="20"/>
  <c r="H15" i="20"/>
  <c r="H16" i="20"/>
  <c r="H6" i="20"/>
  <c r="G6" i="20"/>
  <c r="G7" i="20"/>
  <c r="G8" i="20"/>
  <c r="G9" i="20"/>
  <c r="G10" i="20"/>
  <c r="G11" i="20"/>
  <c r="G12" i="20"/>
  <c r="G13" i="20"/>
  <c r="G14" i="20"/>
  <c r="G15" i="20"/>
  <c r="G16" i="20"/>
  <c r="D19" i="13"/>
  <c r="D17" i="13"/>
  <c r="D16" i="13"/>
  <c r="D3" i="13"/>
  <c r="E3" i="13"/>
  <c r="G3" i="13"/>
  <c r="B83" i="14"/>
  <c r="Y57" i="5"/>
  <c r="F7" i="20"/>
  <c r="U64" i="5"/>
  <c r="T64" i="5"/>
  <c r="U61" i="5"/>
  <c r="T61" i="5"/>
  <c r="U57" i="5"/>
  <c r="T57" i="5"/>
  <c r="AC47" i="5"/>
  <c r="AC43" i="5"/>
  <c r="AC45" i="5"/>
  <c r="U56" i="5"/>
  <c r="T46" i="5"/>
  <c r="AB33" i="5"/>
  <c r="T48" i="5"/>
  <c r="AC8" i="5"/>
  <c r="C83" i="14"/>
  <c r="D83" i="14"/>
  <c r="E83" i="14"/>
  <c r="T47" i="5"/>
  <c r="U65" i="5"/>
  <c r="T65" i="5"/>
  <c r="AC49" i="5"/>
  <c r="AC51" i="5"/>
  <c r="AC52" i="5"/>
  <c r="U58" i="5"/>
  <c r="T58" i="5"/>
  <c r="AC57" i="5"/>
  <c r="X86" i="5"/>
  <c r="T45" i="5"/>
  <c r="F83" i="14"/>
  <c r="G83" i="14"/>
  <c r="H83" i="14"/>
  <c r="I83" i="14"/>
  <c r="J83" i="14"/>
  <c r="K83" i="14"/>
  <c r="L83" i="14"/>
  <c r="M83" i="14"/>
  <c r="X5" i="5"/>
  <c r="AA57" i="5"/>
  <c r="AD57" i="5"/>
  <c r="AB57" i="5"/>
  <c r="F15" i="20"/>
  <c r="AA21" i="5"/>
  <c r="I51" i="5"/>
  <c r="F6" i="20"/>
  <c r="F8" i="20"/>
  <c r="F9" i="20"/>
  <c r="F10" i="20"/>
  <c r="F11" i="20"/>
  <c r="F12" i="20"/>
  <c r="F13" i="20"/>
  <c r="F14" i="20"/>
  <c r="F16" i="20"/>
  <c r="AB21" i="5"/>
  <c r="Z57" i="5"/>
  <c r="AC53" i="5"/>
  <c r="AC54" i="5"/>
  <c r="U62" i="5"/>
  <c r="T50" i="5"/>
  <c r="T51" i="5"/>
  <c r="X58" i="5"/>
  <c r="P27" i="5"/>
  <c r="T27" i="5"/>
  <c r="U27" i="5"/>
  <c r="U59" i="5"/>
  <c r="T59" i="5"/>
  <c r="AB32" i="5"/>
  <c r="AB35" i="5"/>
  <c r="AB34" i="5"/>
  <c r="AB36" i="5"/>
  <c r="U49" i="5"/>
  <c r="T49" i="5"/>
  <c r="T56" i="5"/>
  <c r="AC48" i="5"/>
  <c r="U63" i="5"/>
  <c r="T63" i="5"/>
  <c r="T62" i="5"/>
  <c r="U60" i="5"/>
  <c r="T60" i="5"/>
  <c r="P29" i="5"/>
  <c r="I50" i="5"/>
  <c r="X87" i="5"/>
  <c r="X59" i="5"/>
  <c r="T66" i="5"/>
  <c r="T67" i="5"/>
  <c r="U66" i="5"/>
  <c r="U67" i="5"/>
  <c r="X60" i="5"/>
  <c r="X88" i="5"/>
  <c r="E5" i="12"/>
  <c r="T28" i="5"/>
  <c r="U28" i="5"/>
  <c r="T29" i="5"/>
  <c r="U29" i="5"/>
  <c r="X89" i="5"/>
  <c r="X61" i="5"/>
  <c r="X90" i="5"/>
  <c r="X62" i="5"/>
  <c r="P236" i="5"/>
  <c r="Q236" i="5"/>
  <c r="R236" i="5"/>
  <c r="S236" i="5"/>
  <c r="T236" i="5"/>
  <c r="U236" i="5"/>
  <c r="U34" i="5" a="1"/>
  <c r="U34" i="5"/>
  <c r="T82" i="5"/>
  <c r="U32" i="5" a="1"/>
  <c r="U32" i="5"/>
  <c r="U33" i="5"/>
  <c r="T83" i="5"/>
  <c r="T84" i="5"/>
  <c r="T85" i="5"/>
  <c r="T86" i="5"/>
  <c r="T91" i="5"/>
  <c r="T98" i="5"/>
  <c r="T99" i="5"/>
  <c r="T100" i="5"/>
  <c r="T101" i="5"/>
  <c r="T106" i="5"/>
  <c r="T112" i="5"/>
  <c r="T113" i="5"/>
  <c r="T114" i="5"/>
  <c r="T115" i="5"/>
  <c r="T116" i="5"/>
  <c r="T120" i="5"/>
  <c r="T126" i="5"/>
  <c r="T127" i="5"/>
  <c r="T128" i="5"/>
  <c r="T129" i="5"/>
  <c r="T130" i="5"/>
  <c r="T134" i="5"/>
  <c r="T140" i="5"/>
  <c r="T141" i="5"/>
  <c r="T142" i="5"/>
  <c r="T143" i="5"/>
  <c r="T144" i="5"/>
  <c r="T148" i="5"/>
  <c r="T149" i="5"/>
  <c r="T152" i="5"/>
  <c r="V39" i="22"/>
  <c r="R82" i="5"/>
  <c r="R83" i="5"/>
  <c r="R84" i="5"/>
  <c r="R85" i="5"/>
  <c r="R86" i="5"/>
  <c r="R91" i="5"/>
  <c r="R97" i="5"/>
  <c r="R98" i="5"/>
  <c r="R99" i="5"/>
  <c r="R100" i="5"/>
  <c r="R101" i="5"/>
  <c r="R106" i="5"/>
  <c r="R112" i="5"/>
  <c r="R113" i="5"/>
  <c r="R114" i="5"/>
  <c r="R115" i="5"/>
  <c r="R116" i="5"/>
  <c r="R120" i="5"/>
  <c r="R126" i="5"/>
  <c r="R127" i="5"/>
  <c r="R128" i="5"/>
  <c r="R129" i="5"/>
  <c r="R130" i="5"/>
  <c r="R134" i="5"/>
  <c r="R140" i="5"/>
  <c r="R141" i="5"/>
  <c r="R142" i="5"/>
  <c r="R143" i="5"/>
  <c r="R144" i="5"/>
  <c r="R148" i="5"/>
  <c r="R149" i="5"/>
  <c r="R152" i="5"/>
  <c r="T39" i="22"/>
  <c r="Q82" i="5"/>
  <c r="Q83" i="5"/>
  <c r="Q84" i="5"/>
  <c r="Q85" i="5"/>
  <c r="Q86" i="5"/>
  <c r="Q91" i="5"/>
  <c r="Q97" i="5"/>
  <c r="Q98" i="5"/>
  <c r="Q99" i="5"/>
  <c r="Q100" i="5"/>
  <c r="Q101" i="5"/>
  <c r="Q106" i="5"/>
  <c r="Q112" i="5"/>
  <c r="Q113" i="5"/>
  <c r="Q114" i="5"/>
  <c r="Q115" i="5"/>
  <c r="Q116" i="5"/>
  <c r="Q120" i="5"/>
  <c r="Q126" i="5"/>
  <c r="Q127" i="5"/>
  <c r="Q128" i="5"/>
  <c r="Q129" i="5"/>
  <c r="Q130" i="5"/>
  <c r="Q134" i="5"/>
  <c r="Q140" i="5"/>
  <c r="Q141" i="5"/>
  <c r="Q142" i="5"/>
  <c r="Q143" i="5"/>
  <c r="Q144" i="5"/>
  <c r="Q148" i="5"/>
  <c r="Q149" i="5"/>
  <c r="Q152" i="5"/>
  <c r="R39" i="22"/>
  <c r="S82" i="5"/>
  <c r="S83" i="5"/>
  <c r="S84" i="5"/>
  <c r="S85" i="5"/>
  <c r="S86" i="5"/>
  <c r="S91" i="5"/>
  <c r="S97" i="5"/>
  <c r="S98" i="5"/>
  <c r="S99" i="5"/>
  <c r="S100" i="5"/>
  <c r="S101" i="5"/>
  <c r="S106" i="5"/>
  <c r="S112" i="5"/>
  <c r="S113" i="5"/>
  <c r="S114" i="5"/>
  <c r="S115" i="5"/>
  <c r="S116" i="5"/>
  <c r="S120" i="5"/>
  <c r="S126" i="5"/>
  <c r="S127" i="5"/>
  <c r="S128" i="5"/>
  <c r="S129" i="5"/>
  <c r="S130" i="5"/>
  <c r="S134" i="5"/>
  <c r="S140" i="5"/>
  <c r="S141" i="5"/>
  <c r="S142" i="5"/>
  <c r="S143" i="5"/>
  <c r="S144" i="5"/>
  <c r="S148" i="5"/>
  <c r="S149" i="5"/>
  <c r="S152" i="5"/>
  <c r="U39" i="22"/>
  <c r="U82" i="5"/>
  <c r="U83" i="5"/>
  <c r="U84" i="5"/>
  <c r="U85" i="5"/>
  <c r="U86" i="5"/>
  <c r="U91" i="5"/>
  <c r="U98" i="5"/>
  <c r="U99" i="5"/>
  <c r="U100" i="5"/>
  <c r="U101" i="5"/>
  <c r="U106" i="5"/>
  <c r="U113" i="5"/>
  <c r="U114" i="5"/>
  <c r="U115" i="5"/>
  <c r="U116" i="5"/>
  <c r="U120" i="5"/>
  <c r="U127" i="5"/>
  <c r="U128" i="5"/>
  <c r="U129" i="5"/>
  <c r="U130" i="5"/>
  <c r="U134" i="5"/>
  <c r="U141" i="5"/>
  <c r="U142" i="5"/>
  <c r="U143" i="5"/>
  <c r="U144" i="5"/>
  <c r="U148" i="5"/>
  <c r="U149" i="5"/>
  <c r="U152" i="5"/>
  <c r="X39" i="22"/>
  <c r="M40" i="22"/>
  <c r="M39" i="22"/>
  <c r="M38" i="22"/>
  <c r="M37" i="22"/>
  <c r="M36" i="22"/>
  <c r="M31" i="22"/>
  <c r="M30" i="22"/>
  <c r="M32" i="22"/>
  <c r="M33" i="22"/>
  <c r="M26" i="22"/>
  <c r="M25" i="22"/>
  <c r="M24" i="22"/>
  <c r="M23" i="22"/>
  <c r="M22" i="22"/>
  <c r="M19" i="22"/>
  <c r="M18" i="22"/>
  <c r="M17" i="22"/>
  <c r="M16" i="22"/>
  <c r="M15" i="22"/>
  <c r="M12" i="22"/>
  <c r="M11" i="22"/>
  <c r="M10" i="22"/>
  <c r="M9" i="22"/>
  <c r="M8" i="22"/>
  <c r="M80" i="22"/>
  <c r="M79" i="22"/>
  <c r="M78" i="22"/>
  <c r="M77" i="22"/>
  <c r="M76" i="22"/>
  <c r="U135" i="5"/>
  <c r="M73" i="22"/>
  <c r="T135" i="5"/>
  <c r="M72" i="22"/>
  <c r="S135" i="5"/>
  <c r="M71" i="22"/>
  <c r="R135" i="5"/>
  <c r="M70" i="22"/>
  <c r="Q135" i="5"/>
  <c r="M69" i="22"/>
  <c r="U121" i="5"/>
  <c r="M66" i="22"/>
  <c r="T121" i="5"/>
  <c r="M65" i="22"/>
  <c r="S121" i="5"/>
  <c r="M64" i="22"/>
  <c r="R121" i="5"/>
  <c r="M63" i="22"/>
  <c r="Q121" i="5"/>
  <c r="M62" i="22"/>
  <c r="U107" i="5"/>
  <c r="M59" i="22"/>
  <c r="T107" i="5"/>
  <c r="M58" i="22"/>
  <c r="S107" i="5"/>
  <c r="M57" i="22"/>
  <c r="R107" i="5"/>
  <c r="M56" i="22"/>
  <c r="Q107" i="5"/>
  <c r="M55" i="22"/>
  <c r="R92" i="5"/>
  <c r="M52" i="22"/>
  <c r="T92" i="5"/>
  <c r="M51" i="22"/>
  <c r="S92" i="5"/>
  <c r="M50" i="22"/>
  <c r="M49" i="22"/>
  <c r="Q92" i="5"/>
  <c r="M48" i="22"/>
  <c r="R15" i="22"/>
  <c r="S15" i="22"/>
  <c r="T15" i="22"/>
  <c r="U15" i="22"/>
  <c r="U92" i="5"/>
  <c r="V15" i="22"/>
  <c r="R16" i="22"/>
  <c r="S16" i="22"/>
  <c r="T16" i="22"/>
  <c r="U16" i="22"/>
  <c r="V16" i="22"/>
  <c r="R17" i="22"/>
  <c r="S17" i="22"/>
  <c r="T17" i="22"/>
  <c r="U17" i="22"/>
  <c r="V17" i="22"/>
  <c r="R18" i="22"/>
  <c r="S18" i="22"/>
  <c r="T18" i="22"/>
  <c r="U18" i="22"/>
  <c r="V18" i="22"/>
  <c r="R19" i="22"/>
  <c r="S19" i="22"/>
  <c r="T19" i="22"/>
  <c r="U19" i="22"/>
  <c r="V19" i="22"/>
  <c r="AC86" i="5"/>
  <c r="AA86" i="5"/>
  <c r="AB86" i="5"/>
  <c r="AC58" i="5"/>
  <c r="AD86" i="5"/>
  <c r="AA87" i="5"/>
  <c r="AB58" i="5"/>
  <c r="Z86" i="5"/>
  <c r="AD58" i="5"/>
  <c r="AB87" i="5"/>
  <c r="AA58" i="5"/>
  <c r="Z87" i="5"/>
  <c r="Z58" i="5"/>
  <c r="AB59" i="5"/>
  <c r="AD87" i="5"/>
  <c r="AC87" i="5"/>
  <c r="AA59" i="5"/>
  <c r="AD59" i="5"/>
  <c r="AB88" i="5"/>
  <c r="AC59" i="5"/>
  <c r="AA88" i="5"/>
  <c r="Z59" i="5"/>
  <c r="Z88" i="5"/>
  <c r="AC88" i="5"/>
  <c r="AD88" i="5"/>
  <c r="AB89" i="5"/>
  <c r="AA89" i="5"/>
  <c r="S153" i="5"/>
  <c r="AB60" i="5"/>
  <c r="AA60" i="5"/>
  <c r="R153" i="5"/>
  <c r="Z60" i="5"/>
  <c r="AB61" i="5"/>
  <c r="AA61" i="5"/>
  <c r="AC89" i="5"/>
  <c r="Z89" i="5"/>
  <c r="U153" i="5"/>
  <c r="AD60" i="5"/>
  <c r="AD89" i="5"/>
  <c r="T153" i="5"/>
  <c r="AC60" i="5"/>
  <c r="Q153" i="5"/>
  <c r="Z61" i="5"/>
  <c r="AB90" i="5"/>
  <c r="AD61" i="5"/>
  <c r="AC61" i="5"/>
  <c r="AA90" i="5"/>
  <c r="AB62" i="5"/>
  <c r="AA62" i="5"/>
  <c r="AD90" i="5"/>
  <c r="Z90" i="5"/>
  <c r="AC90" i="5"/>
  <c r="AD62" i="5"/>
  <c r="AC62" i="5"/>
  <c r="E2" i="12"/>
  <c r="Z62" i="5"/>
  <c r="S59" i="22"/>
  <c r="T59" i="22"/>
  <c r="U59" i="22"/>
  <c r="V59" i="22"/>
  <c r="W59" i="22"/>
  <c r="S60" i="22"/>
  <c r="T60" i="22"/>
  <c r="U60" i="22"/>
  <c r="V60" i="22"/>
  <c r="W60" i="22"/>
  <c r="S61" i="22"/>
  <c r="T61" i="22"/>
  <c r="U61" i="22"/>
  <c r="V61" i="22"/>
  <c r="W61" i="22"/>
  <c r="S62" i="22"/>
  <c r="T62" i="22"/>
  <c r="U62" i="22"/>
  <c r="V62" i="22"/>
  <c r="W62" i="22"/>
  <c r="S63" i="22"/>
  <c r="T63" i="22"/>
  <c r="W63" i="22"/>
  <c r="V63" i="22"/>
  <c r="U63" i="22"/>
  <c r="P83" i="5"/>
  <c r="P84" i="5"/>
  <c r="P85" i="5"/>
  <c r="P86" i="5"/>
  <c r="P91" i="5"/>
  <c r="P97" i="5"/>
  <c r="P98" i="5"/>
  <c r="P99" i="5"/>
  <c r="P100" i="5"/>
  <c r="P101" i="5"/>
  <c r="P106" i="5"/>
  <c r="P112" i="5"/>
  <c r="P113" i="5"/>
  <c r="P114" i="5"/>
  <c r="P115" i="5"/>
  <c r="P116" i="5"/>
  <c r="P120" i="5"/>
  <c r="P126" i="5"/>
  <c r="P127" i="5"/>
  <c r="P128" i="5"/>
  <c r="P129" i="5"/>
  <c r="P130" i="5"/>
  <c r="P134" i="5"/>
  <c r="P140" i="5"/>
  <c r="P141" i="5"/>
  <c r="P142" i="5"/>
  <c r="P143" i="5"/>
  <c r="P144" i="5"/>
  <c r="P148" i="5"/>
  <c r="P149" i="5"/>
  <c r="P152" i="5"/>
  <c r="Q39" i="22"/>
  <c r="M28" i="22"/>
  <c r="M35" i="22"/>
  <c r="M21" i="22"/>
  <c r="M14" i="22"/>
  <c r="M7" i="22"/>
  <c r="M75" i="22"/>
  <c r="P135" i="5"/>
  <c r="M68" i="22"/>
  <c r="P121" i="5"/>
  <c r="M61" i="22"/>
  <c r="P107" i="5"/>
  <c r="M54" i="22"/>
  <c r="P92" i="5"/>
  <c r="M47" i="22"/>
  <c r="U39" i="5"/>
  <c r="R63" i="22"/>
  <c r="R62" i="22"/>
  <c r="R61" i="22"/>
  <c r="R60" i="22"/>
  <c r="R59" i="22"/>
  <c r="W58" i="22"/>
  <c r="V58" i="22"/>
  <c r="U58" i="22"/>
  <c r="T58" i="22"/>
  <c r="S58" i="22"/>
  <c r="R58" i="22"/>
  <c r="Y62" i="5"/>
  <c r="Y90" i="5"/>
  <c r="Y61" i="5"/>
  <c r="P153" i="5"/>
  <c r="Y60" i="5"/>
  <c r="Y89" i="5"/>
  <c r="Y88" i="5"/>
  <c r="Y59" i="5"/>
  <c r="Y87" i="5"/>
  <c r="Y58" i="5"/>
  <c r="AC85" i="5"/>
  <c r="Y86" i="5"/>
  <c r="Z85" i="5"/>
  <c r="AB85" i="5"/>
  <c r="AD85" i="5"/>
  <c r="AA85" i="5"/>
  <c r="Q19" i="22"/>
  <c r="Q18" i="22"/>
  <c r="Q17" i="22"/>
  <c r="Q16" i="22"/>
  <c r="Q15" i="22"/>
  <c r="Y85" i="5"/>
  <c r="U40" i="5"/>
  <c r="M29" i="22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<sst xmlns="http://schemas.openxmlformats.org/spreadsheetml/2006/main" count="592" uniqueCount="313">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</sst>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_(* #,##0_);_(* \(#,##0\);_(* &quot;-&quot;??_);_(@_)"/>
    <numFmt numFmtId="171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1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6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6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41" fontId="12" fillId="4" borderId="1" xfId="0" applyNumberFormat="1" applyFont="1" applyFill="1" applyBorder="1" applyProtection="1">
      <protection locked="0"/>
    </xf>
    <xf numFmtId="8" fontId="12" fillId="4" borderId="1" xfId="2" applyNumberFormat="1" applyFont="1" applyFill="1" applyBorder="1" applyProtection="1">
      <protection locked="0"/>
    </xf>
    <xf numFmtId="6" fontId="12" fillId="4" borderId="1" xfId="2" applyNumberFormat="1" applyFont="1" applyFill="1" applyBorder="1" applyProtection="1">
      <protection locked="0"/>
    </xf>
    <xf numFmtId="6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8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6" fontId="0" fillId="7" borderId="2" xfId="0" applyNumberFormat="1" applyFill="1" applyBorder="1"/>
    <xf numFmtId="6" fontId="0" fillId="7" borderId="5" xfId="0" applyNumberFormat="1" applyFill="1" applyBorder="1"/>
    <xf numFmtId="6" fontId="0" fillId="7" borderId="8" xfId="0" applyNumberFormat="1" applyFill="1" applyBorder="1"/>
    <xf numFmtId="6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6" fontId="0" fillId="7" borderId="0" xfId="0" applyNumberFormat="1" applyFill="1" applyBorder="1"/>
    <xf numFmtId="0" fontId="0" fillId="7" borderId="8" xfId="0" applyFill="1" applyBorder="1"/>
    <xf numFmtId="164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4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4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6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68" fontId="9" fillId="19" borderId="13" xfId="0" applyNumberFormat="1" applyFont="1" applyFill="1" applyBorder="1" applyAlignment="1">
      <alignment horizontal="left" indent="1"/>
    </xf>
    <xf numFmtId="168" fontId="9" fillId="19" borderId="0" xfId="0" applyNumberFormat="1" applyFont="1" applyFill="1" applyBorder="1" applyAlignment="1">
      <alignment horizontal="left" indent="1"/>
    </xf>
    <xf numFmtId="168" fontId="0" fillId="19" borderId="0" xfId="0" applyNumberFormat="1" applyFont="1" applyFill="1" applyBorder="1" applyAlignment="1">
      <alignment horizontal="left" indent="1"/>
    </xf>
    <xf numFmtId="168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44" fontId="12" fillId="18" borderId="1" xfId="2" applyFont="1" applyFill="1" applyBorder="1" applyAlignment="1" applyProtection="1">
      <alignment horizontal="right"/>
      <protection locked="0"/>
    </xf>
    <xf numFmtId="8" fontId="5" fillId="18" borderId="1" xfId="2" applyNumberFormat="1" applyFont="1" applyFill="1" applyBorder="1" applyProtection="1">
      <protection locked="0"/>
    </xf>
    <xf numFmtId="41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69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8" fontId="19" fillId="18" borderId="8" xfId="0" applyNumberFormat="1" applyFont="1" applyFill="1" applyBorder="1" applyProtection="1"/>
    <xf numFmtId="44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4" fontId="21" fillId="13" borderId="27" xfId="5" applyNumberFormat="1" applyBorder="1" applyAlignment="1" applyProtection="1">
      <alignment horizontal="right"/>
      <protection locked="0"/>
    </xf>
    <xf numFmtId="164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4" fontId="17" fillId="7" borderId="5" xfId="0" applyNumberFormat="1" applyFont="1" applyFill="1" applyBorder="1" applyAlignment="1">
      <alignment horizontal="right"/>
    </xf>
    <xf numFmtId="164" fontId="0" fillId="7" borderId="7" xfId="0" applyNumberFormat="1" applyFill="1" applyBorder="1"/>
    <xf numFmtId="164" fontId="0" fillId="7" borderId="0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4" fontId="19" fillId="5" borderId="5" xfId="0" applyNumberFormat="1" applyFont="1" applyFill="1" applyBorder="1" applyProtection="1"/>
    <xf numFmtId="164" fontId="19" fillId="5" borderId="8" xfId="0" applyNumberFormat="1" applyFont="1" applyFill="1" applyBorder="1" applyProtection="1"/>
    <xf numFmtId="164" fontId="19" fillId="18" borderId="5" xfId="0" applyNumberFormat="1" applyFont="1" applyFill="1" applyBorder="1" applyProtection="1"/>
    <xf numFmtId="164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69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6" fontId="0" fillId="22" borderId="1" xfId="0" applyNumberFormat="1" applyFill="1" applyBorder="1"/>
    <xf numFmtId="9" fontId="0" fillId="22" borderId="1" xfId="0" applyNumberFormat="1" applyFill="1" applyBorder="1"/>
    <xf numFmtId="8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8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0" fontId="0" fillId="5" borderId="1" xfId="1" applyNumberFormat="1" applyFont="1" applyFill="1" applyBorder="1"/>
    <xf numFmtId="170" fontId="0" fillId="25" borderId="19" xfId="1" applyNumberFormat="1" applyFont="1" applyFill="1" applyBorder="1"/>
    <xf numFmtId="170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1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6" fontId="0" fillId="26" borderId="9" xfId="0" applyNumberFormat="1" applyFill="1" applyBorder="1"/>
    <xf numFmtId="9" fontId="0" fillId="26" borderId="9" xfId="0" applyNumberFormat="1" applyFill="1" applyBorder="1"/>
    <xf numFmtId="8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8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0" fontId="7" fillId="25" borderId="19" xfId="1" applyNumberFormat="1" applyFont="1" applyFill="1" applyBorder="1"/>
    <xf numFmtId="171" fontId="0" fillId="5" borderId="29" xfId="1" applyNumberFormat="1" applyFont="1" applyFill="1" applyBorder="1" applyAlignment="1"/>
    <xf numFmtId="171" fontId="0" fillId="5" borderId="19" xfId="1" applyNumberFormat="1" applyFont="1" applyFill="1" applyBorder="1" applyAlignment="1"/>
    <xf numFmtId="171" fontId="0" fillId="5" borderId="29" xfId="0" applyNumberFormat="1" applyFill="1" applyBorder="1" applyAlignment="1"/>
    <xf numFmtId="171" fontId="0" fillId="5" borderId="19" xfId="0" applyNumberFormat="1" applyFill="1" applyBorder="1" applyAlignment="1"/>
    <xf numFmtId="171" fontId="0" fillId="25" borderId="1" xfId="1" applyNumberFormat="1" applyFont="1" applyFill="1" applyBorder="1"/>
    <xf numFmtId="171" fontId="0" fillId="25" borderId="29" xfId="0" applyNumberFormat="1" applyFill="1" applyBorder="1" applyAlignment="1"/>
    <xf numFmtId="171" fontId="0" fillId="25" borderId="19" xfId="0" applyNumberFormat="1" applyFill="1" applyBorder="1" applyAlignment="1"/>
    <xf numFmtId="171" fontId="0" fillId="25" borderId="1" xfId="0" applyNumberFormat="1" applyFill="1" applyBorder="1"/>
    <xf numFmtId="0" fontId="39" fillId="22" borderId="7" xfId="0" applyFont="1" applyFill="1" applyBorder="1"/>
    <xf numFmtId="167" fontId="0" fillId="22" borderId="1" xfId="0" applyNumberFormat="1" applyFill="1" applyBorder="1"/>
    <xf numFmtId="168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4" fontId="0" fillId="0" borderId="0" xfId="0" applyNumberFormat="1" applyProtection="1"/>
    <xf numFmtId="0" fontId="2" fillId="27" borderId="0" xfId="16" applyFont="1" applyFill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"/>
          <c:y val="0.0300362492798156"/>
          <c:w val="0.551914188218074"/>
          <c:h val="0.785117390051853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89-49F5-B99C-58455B98FCCE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55138.57230900967</c:v>
                </c:pt>
                <c:pt idx="2">
                  <c:v>31140.17975754976</c:v>
                </c:pt>
                <c:pt idx="3">
                  <c:v>31407.20679897075</c:v>
                </c:pt>
                <c:pt idx="4">
                  <c:v>31676.52359727192</c:v>
                </c:pt>
                <c:pt idx="5">
                  <c:v>31948.14978711853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89-49F5-B99C-58455B98FCC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789-49F5-B99C-58455B98FCC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-28067.820596812</c:v>
                </c:pt>
                <c:pt idx="2">
                  <c:v>28842.95816120723</c:v>
                </c:pt>
                <c:pt idx="3">
                  <c:v>30129.06566561545</c:v>
                </c:pt>
                <c:pt idx="4">
                  <c:v>30822.20384685486</c:v>
                </c:pt>
                <c:pt idx="5">
                  <c:v>30822.20384685486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789-49F5-B99C-58455B98FCCE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37906.03097701045</c:v>
                </c:pt>
                <c:pt idx="4">
                  <c:v>38231.07519263832</c:v>
                </c:pt>
                <c:pt idx="5">
                  <c:v>38558.90666241519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789-49F5-B99C-58455B98FCCE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789-49F5-B99C-58455B9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1521856"/>
        <c:axId val="-2086891456"/>
      </c:lineChart>
      <c:catAx>
        <c:axId val="-201152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86891456"/>
        <c:crosses val="autoZero"/>
        <c:auto val="1"/>
        <c:lblAlgn val="ctr"/>
        <c:lblOffset val="100"/>
        <c:noMultiLvlLbl val="0"/>
      </c:catAx>
      <c:valAx>
        <c:axId val="-2086891456"/>
        <c:scaling>
          <c:orientation val="minMax"/>
          <c:max val="150000.0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011521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8"/>
          <c:y val="0.240095304397926"/>
          <c:w val="0.236220187150519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DE-4C3E-BC22-32B29CF6C3AA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547825.0606039806</c:v>
                </c:pt>
                <c:pt idx="2">
                  <c:v>569187.2239176597</c:v>
                </c:pt>
                <c:pt idx="3">
                  <c:v>590732.5677817537</c:v>
                </c:pt>
                <c:pt idx="4">
                  <c:v>612462.6629694822</c:v>
                </c:pt>
                <c:pt idx="5">
                  <c:v>634379.0937234455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DE-4C3E-BC22-32B29CF6C3AA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FDE-4C3E-BC22-32B29CF6C3AA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501718.4487017762</c:v>
                </c:pt>
                <c:pt idx="3">
                  <c:v>522386.9877483884</c:v>
                </c:pt>
                <c:pt idx="4">
                  <c:v>543531.0195873307</c:v>
                </c:pt>
                <c:pt idx="5">
                  <c:v>564856.3614992921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FDE-4C3E-BC22-32B29CF6C3AA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605096.695411065</c:v>
                </c:pt>
                <c:pt idx="4">
                  <c:v>631323.2129932148</c:v>
                </c:pt>
                <c:pt idx="5">
                  <c:v>657774.6229636316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FDE-4C3E-BC22-32B29CF6C3AA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FDE-4C3E-BC22-32B29CF6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3789392"/>
        <c:axId val="-2034230640"/>
      </c:lineChart>
      <c:catAx>
        <c:axId val="-203378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4"/>
              <c:y val="0.851943838345508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34230640"/>
        <c:crosses val="autoZero"/>
        <c:auto val="1"/>
        <c:lblAlgn val="ctr"/>
        <c:lblOffset val="100"/>
        <c:noMultiLvlLbl val="0"/>
      </c:catAx>
      <c:valAx>
        <c:axId val="-2034230640"/>
        <c:scaling>
          <c:orientation val="minMax"/>
          <c:min val="3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49824348879467"/>
              <c:y val="0.254446083212408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crossAx val="-2033789392"/>
        <c:crosses val="autoZero"/>
        <c:crossBetween val="midCat"/>
      </c:valAx>
    </c:plotArea>
    <c:legend>
      <c:legendPos val="r"/>
      <c:layout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"/>
          <c:y val="0.032786894650802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"/>
          <c:y val="0.0533307669867238"/>
          <c:w val="0.489297350574967"/>
          <c:h val="0.73024847761814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5E-4902-B526-06FF0A5A4F77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547825.0606039806</c:v>
                </c:pt>
                <c:pt idx="2">
                  <c:v>569187.2239176597</c:v>
                </c:pt>
                <c:pt idx="3">
                  <c:v>590732.5677817537</c:v>
                </c:pt>
                <c:pt idx="4">
                  <c:v>612462.6629694822</c:v>
                </c:pt>
                <c:pt idx="5">
                  <c:v>634379.0937234455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5E-4902-B526-06FF0A5A4F77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5E-4902-B526-06FF0A5A4F77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501718.4487017762</c:v>
                </c:pt>
                <c:pt idx="3">
                  <c:v>522386.9877483884</c:v>
                </c:pt>
                <c:pt idx="4">
                  <c:v>543531.0195873307</c:v>
                </c:pt>
                <c:pt idx="5">
                  <c:v>564856.3614992921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5E-4902-B526-06FF0A5A4F77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605096.695411065</c:v>
                </c:pt>
                <c:pt idx="4">
                  <c:v>631323.2129932148</c:v>
                </c:pt>
                <c:pt idx="5">
                  <c:v>657774.6229636316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5E-4902-B526-06FF0A5A4F77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5E-4902-B526-06FF0A5A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847792"/>
        <c:axId val="-2076521936"/>
      </c:lineChart>
      <c:catAx>
        <c:axId val="-203484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8"/>
              <c:y val="0.873840403143063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76521936"/>
        <c:crosses val="autoZero"/>
        <c:auto val="1"/>
        <c:lblAlgn val="ctr"/>
        <c:lblOffset val="100"/>
        <c:noMultiLvlLbl val="0"/>
      </c:catAx>
      <c:valAx>
        <c:axId val="-2076521936"/>
        <c:scaling>
          <c:orientation val="minMax"/>
          <c:max val="70000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_);[Red]\(#,##0\)" sourceLinked="1"/>
        <c:majorTickMark val="out"/>
        <c:minorTickMark val="none"/>
        <c:tickLblPos val="nextTo"/>
        <c:crossAx val="-2034847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4"/>
          <c:y val="0.042947772802900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FE-41E1-95D2-A3D5A1653148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55138.57230900967</c:v>
                </c:pt>
                <c:pt idx="2">
                  <c:v>31140.17975754976</c:v>
                </c:pt>
                <c:pt idx="3">
                  <c:v>31407.20679897075</c:v>
                </c:pt>
                <c:pt idx="4">
                  <c:v>31676.52359727192</c:v>
                </c:pt>
                <c:pt idx="5">
                  <c:v>31948.14978711853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FE-41E1-95D2-A3D5A1653148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FE-41E1-95D2-A3D5A1653148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-28067.820596812</c:v>
                </c:pt>
                <c:pt idx="2">
                  <c:v>28842.95816120723</c:v>
                </c:pt>
                <c:pt idx="3">
                  <c:v>30129.06566561545</c:v>
                </c:pt>
                <c:pt idx="4">
                  <c:v>30822.20384685486</c:v>
                </c:pt>
                <c:pt idx="5">
                  <c:v>31086.50424484164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9FE-41E1-95D2-A3D5A1653148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37906.03097701045</c:v>
                </c:pt>
                <c:pt idx="4">
                  <c:v>38231.07519263832</c:v>
                </c:pt>
                <c:pt idx="5">
                  <c:v>38558.90666241519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9FE-41E1-95D2-A3D5A1653148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9FE-41E1-95D2-A3D5A165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6921216"/>
        <c:axId val="-2086901984"/>
      </c:lineChart>
      <c:catAx>
        <c:axId val="-208692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-2086901984"/>
        <c:crosses val="autoZero"/>
        <c:auto val="1"/>
        <c:lblAlgn val="ctr"/>
        <c:lblOffset val="100"/>
        <c:noMultiLvlLbl val="0"/>
      </c:catAx>
      <c:valAx>
        <c:axId val="-2086901984"/>
        <c:scaling>
          <c:orientation val="minMax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0.016548463356974"/>
              <c:y val="0.28159074615376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86921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"/>
          <c:y val="0.133545278332812"/>
          <c:w val="0.275497343177606"/>
          <c:h val="0.4235720630066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G5"/>
  <sheetViews>
    <sheetView workbookViewId="0"/>
  </sheetViews>
  <sheetFormatPr baseColWidth="10" defaultColWidth="8.83203125" defaultRowHeight="13" x14ac:dyDescent="0.15"/>
  <cols>
    <col min="1" max="26" width="18.6640625" customWidth="1"/>
  </cols>
  <sheetData>
    <row r="1" spans="1:85" x14ac:dyDescent="0.15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 x14ac:dyDescent="0.15">
      <c r="E2" s="148">
        <f>'Ranch Strategies'!$Q$149</f>
        <v>634379.09372344555</v>
      </c>
      <c r="S2">
        <v>1</v>
      </c>
    </row>
    <row r="3" spans="1:85" x14ac:dyDescent="0.15">
      <c r="A3" t="s">
        <v>118</v>
      </c>
      <c r="B3">
        <v>1</v>
      </c>
      <c r="C3" t="s">
        <v>119</v>
      </c>
    </row>
    <row r="4" spans="1:85" x14ac:dyDescent="0.15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 x14ac:dyDescent="0.15">
      <c r="A5">
        <v>1</v>
      </c>
      <c r="B5" t="b">
        <v>1</v>
      </c>
      <c r="C5">
        <v>0</v>
      </c>
      <c r="D5" t="s">
        <v>144</v>
      </c>
      <c r="E5" s="160">
        <f>'Ranch Strategies'!$I$13</f>
        <v>0.77091180097417411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3:CK80"/>
  <sheetViews>
    <sheetView workbookViewId="0">
      <selection activeCell="F11" sqref="F11"/>
    </sheetView>
  </sheetViews>
  <sheetFormatPr baseColWidth="10" defaultColWidth="11.5" defaultRowHeight="13" x14ac:dyDescent="0.15"/>
  <cols>
    <col min="2" max="2" width="7.1640625" customWidth="1"/>
    <col min="8" max="8" width="7.1640625" customWidth="1"/>
    <col min="9" max="9" width="8.1640625" customWidth="1"/>
    <col min="15" max="15" width="4.33203125" customWidth="1"/>
    <col min="17" max="17" width="11.6640625" bestFit="1" customWidth="1"/>
    <col min="18" max="18" width="11.1640625" bestFit="1" customWidth="1"/>
    <col min="20" max="21" width="11.33203125" bestFit="1" customWidth="1"/>
    <col min="22" max="22" width="12.33203125" bestFit="1" customWidth="1"/>
    <col min="24" max="24" width="11.6640625" bestFit="1" customWidth="1"/>
  </cols>
  <sheetData>
    <row r="3" spans="2:89" ht="20" x14ac:dyDescent="0.2">
      <c r="B3" s="455" t="s">
        <v>295</v>
      </c>
      <c r="C3" s="439"/>
      <c r="D3" s="439"/>
      <c r="E3" s="439"/>
      <c r="F3" s="439"/>
      <c r="G3" s="439"/>
      <c r="H3" s="440"/>
      <c r="J3" s="403"/>
      <c r="K3" s="433" t="s">
        <v>292</v>
      </c>
      <c r="L3" s="404"/>
      <c r="M3" s="404"/>
      <c r="N3" s="405"/>
    </row>
    <row r="4" spans="2:89" x14ac:dyDescent="0.15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 x14ac:dyDescent="0.15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279</v>
      </c>
      <c r="N5" s="412" t="s">
        <v>286</v>
      </c>
    </row>
    <row r="6" spans="2:89" ht="14" x14ac:dyDescent="0.15">
      <c r="B6" s="441"/>
      <c r="C6" s="376" t="s">
        <v>271</v>
      </c>
      <c r="D6" s="392"/>
      <c r="E6" s="392"/>
      <c r="F6" s="377"/>
      <c r="G6" s="437"/>
      <c r="H6" s="442"/>
      <c r="J6" s="409" t="s">
        <v>287</v>
      </c>
      <c r="K6" s="407"/>
      <c r="L6" s="407"/>
      <c r="M6" s="407"/>
      <c r="N6" s="408"/>
    </row>
    <row r="7" spans="2:89" x14ac:dyDescent="0.15">
      <c r="B7" s="441"/>
      <c r="C7" s="378"/>
      <c r="D7" s="391"/>
      <c r="E7" s="391"/>
      <c r="F7" s="379"/>
      <c r="G7" s="437"/>
      <c r="H7" s="442"/>
      <c r="J7" s="406"/>
      <c r="K7" s="407" t="s">
        <v>300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 x14ac:dyDescent="0.15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282</v>
      </c>
      <c r="L8" s="407"/>
      <c r="M8" s="418">
        <f>IF($G$51=1,'Ranch Strategies'!Q84,'Ranch Strategies'!Q167)</f>
        <v>55138.572309009673</v>
      </c>
      <c r="N8" s="456">
        <f>IF($G$51=1,'Ranch Strategies'!Q167,'Ranch Strategies'!Q84)</f>
        <v>23314.314001712075</v>
      </c>
    </row>
    <row r="9" spans="2:89" x14ac:dyDescent="0.15">
      <c r="B9" s="441"/>
      <c r="C9" s="378" t="s">
        <v>305</v>
      </c>
      <c r="D9" s="391"/>
      <c r="E9" s="391"/>
      <c r="F9" s="380">
        <v>6</v>
      </c>
      <c r="G9" s="437"/>
      <c r="H9" s="442"/>
      <c r="J9" s="406"/>
      <c r="K9" s="407" t="s">
        <v>283</v>
      </c>
      <c r="L9" s="407"/>
      <c r="M9" s="418">
        <f>IF($G$51=1,'Ranch Strategies'!R84,'Ranch Strategies'!R167)</f>
        <v>-33275.741692702402</v>
      </c>
      <c r="N9" s="456">
        <f>IF($G$51=1,'Ranch Strategies'!R167,'Ranch Strategies'!R84)</f>
        <v>-65100</v>
      </c>
      <c r="CJ9" s="363"/>
      <c r="CK9" s="357"/>
    </row>
    <row r="10" spans="2:89" x14ac:dyDescent="0.15">
      <c r="B10" s="441"/>
      <c r="C10" s="378" t="s">
        <v>281</v>
      </c>
      <c r="D10" s="391"/>
      <c r="E10" s="391"/>
      <c r="F10" s="380">
        <v>6</v>
      </c>
      <c r="G10" s="437"/>
      <c r="H10" s="442"/>
      <c r="J10" s="406"/>
      <c r="K10" s="407" t="s">
        <v>261</v>
      </c>
      <c r="L10" s="407"/>
      <c r="M10" s="418">
        <f>IF($G$51=1,'Ranch Strategies'!S84,'Ranch Strategies'!S167)</f>
        <v>-28067.820596812002</v>
      </c>
      <c r="N10" s="456">
        <f>IF($G$51=1,'Ranch Strategies'!S167,'Ranch Strategies'!S84)</f>
        <v>-59892.0789041096</v>
      </c>
      <c r="CJ10" s="363"/>
      <c r="CK10" s="357"/>
    </row>
    <row r="11" spans="2:89" x14ac:dyDescent="0.15">
      <c r="B11" s="441"/>
      <c r="C11" s="378" t="s">
        <v>306</v>
      </c>
      <c r="D11" s="391"/>
      <c r="E11" s="391"/>
      <c r="F11" s="380">
        <v>12</v>
      </c>
      <c r="G11" s="437"/>
      <c r="H11" s="442"/>
      <c r="J11" s="406"/>
      <c r="K11" s="407" t="s">
        <v>284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 x14ac:dyDescent="0.15">
      <c r="B12" s="441"/>
      <c r="C12" s="378" t="s">
        <v>307</v>
      </c>
      <c r="D12" s="391"/>
      <c r="E12" s="391"/>
      <c r="F12" s="380">
        <v>12</v>
      </c>
      <c r="G12" s="437"/>
      <c r="H12" s="442"/>
      <c r="J12" s="406"/>
      <c r="K12" s="407" t="s">
        <v>285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5" x14ac:dyDescent="0.2">
      <c r="B13" s="441"/>
      <c r="C13" s="381" t="s">
        <v>303</v>
      </c>
      <c r="D13" s="393"/>
      <c r="E13" s="393"/>
      <c r="F13" s="380">
        <v>1</v>
      </c>
      <c r="G13" s="437"/>
      <c r="H13" s="442"/>
      <c r="J13" s="409" t="s">
        <v>288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5" x14ac:dyDescent="0.2">
      <c r="B14" s="441"/>
      <c r="C14" s="437"/>
      <c r="D14" s="437"/>
      <c r="E14" s="437"/>
      <c r="F14" s="437"/>
      <c r="G14" s="437"/>
      <c r="H14" s="442"/>
      <c r="J14" s="406"/>
      <c r="K14" s="407" t="s">
        <v>300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5" x14ac:dyDescent="0.2">
      <c r="B15" s="441"/>
      <c r="C15" s="437"/>
      <c r="D15" s="437"/>
      <c r="E15" s="437"/>
      <c r="F15" s="437"/>
      <c r="G15" s="437"/>
      <c r="H15" s="442"/>
      <c r="J15" s="406"/>
      <c r="K15" s="407" t="s">
        <v>282</v>
      </c>
      <c r="L15" s="407"/>
      <c r="M15" s="416">
        <f>IF($G$51=1, 'Ranch Strategies'!Q99,'Ranch Strategies'!Q182)</f>
        <v>31140.179757549762</v>
      </c>
      <c r="N15" s="417">
        <f>IF($G$51=1, 'Ranch Strategies'!Q182,'Ranch Strategies'!Q99)</f>
        <v>37699.92024256468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547825.06060398067</v>
      </c>
      <c r="S15" s="148">
        <f>'Ranch Strategies'!R92</f>
        <v>476724.2583072976</v>
      </c>
      <c r="T15" s="148">
        <f>'Ranch Strategies'!S92</f>
        <v>481932.179403188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5" x14ac:dyDescent="0.2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283</v>
      </c>
      <c r="L16" s="407"/>
      <c r="M16" s="416">
        <f>IF($G$51=1, 'Ranch Strategies'!R99,'Ranch Strategies'!R182)</f>
        <v>28504.443289974348</v>
      </c>
      <c r="N16" s="417">
        <f>IF($G$51=1, 'Ranch Strategies'!R182,'Ranch Strategies'!R99)</f>
        <v>33268.5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569187.22391765972</v>
      </c>
      <c r="S16" s="148">
        <f>'Ranch Strategies'!R107</f>
        <v>496278.30640422</v>
      </c>
      <c r="T16" s="148">
        <f>'Ranch Strategies'!S107</f>
        <v>501718.44870177616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5" x14ac:dyDescent="0.2">
      <c r="B17" s="441"/>
      <c r="C17" s="369"/>
      <c r="D17" s="370"/>
      <c r="E17" s="370"/>
      <c r="F17" s="370"/>
      <c r="G17" s="371"/>
      <c r="H17" s="442"/>
      <c r="J17" s="406"/>
      <c r="K17" s="407" t="s">
        <v>261</v>
      </c>
      <c r="L17" s="407"/>
      <c r="M17" s="416">
        <f>IF($G$51=1, 'Ranch Strategies'!S99,'Ranch Strategies'!S182)</f>
        <v>28842.958161207225</v>
      </c>
      <c r="N17" s="417">
        <f>IF($G$51=1, 'Ranch Strategies'!S182,'Ranch Strategies'!S99)</f>
        <v>33607.014871232874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590732.56778175372</v>
      </c>
      <c r="S17" s="148">
        <f>'Ranch Strategies'!R121</f>
        <v>516704.26950578415</v>
      </c>
      <c r="T17" s="148">
        <f>'Ranch Strategies'!S121</f>
        <v>522386.98774838838</v>
      </c>
      <c r="U17" s="148">
        <f>'Ranch Strategies'!T121</f>
        <v>605096.69541106501</v>
      </c>
      <c r="V17" s="148">
        <f>'Ranch Strategies'!U121</f>
        <v>502811.28189925256</v>
      </c>
      <c r="CH17" s="468">
        <v>5</v>
      </c>
    </row>
    <row r="18" spans="2:86" ht="15" x14ac:dyDescent="0.2">
      <c r="B18" s="441"/>
      <c r="C18" s="369" t="s">
        <v>272</v>
      </c>
      <c r="D18" s="370"/>
      <c r="E18" s="370"/>
      <c r="F18" s="370"/>
      <c r="G18" s="365">
        <v>600</v>
      </c>
      <c r="H18" s="442"/>
      <c r="J18" s="406"/>
      <c r="K18" s="407" t="s">
        <v>284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612462.66296948225</v>
      </c>
      <c r="S18" s="148">
        <f>'Ranch Strategies'!R135</f>
        <v>537799.57203579624</v>
      </c>
      <c r="T18" s="148">
        <f>'Ranch Strategies'!S135</f>
        <v>543531.01958733075</v>
      </c>
      <c r="U18" s="148">
        <f>'Ranch Strategies'!T135</f>
        <v>631323.21299321484</v>
      </c>
      <c r="V18" s="148">
        <f>'Ranch Strategies'!U135</f>
        <v>503692.88864153862</v>
      </c>
      <c r="CH18" s="468">
        <v>6</v>
      </c>
    </row>
    <row r="19" spans="2:86" ht="15" x14ac:dyDescent="0.2">
      <c r="B19" s="441"/>
      <c r="C19" s="369" t="s">
        <v>273</v>
      </c>
      <c r="D19" s="370"/>
      <c r="E19" s="370"/>
      <c r="F19" s="370"/>
      <c r="G19" s="394">
        <v>1200</v>
      </c>
      <c r="H19" s="443"/>
      <c r="J19" s="406"/>
      <c r="K19" s="407" t="s">
        <v>285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634379.09372344555</v>
      </c>
      <c r="S19" s="148">
        <f>'Ranch Strategies'!R149</f>
        <v>559075.76678500324</v>
      </c>
      <c r="T19" s="148">
        <f>'Ranch Strategies'!S149</f>
        <v>564856.36149929219</v>
      </c>
      <c r="U19" s="148">
        <f>'Ranch Strategies'!T149</f>
        <v>657774.62296363164</v>
      </c>
      <c r="V19" s="148">
        <f>'Ranch Strategies'!U149</f>
        <v>504582.05516163982</v>
      </c>
      <c r="CH19" s="468">
        <v>7</v>
      </c>
    </row>
    <row r="20" spans="2:86" ht="15" x14ac:dyDescent="0.2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289</v>
      </c>
      <c r="K20" s="407"/>
      <c r="L20" s="407"/>
      <c r="M20" s="407"/>
      <c r="N20" s="408"/>
      <c r="CH20" s="468">
        <v>8</v>
      </c>
    </row>
    <row r="21" spans="2:86" ht="15" x14ac:dyDescent="0.2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300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5" x14ac:dyDescent="0.2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282</v>
      </c>
      <c r="L22" s="407"/>
      <c r="M22" s="416">
        <f>IF($G$51=1, 'Ranch Strategies'!Q114,'Ranch Strategies'!Q197)</f>
        <v>31407.20679897075</v>
      </c>
      <c r="N22" s="417">
        <f>IF($G$51=1, 'Ranch Strategies'!Q197,'Ranch Strategies'!Q114)</f>
        <v>38023.19705864467</v>
      </c>
      <c r="CH22" s="468">
        <v>10</v>
      </c>
    </row>
    <row r="23" spans="2:86" ht="15" x14ac:dyDescent="0.2">
      <c r="B23" s="441"/>
      <c r="C23" s="437"/>
      <c r="D23" s="437"/>
      <c r="E23" s="437"/>
      <c r="F23" s="437"/>
      <c r="G23" s="437"/>
      <c r="H23" s="442"/>
      <c r="J23" s="406"/>
      <c r="K23" s="407" t="s">
        <v>283</v>
      </c>
      <c r="L23" s="407"/>
      <c r="M23" s="416">
        <f>IF($G$51=1, 'Ranch Strategies'!R114,'Ranch Strategies'!R197)</f>
        <v>29775.456416274305</v>
      </c>
      <c r="N23" s="417">
        <f>IF($G$51=1, 'Ranch Strategies'!R197,'Ranch Strategies'!R114)</f>
        <v>34751.942414999998</v>
      </c>
      <c r="CH23" s="468">
        <v>11</v>
      </c>
    </row>
    <row r="24" spans="2:86" ht="15" x14ac:dyDescent="0.2">
      <c r="B24" s="441"/>
      <c r="C24" s="437"/>
      <c r="D24" s="437"/>
      <c r="E24" s="437"/>
      <c r="F24" s="437"/>
      <c r="G24" s="437"/>
      <c r="H24" s="442"/>
      <c r="J24" s="406"/>
      <c r="K24" s="407" t="s">
        <v>261</v>
      </c>
      <c r="L24" s="407"/>
      <c r="M24" s="416">
        <f>IF($G$51=1, 'Ranch Strategies'!S114,'Ranch Strategies'!S197)</f>
        <v>30129.065665615453</v>
      </c>
      <c r="N24" s="417">
        <f>IF($G$51=1, 'Ranch Strategies'!S197,'Ranch Strategies'!S114)</f>
        <v>35105.551664341147</v>
      </c>
      <c r="CH24" s="468">
        <v>12</v>
      </c>
    </row>
    <row r="25" spans="2:86" ht="15" x14ac:dyDescent="0.2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284</v>
      </c>
      <c r="L25" s="407"/>
      <c r="M25" s="416">
        <f>IF($G$51=1, 'Ranch Strategies'!T114,'Ranch Strategies'!T197)</f>
        <v>37906.03097701045</v>
      </c>
      <c r="N25" s="417">
        <f>IF($G$51=1, 'Ranch Strategies'!T197,'Ranch Strategies'!T114)</f>
        <v>44463.431404421877</v>
      </c>
      <c r="CH25" s="468" t="s">
        <v>308</v>
      </c>
    </row>
    <row r="26" spans="2:86" ht="14" x14ac:dyDescent="0.15">
      <c r="B26" s="441"/>
      <c r="C26" s="374"/>
      <c r="D26" s="370"/>
      <c r="E26" s="370"/>
      <c r="F26" s="370"/>
      <c r="G26" s="371"/>
      <c r="H26" s="442"/>
      <c r="J26" s="406"/>
      <c r="K26" s="407" t="s">
        <v>285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 x14ac:dyDescent="0.15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290</v>
      </c>
      <c r="K27" s="407"/>
      <c r="L27" s="407"/>
      <c r="M27" s="407"/>
      <c r="N27" s="408"/>
    </row>
    <row r="28" spans="2:86" x14ac:dyDescent="0.15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300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 x14ac:dyDescent="0.15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282</v>
      </c>
      <c r="L29" s="407"/>
      <c r="M29" s="416">
        <f>IF($G$51=1,'Ranch Strategies'!Q128,'Ranch Strategies'!Q211)</f>
        <v>31676.523597271924</v>
      </c>
      <c r="N29" s="417">
        <f>IF($G$51=1,'Ranch Strategies'!Q211,'Ranch Strategies'!Q128)</f>
        <v>38349.245973422549</v>
      </c>
    </row>
    <row r="30" spans="2:86" x14ac:dyDescent="0.15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283</v>
      </c>
      <c r="L30" s="407"/>
      <c r="M30" s="416">
        <f>IF($G$51=1,'Ranch Strategies'!R128,'Ranch Strategies'!R211)</f>
        <v>30751.169868822304</v>
      </c>
      <c r="N30" s="417">
        <f>IF($G$51=1,'Ranch Strategies'!R211,'Ranch Strategies'!R128)</f>
        <v>36301.531527284853</v>
      </c>
    </row>
    <row r="31" spans="2:86" x14ac:dyDescent="0.15">
      <c r="B31" s="441"/>
      <c r="C31" s="369"/>
      <c r="D31" s="370"/>
      <c r="E31" s="370"/>
      <c r="F31" s="370"/>
      <c r="G31" s="371"/>
      <c r="H31" s="442"/>
      <c r="J31" s="406"/>
      <c r="K31" s="407" t="s">
        <v>261</v>
      </c>
      <c r="L31" s="407"/>
      <c r="M31" s="416">
        <f>IF($G$51=1,'Ranch Strategies'!S128,'Ranch Strategies'!S211)</f>
        <v>30822.20384685486</v>
      </c>
      <c r="N31" s="417">
        <f>IF($G$51=1,'Ranch Strategies'!S211,'Ranch Strategies'!S128)</f>
        <v>36670.908213054121</v>
      </c>
    </row>
    <row r="32" spans="2:86" x14ac:dyDescent="0.15">
      <c r="B32" s="441"/>
      <c r="C32" s="375" t="s">
        <v>298</v>
      </c>
      <c r="D32" s="370"/>
      <c r="E32" s="370"/>
      <c r="F32" s="370"/>
      <c r="G32" s="371"/>
      <c r="H32" s="442"/>
      <c r="J32" s="406"/>
      <c r="K32" s="407" t="s">
        <v>284</v>
      </c>
      <c r="L32" s="407"/>
      <c r="M32" s="416">
        <f>IF($G$51=1,'Ranch Strategies'!T128,'Ranch Strategies'!T211)</f>
        <v>38231.075192638316</v>
      </c>
      <c r="N32" s="417">
        <f>IF($G$51=1,'Ranch Strategies'!T211,'Ranch Strategies'!T128)</f>
        <v>44844.705328714794</v>
      </c>
    </row>
    <row r="33" spans="2:25" x14ac:dyDescent="0.15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285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 x14ac:dyDescent="0.15">
      <c r="B34" s="441"/>
      <c r="C34" s="369" t="s">
        <v>274</v>
      </c>
      <c r="D34" s="370"/>
      <c r="E34" s="370"/>
      <c r="F34" s="370"/>
      <c r="G34" s="397">
        <v>1.31</v>
      </c>
      <c r="H34" s="446"/>
      <c r="J34" s="409" t="s">
        <v>291</v>
      </c>
      <c r="K34" s="407"/>
      <c r="L34" s="407"/>
      <c r="M34" s="407"/>
      <c r="N34" s="408"/>
    </row>
    <row r="35" spans="2:25" x14ac:dyDescent="0.15">
      <c r="B35" s="441"/>
      <c r="C35" s="369" t="s">
        <v>275</v>
      </c>
      <c r="D35" s="370"/>
      <c r="E35" s="370"/>
      <c r="F35" s="370"/>
      <c r="G35" s="397">
        <v>1.25</v>
      </c>
      <c r="H35" s="446"/>
      <c r="J35" s="406"/>
      <c r="K35" s="407" t="s">
        <v>300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6" x14ac:dyDescent="0.2">
      <c r="B36" s="441"/>
      <c r="C36" s="372" t="s">
        <v>276</v>
      </c>
      <c r="D36" s="373"/>
      <c r="E36" s="373"/>
      <c r="F36" s="373"/>
      <c r="G36" s="397">
        <v>1.25</v>
      </c>
      <c r="H36" s="446"/>
      <c r="J36" s="406"/>
      <c r="K36" s="407" t="s">
        <v>282</v>
      </c>
      <c r="L36" s="407"/>
      <c r="M36" s="416">
        <f>IF($G$51=1,'Ranch Strategies'!Q142,'Ranch Strategies'!Q225)</f>
        <v>31948.149787118531</v>
      </c>
      <c r="N36" s="417">
        <f>IF($G$51=1, 'Ranch Strategies'!Q225, 'Ranch Strategies'!Q142)</f>
        <v>38678.090757644648</v>
      </c>
      <c r="P36" s="403"/>
      <c r="Q36" s="432" t="s">
        <v>294</v>
      </c>
      <c r="R36" s="404"/>
      <c r="S36" s="404"/>
      <c r="T36" s="404"/>
      <c r="U36" s="404"/>
      <c r="V36" s="404"/>
      <c r="W36" s="404"/>
      <c r="X36" s="404"/>
      <c r="Y36" s="405"/>
    </row>
    <row r="37" spans="2:25" x14ac:dyDescent="0.15">
      <c r="B37" s="441"/>
      <c r="C37" s="437"/>
      <c r="D37" s="437"/>
      <c r="E37" s="437"/>
      <c r="F37" s="437"/>
      <c r="G37" s="437"/>
      <c r="H37" s="442"/>
      <c r="J37" s="406"/>
      <c r="K37" s="407" t="s">
        <v>283</v>
      </c>
      <c r="L37" s="407"/>
      <c r="M37" s="416">
        <f>IF($G$51=1,'Ranch Strategies'!R142,'Ranch Strategies'!R225)</f>
        <v>31014.861150447457</v>
      </c>
      <c r="N37" s="417">
        <f>IF($G$51=1, 'Ranch Strategies'!R225, 'Ranch Strategies'!R142)</f>
        <v>37580.810926555096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 x14ac:dyDescent="0.15">
      <c r="B38" s="441"/>
      <c r="C38" s="437"/>
      <c r="D38" s="437"/>
      <c r="E38" s="437"/>
      <c r="F38" s="437"/>
      <c r="G38" s="437"/>
      <c r="H38" s="442"/>
      <c r="J38" s="406"/>
      <c r="K38" s="407" t="s">
        <v>261</v>
      </c>
      <c r="L38" s="407"/>
      <c r="M38" s="416">
        <f>IF($G$51=1,'Ranch Strategies'!S142,'Ranch Strategies'!S225)</f>
        <v>31086.504244841639</v>
      </c>
      <c r="N38" s="417">
        <f>IF($G$51=1, 'Ranch Strategies'!S225, 'Ranch Strategies'!S142)</f>
        <v>37655.012309668113</v>
      </c>
      <c r="P38" s="406"/>
      <c r="Q38" s="407" t="s">
        <v>300</v>
      </c>
      <c r="R38" s="407" t="s">
        <v>282</v>
      </c>
      <c r="S38" s="407"/>
      <c r="T38" s="407" t="s">
        <v>283</v>
      </c>
      <c r="U38" s="407" t="s">
        <v>261</v>
      </c>
      <c r="V38" s="407" t="s">
        <v>284</v>
      </c>
      <c r="W38" s="407"/>
      <c r="X38" s="407" t="s">
        <v>296</v>
      </c>
      <c r="Y38" s="408"/>
    </row>
    <row r="39" spans="2:25" ht="14" x14ac:dyDescent="0.15">
      <c r="B39" s="441"/>
      <c r="C39" s="366" t="s">
        <v>277</v>
      </c>
      <c r="D39" s="367"/>
      <c r="E39" s="367"/>
      <c r="F39" s="367"/>
      <c r="G39" s="368"/>
      <c r="H39" s="442"/>
      <c r="J39" s="406"/>
      <c r="K39" s="407" t="s">
        <v>284</v>
      </c>
      <c r="L39" s="407"/>
      <c r="M39" s="416">
        <f>IF($G$51=1,'Ranch Strategies'!T142,'Ranch Strategies'!T225)</f>
        <v>38558.906662415189</v>
      </c>
      <c r="N39" s="417">
        <f>IF($G$51=1, 'Ranch Strategies'!T225, 'Ranch Strategies'!T142)</f>
        <v>45229.248676908523</v>
      </c>
      <c r="P39" s="434" t="s">
        <v>279</v>
      </c>
      <c r="Q39" s="436">
        <f>IF($G$51=1,'Ranch Strategies'!P152,'Ranch Strategies'!P235)</f>
        <v>113820.40908141027</v>
      </c>
      <c r="R39" s="457">
        <f>IF($G$51=1, 'Ranch Strategies'!Q152,'Ranch Strategies'!Q235)</f>
        <v>119691.59372344555</v>
      </c>
      <c r="S39" s="458"/>
      <c r="T39" s="436">
        <f>IF($G$51=1, 'Ranch Strategies'!R152, 'Ranch Strategies'!R235)</f>
        <v>44388.266785003245</v>
      </c>
      <c r="U39" s="436">
        <f>IF($G$51=1, 'Ranch Strategies'!S152, 'Ranch Strategies'!S235)</f>
        <v>50168.861499292194</v>
      </c>
      <c r="V39" s="459">
        <f>IF($G$51=1, 'Ranch Strategies'!T152,'Ranch Strategies'!T235)</f>
        <v>143087.12296363164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4" x14ac:dyDescent="0.15">
      <c r="B40" s="441"/>
      <c r="C40" s="374"/>
      <c r="D40" s="370"/>
      <c r="E40" s="370"/>
      <c r="F40" s="370"/>
      <c r="G40" s="371"/>
      <c r="H40" s="442"/>
      <c r="J40" s="410"/>
      <c r="K40" s="411" t="s">
        <v>285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286</v>
      </c>
      <c r="Q40" s="461">
        <f>IF($G$51=1, 'Ranch Strategies'!P235,'Ranch Strategies'!P152)</f>
        <v>137661.72955560556</v>
      </c>
      <c r="R40" s="462">
        <f>IF($G$51=1, 'Ranch Strategies'!Q235,'Ranch Strategies'!Q152)</f>
        <v>116092.93087131623</v>
      </c>
      <c r="S40" s="463"/>
      <c r="T40" s="464">
        <f>IF($G$51=1, 'Ranch Strategies'!R235,'Ranch Strategies'!R152)</f>
        <v>27557.810420024209</v>
      </c>
      <c r="U40" s="464">
        <f>IF($G$51=1, 'Ranch Strategies'!S235,'Ranch Strategies'!S152)</f>
        <v>33544.823217881611</v>
      </c>
      <c r="V40" s="462">
        <f>IF($G$51=1, 'Ranch Strategies'!T235,'Ranch Strategies'!T152)</f>
        <v>134679.658745041</v>
      </c>
      <c r="W40" s="463"/>
      <c r="X40" s="462">
        <f>IF($G$51=1, 'Ranch Strategies'!U235,'Ranch Strategies'!U152)</f>
        <v>-32695.391326505865</v>
      </c>
      <c r="Y40" s="463"/>
    </row>
    <row r="41" spans="2:25" ht="14" customHeight="1" x14ac:dyDescent="0.15">
      <c r="B41" s="441"/>
      <c r="C41" s="465" t="s">
        <v>301</v>
      </c>
      <c r="D41" s="370"/>
      <c r="E41" s="370"/>
      <c r="F41" s="370"/>
      <c r="G41" s="467">
        <v>100</v>
      </c>
      <c r="H41" s="442"/>
    </row>
    <row r="42" spans="2:25" ht="14" customHeight="1" x14ac:dyDescent="0.15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8" x14ac:dyDescent="0.2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293</v>
      </c>
      <c r="L43" s="404"/>
      <c r="M43" s="404"/>
      <c r="N43" s="405"/>
    </row>
    <row r="44" spans="2:25" x14ac:dyDescent="0.15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 x14ac:dyDescent="0.15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279</v>
      </c>
      <c r="N45" s="412" t="s">
        <v>286</v>
      </c>
    </row>
    <row r="46" spans="2:25" x14ac:dyDescent="0.15">
      <c r="B46" s="441"/>
      <c r="C46" s="372" t="s">
        <v>278</v>
      </c>
      <c r="D46" s="373"/>
      <c r="E46" s="373"/>
      <c r="F46" s="373"/>
      <c r="G46" s="396">
        <v>0.19</v>
      </c>
      <c r="H46" s="445"/>
      <c r="J46" s="409" t="s">
        <v>287</v>
      </c>
      <c r="K46" s="407"/>
      <c r="L46" s="407"/>
      <c r="M46" s="407"/>
      <c r="N46" s="408"/>
    </row>
    <row r="47" spans="2:25" x14ac:dyDescent="0.15">
      <c r="B47" s="441"/>
      <c r="C47" s="437"/>
      <c r="D47" s="437"/>
      <c r="E47" s="437"/>
      <c r="F47" s="437"/>
      <c r="G47" s="438"/>
      <c r="H47" s="445"/>
      <c r="J47" s="406"/>
      <c r="K47" s="407" t="s">
        <v>300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 x14ac:dyDescent="0.15">
      <c r="B48" s="441"/>
      <c r="C48" s="437"/>
      <c r="D48" s="437"/>
      <c r="E48" s="437"/>
      <c r="F48" s="437"/>
      <c r="G48" s="437"/>
      <c r="H48" s="442"/>
      <c r="J48" s="406"/>
      <c r="K48" s="407" t="s">
        <v>282</v>
      </c>
      <c r="L48" s="407"/>
      <c r="M48" s="416">
        <f>IF($G$51=1,'Ranch Strategies'!Q92,'Ranch Strategies'!Q175)</f>
        <v>547825.06060398067</v>
      </c>
      <c r="N48" s="417">
        <f>IF($G$51=1,'Ranch Strategies'!Q175,'Ranch Strategies'!Q92)</f>
        <v>525993.61940517451</v>
      </c>
    </row>
    <row r="49" spans="2:23" ht="14" x14ac:dyDescent="0.15">
      <c r="B49" s="441"/>
      <c r="C49" s="382" t="s">
        <v>279</v>
      </c>
      <c r="D49" s="383"/>
      <c r="E49" s="383"/>
      <c r="F49" s="383"/>
      <c r="G49" s="384"/>
      <c r="H49" s="448"/>
      <c r="J49" s="406"/>
      <c r="K49" s="407" t="s">
        <v>283</v>
      </c>
      <c r="L49" s="407"/>
      <c r="M49" s="416">
        <f>IF($G$51=1,'Ranch Strategies'!R92,'Ranch Strategies'!R175)</f>
        <v>476724.2583072976</v>
      </c>
      <c r="N49" s="417">
        <f>IF($G$51=1,'Ranch Strategies'!R175,'Ranch Strategies'!R92)</f>
        <v>444900</v>
      </c>
    </row>
    <row r="50" spans="2:23" x14ac:dyDescent="0.15">
      <c r="B50" s="441"/>
      <c r="C50" s="385"/>
      <c r="D50" s="386"/>
      <c r="E50" s="386"/>
      <c r="F50" s="386"/>
      <c r="G50" s="387"/>
      <c r="H50" s="448"/>
      <c r="J50" s="406"/>
      <c r="K50" s="407" t="s">
        <v>261</v>
      </c>
      <c r="L50" s="407"/>
      <c r="M50" s="416">
        <f>IF($G$51=1,'Ranch Strategies'!S92,'Ranch Strategies'!S175)</f>
        <v>481932.179403188</v>
      </c>
      <c r="N50" s="417">
        <f>IF($G$51=1,'Ranch Strategies'!S175,'Ranch Strategies'!S92)</f>
        <v>450107.9210958904</v>
      </c>
    </row>
    <row r="51" spans="2:23" x14ac:dyDescent="0.15">
      <c r="B51" s="441"/>
      <c r="C51" s="385" t="s">
        <v>280</v>
      </c>
      <c r="D51" s="386"/>
      <c r="E51" s="386"/>
      <c r="F51" s="386"/>
      <c r="G51" s="390">
        <v>1</v>
      </c>
      <c r="H51" s="448"/>
      <c r="J51" s="406"/>
      <c r="K51" s="407" t="s">
        <v>284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 x14ac:dyDescent="0.15">
      <c r="B52" s="441"/>
      <c r="C52" s="385" t="s">
        <v>227</v>
      </c>
      <c r="D52" s="386"/>
      <c r="E52" s="386"/>
      <c r="F52" s="386"/>
      <c r="G52" s="399">
        <v>3000</v>
      </c>
      <c r="H52" s="449"/>
      <c r="J52" s="406"/>
      <c r="K52" s="407" t="s">
        <v>285</v>
      </c>
      <c r="L52" s="407"/>
      <c r="M52" s="416">
        <f>IF($G$51=1,'Ranch Strategies'!R92,'Ranch Strategies'!R175)</f>
        <v>476724.2583072976</v>
      </c>
      <c r="N52" s="417">
        <f>IF($G$51=1,'Ranch Strategies'!U175,'Ranch Strategies'!U92)</f>
        <v>479239.05000000005</v>
      </c>
    </row>
    <row r="53" spans="2:23" x14ac:dyDescent="0.15">
      <c r="B53" s="441"/>
      <c r="C53" s="385" t="s">
        <v>205</v>
      </c>
      <c r="D53" s="386"/>
      <c r="E53" s="386"/>
      <c r="F53" s="386"/>
      <c r="G53" s="400">
        <v>0.9</v>
      </c>
      <c r="H53" s="450"/>
      <c r="J53" s="409" t="s">
        <v>288</v>
      </c>
      <c r="K53" s="407"/>
      <c r="L53" s="407"/>
      <c r="M53" s="407"/>
      <c r="N53" s="408"/>
    </row>
    <row r="54" spans="2:23" x14ac:dyDescent="0.15">
      <c r="B54" s="441"/>
      <c r="C54" s="385" t="s">
        <v>228</v>
      </c>
      <c r="D54" s="386"/>
      <c r="E54" s="386"/>
      <c r="F54" s="386"/>
      <c r="G54" s="400">
        <v>1</v>
      </c>
      <c r="H54" s="450"/>
      <c r="J54" s="406"/>
      <c r="K54" s="407" t="s">
        <v>300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 x14ac:dyDescent="0.15">
      <c r="B55" s="441"/>
      <c r="C55" s="388" t="s">
        <v>229</v>
      </c>
      <c r="D55" s="389"/>
      <c r="E55" s="389"/>
      <c r="F55" s="389"/>
      <c r="G55" s="401">
        <v>33</v>
      </c>
      <c r="H55" s="451"/>
      <c r="J55" s="406"/>
      <c r="K55" s="407" t="s">
        <v>282</v>
      </c>
      <c r="L55" s="407"/>
      <c r="M55" s="416">
        <f>IF($G$51=1, 'Ranch Strategies'!Q107,'Ranch Strategies'!Q190)</f>
        <v>569187.22391765972</v>
      </c>
      <c r="N55" s="417">
        <f>IF($G$51=1, 'Ranch Strategies'!Q190,'Ranch Strategies'!Q107)</f>
        <v>551855.7646915738</v>
      </c>
    </row>
    <row r="56" spans="2:23" x14ac:dyDescent="0.15">
      <c r="B56" s="441"/>
      <c r="C56" s="437"/>
      <c r="D56" s="437"/>
      <c r="E56" s="437"/>
      <c r="F56" s="437"/>
      <c r="G56" s="437"/>
      <c r="H56" s="442"/>
      <c r="J56" s="406"/>
      <c r="K56" s="407" t="s">
        <v>283</v>
      </c>
      <c r="L56" s="407"/>
      <c r="M56" s="416">
        <f>IF($G$51=1, 'Ranch Strategies'!R107,'Ranch Strategies'!R190)</f>
        <v>496278.30640422</v>
      </c>
      <c r="N56" s="417">
        <f>IF($G$51=1, 'Ranch Strategies'!R190,'Ranch Strategies'!R107)</f>
        <v>467722.19099999999</v>
      </c>
    </row>
    <row r="57" spans="2:23" x14ac:dyDescent="0.15">
      <c r="B57" s="452"/>
      <c r="C57" s="453"/>
      <c r="D57" s="453"/>
      <c r="E57" s="453"/>
      <c r="F57" s="453"/>
      <c r="G57" s="453"/>
      <c r="H57" s="454"/>
      <c r="J57" s="406"/>
      <c r="K57" s="407" t="s">
        <v>261</v>
      </c>
      <c r="L57" s="407"/>
      <c r="M57" s="416">
        <f>IF($G$51=1, 'Ranch Strategies'!S107,'Ranch Strategies'!S190)</f>
        <v>501718.44870177616</v>
      </c>
      <c r="N57" s="417">
        <f>IF($G$51=1, 'Ranch Strategies'!S190,'Ranch Strategies'!S107)</f>
        <v>473162.33329755615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 x14ac:dyDescent="0.15">
      <c r="J58" s="406"/>
      <c r="K58" s="407" t="s">
        <v>284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 x14ac:dyDescent="0.15">
      <c r="J59" s="406"/>
      <c r="K59" s="407" t="s">
        <v>285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55138.572309009673</v>
      </c>
      <c r="T59" s="148">
        <f>'Ranch Strategies'!R84</f>
        <v>-33275.741692702402</v>
      </c>
      <c r="U59" s="148">
        <f>'Ranch Strategies'!S84</f>
        <v>-28067.820596812002</v>
      </c>
      <c r="V59" s="148">
        <f>'Ranch Strategies'!T84</f>
        <v>98499.258307297598</v>
      </c>
      <c r="W59" s="148">
        <f>'Ranch Strategies'!U84</f>
        <v>98499.258307297598</v>
      </c>
    </row>
    <row r="60" spans="2:23" x14ac:dyDescent="0.15">
      <c r="J60" s="409" t="s">
        <v>289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31140.179757549762</v>
      </c>
      <c r="T60" s="148">
        <f>'Ranch Strategies'!R99</f>
        <v>28504.443289974348</v>
      </c>
      <c r="U60" s="148">
        <f>'Ranch Strategies'!S99</f>
        <v>28842.958161207225</v>
      </c>
      <c r="V60" s="148">
        <f>'Ranch Strategies'!T99</f>
        <v>2219.6311399850765</v>
      </c>
      <c r="W60" s="148">
        <f>'Ranch Strategies'!U99</f>
        <v>1263.3811399850765</v>
      </c>
    </row>
    <row r="61" spans="2:23" x14ac:dyDescent="0.15">
      <c r="J61" s="406"/>
      <c r="K61" s="407" t="s">
        <v>300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31407.20679897075</v>
      </c>
      <c r="T61" s="148">
        <f>'Ranch Strategies'!R114</f>
        <v>29775.456416274305</v>
      </c>
      <c r="U61" s="148">
        <f>'Ranch Strategies'!S114</f>
        <v>30129.065665615453</v>
      </c>
      <c r="V61" s="148">
        <f>'Ranch Strategies'!T114</f>
        <v>37906.03097701045</v>
      </c>
      <c r="W61" s="148">
        <f>'Ranch Strategies'!U114</f>
        <v>1274.2146332604489</v>
      </c>
    </row>
    <row r="62" spans="2:23" x14ac:dyDescent="0.15">
      <c r="J62" s="406"/>
      <c r="K62" s="407" t="s">
        <v>282</v>
      </c>
      <c r="L62" s="407"/>
      <c r="M62" s="416">
        <f>IF($G$51=1, 'Ranch Strategies'!Q121,'Ranch Strategies'!Q204)</f>
        <v>590732.56778175372</v>
      </c>
      <c r="N62" s="417">
        <f>IF($G$51=1, 'Ranch Strategies'!Q204,'Ranch Strategies'!Q121)</f>
        <v>577939.67787380412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31676.523597271924</v>
      </c>
      <c r="T62" s="148">
        <f>'Ranch Strategies'!R128</f>
        <v>30751.169868822304</v>
      </c>
      <c r="U62" s="148">
        <f>'Ranch Strategies'!S128</f>
        <v>30822.20384685486</v>
      </c>
      <c r="V62" s="148">
        <f>'Ranch Strategies'!T128</f>
        <v>38231.075192638316</v>
      </c>
      <c r="W62" s="148">
        <f>'Ranch Strategies'!U128</f>
        <v>1285.1410237406571</v>
      </c>
    </row>
    <row r="63" spans="2:23" x14ac:dyDescent="0.15">
      <c r="J63" s="406"/>
      <c r="K63" s="407" t="s">
        <v>283</v>
      </c>
      <c r="L63" s="407"/>
      <c r="M63" s="416">
        <f>IF($G$51=1, 'Ranch Strategies'!R121,'Ranch Strategies'!R204)</f>
        <v>516704.26950578415</v>
      </c>
      <c r="N63" s="417">
        <f>IF($G$51=1, 'Ranch Strategies'!R204,'Ranch Strategies'!R121)</f>
        <v>491562.02349668997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31948.149787118531</v>
      </c>
      <c r="T63" s="148">
        <f>'Ranch Strategies'!R142</f>
        <v>31014.861150447457</v>
      </c>
      <c r="U63" s="148">
        <f>'Ranch Strategies'!S128</f>
        <v>30822.20384685486</v>
      </c>
      <c r="V63" s="148">
        <f>'Ranch Strategies'!T142</f>
        <v>38558.906662415189</v>
      </c>
      <c r="W63" s="148">
        <f>'Ranch Strategies'!U142</f>
        <v>1296.1611080192333</v>
      </c>
    </row>
    <row r="64" spans="2:23" x14ac:dyDescent="0.15">
      <c r="J64" s="406"/>
      <c r="K64" s="407" t="s">
        <v>261</v>
      </c>
      <c r="L64" s="407"/>
      <c r="M64" s="416">
        <f>IF($G$51=1, 'Ranch Strategies'!S121,'Ranch Strategies'!S204)</f>
        <v>522386.98774838838</v>
      </c>
      <c r="N64" s="417">
        <f>IF($G$51=1, 'Ranch Strategies'!S204,'Ranch Strategies'!S121)</f>
        <v>497244.7417392942</v>
      </c>
    </row>
    <row r="65" spans="10:14" x14ac:dyDescent="0.15">
      <c r="J65" s="406"/>
      <c r="K65" s="407" t="s">
        <v>284</v>
      </c>
      <c r="L65" s="407"/>
      <c r="M65" s="416">
        <f>IF($G$51=1, 'Ranch Strategies'!T121,'Ranch Strategies'!T204)</f>
        <v>605096.69541106501</v>
      </c>
      <c r="N65" s="417">
        <f>IF($G$51=1, 'Ranch Strategies'!T204,'Ranch Strategies'!T121)</f>
        <v>587576.4262971835</v>
      </c>
    </row>
    <row r="66" spans="10:14" x14ac:dyDescent="0.15">
      <c r="J66" s="406"/>
      <c r="K66" s="407" t="s">
        <v>285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 x14ac:dyDescent="0.15">
      <c r="J67" s="409" t="s">
        <v>290</v>
      </c>
      <c r="K67" s="407"/>
      <c r="L67" s="407"/>
      <c r="M67" s="407"/>
      <c r="N67" s="408"/>
    </row>
    <row r="68" spans="10:14" x14ac:dyDescent="0.15">
      <c r="J68" s="406"/>
      <c r="K68" s="407" t="s">
        <v>300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 x14ac:dyDescent="0.15">
      <c r="J69" s="406"/>
      <c r="K69" s="407" t="s">
        <v>282</v>
      </c>
      <c r="L69" s="407"/>
      <c r="M69" s="416">
        <f>IF($G$51=1, 'Ranch Strategies'!Q135,'Ranch Strategies'!Q218)</f>
        <v>612462.66296948225</v>
      </c>
      <c r="N69" s="417">
        <f>IF($G$51=1, 'Ranch Strategies'!Q218,'Ranch Strategies'!Q135)</f>
        <v>604247.26061157195</v>
      </c>
    </row>
    <row r="70" spans="10:14" x14ac:dyDescent="0.15">
      <c r="J70" s="406"/>
      <c r="K70" s="407" t="s">
        <v>283</v>
      </c>
      <c r="L70" s="407"/>
      <c r="M70" s="416">
        <f>IF($G$51=1, 'Ranch Strategies'!R135,'Ranch Strategies'!R218)</f>
        <v>537799.57203579624</v>
      </c>
      <c r="N70" s="417">
        <f>IF($G$51=1, 'Ranch Strategies'!R218,'Ranch Strategies'!R135)</f>
        <v>516464.87412440742</v>
      </c>
    </row>
    <row r="71" spans="10:14" x14ac:dyDescent="0.15">
      <c r="J71" s="406"/>
      <c r="K71" s="407" t="s">
        <v>261</v>
      </c>
      <c r="L71" s="407"/>
      <c r="M71" s="416">
        <f>IF($G$51=1, 'Ranch Strategies'!S135,'Ranch Strategies'!S218)</f>
        <v>543531.01958733075</v>
      </c>
      <c r="N71" s="417">
        <f>IF($G$51=1, 'Ranch Strategies'!S218,'Ranch Strategies'!S135)</f>
        <v>522400.98477344931</v>
      </c>
    </row>
    <row r="72" spans="10:14" x14ac:dyDescent="0.15">
      <c r="J72" s="406"/>
      <c r="K72" s="407" t="s">
        <v>284</v>
      </c>
      <c r="L72" s="407"/>
      <c r="M72" s="416">
        <f>IF($G$51=1, 'Ranch Strategies'!T135,'Ranch Strategies'!T218)</f>
        <v>631323.21299321484</v>
      </c>
      <c r="N72" s="417">
        <f>IF($G$51=1, 'Ranch Strategies'!T218,'Ranch Strategies'!T135)</f>
        <v>618339.89415268181</v>
      </c>
    </row>
    <row r="73" spans="10:14" x14ac:dyDescent="0.15">
      <c r="J73" s="406"/>
      <c r="K73" s="407" t="s">
        <v>285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 x14ac:dyDescent="0.15">
      <c r="J74" s="409" t="s">
        <v>291</v>
      </c>
      <c r="K74" s="407"/>
      <c r="L74" s="407"/>
      <c r="M74" s="407"/>
      <c r="N74" s="408"/>
    </row>
    <row r="75" spans="10:14" x14ac:dyDescent="0.15">
      <c r="J75" s="406"/>
      <c r="K75" s="407" t="s">
        <v>300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 x14ac:dyDescent="0.15">
      <c r="J76" s="406"/>
      <c r="K76" s="407" t="s">
        <v>282</v>
      </c>
      <c r="L76" s="407"/>
      <c r="M76" s="416">
        <f>IF($G$51=1,'Ranch Strategies'!Q149,'Ranch Strategies'!Q232)</f>
        <v>634379.09372344555</v>
      </c>
      <c r="N76" s="417">
        <f>IF($G$51=1,'Ranch Strategies'!Q232,'Ranch Strategies'!Q149)</f>
        <v>630780.43087131623</v>
      </c>
    </row>
    <row r="77" spans="10:14" x14ac:dyDescent="0.15">
      <c r="J77" s="406"/>
      <c r="K77" s="407" t="s">
        <v>283</v>
      </c>
      <c r="L77" s="407"/>
      <c r="M77" s="416">
        <f>IF($G$51=1,'Ranch Strategies'!R149,'Ranch Strategies'!R232)</f>
        <v>559075.76678500324</v>
      </c>
      <c r="N77" s="417">
        <f>IF($G$51=1,'Ranch Strategies'!R232,'Ranch Strategies'!R149)</f>
        <v>542245.31042002421</v>
      </c>
    </row>
    <row r="78" spans="10:14" x14ac:dyDescent="0.15">
      <c r="J78" s="406"/>
      <c r="K78" s="407" t="s">
        <v>261</v>
      </c>
      <c r="L78" s="407"/>
      <c r="M78" s="416">
        <f>IF($G$51=1,'Ranch Strategies'!S149,'Ranch Strategies'!S232)</f>
        <v>564856.36149929219</v>
      </c>
      <c r="N78" s="417">
        <f>IF($G$51=1,'Ranch Strategies'!S232,'Ranch Strategies'!S149)</f>
        <v>548232.32321788161</v>
      </c>
    </row>
    <row r="79" spans="10:14" x14ac:dyDescent="0.15">
      <c r="J79" s="406"/>
      <c r="K79" s="407" t="s">
        <v>284</v>
      </c>
      <c r="L79" s="407"/>
      <c r="M79" s="416">
        <f>IF($G$51=1,'Ranch Strategies'!T149,'Ranch Strategies'!T232)</f>
        <v>657774.62296363164</v>
      </c>
      <c r="N79" s="417">
        <f>IF($G$51=1,'Ranch Strategies'!T232,'Ranch Strategies'!T149)</f>
        <v>649367.158745041</v>
      </c>
    </row>
    <row r="80" spans="10:14" x14ac:dyDescent="0.15">
      <c r="J80" s="410"/>
      <c r="K80" s="411" t="s">
        <v>285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38"/>
  <sheetViews>
    <sheetView workbookViewId="0">
      <selection activeCell="C9" sqref="C9"/>
    </sheetView>
  </sheetViews>
  <sheetFormatPr baseColWidth="10" defaultColWidth="9.1640625" defaultRowHeight="15" x14ac:dyDescent="0.2"/>
  <cols>
    <col min="1" max="1" width="13.5" style="172" customWidth="1"/>
    <col min="2" max="4" width="9.1640625" style="172"/>
    <col min="5" max="5" width="9.1640625" style="172" customWidth="1"/>
    <col min="6" max="8" width="9.1640625" style="172"/>
    <col min="9" max="10" width="9.1640625" style="172" customWidth="1"/>
    <col min="11" max="16384" width="9.1640625" style="172"/>
  </cols>
  <sheetData>
    <row r="1" spans="1:24" ht="16" thickBot="1" x14ac:dyDescent="0.25">
      <c r="A1"/>
      <c r="B1"/>
      <c r="C1"/>
      <c r="D1"/>
      <c r="P1"/>
    </row>
    <row r="2" spans="1:24" ht="16" thickBot="1" x14ac:dyDescent="0.25">
      <c r="A2"/>
      <c r="B2"/>
      <c r="C2"/>
      <c r="D2" t="s">
        <v>268</v>
      </c>
      <c r="E2" s="225" t="s">
        <v>255</v>
      </c>
      <c r="F2" s="269" t="s">
        <v>256</v>
      </c>
      <c r="G2" s="225" t="s">
        <v>257</v>
      </c>
      <c r="H2" s="225"/>
      <c r="P2"/>
    </row>
    <row r="3" spans="1:24" x14ac:dyDescent="0.2">
      <c r="A3" s="174" t="s">
        <v>187</v>
      </c>
      <c r="B3"/>
      <c r="C3"/>
      <c r="D3">
        <f>SUM(D16:O16)</f>
        <v>0.52506122115640519</v>
      </c>
      <c r="E3" s="172">
        <f>SUM(D17:O17)</f>
        <v>0.86285919084859752</v>
      </c>
      <c r="F3" s="172">
        <f>SUM(D18:O18)</f>
        <v>0.77091180097417411</v>
      </c>
      <c r="G3" s="172">
        <f>SUM(D19:O19)</f>
        <v>0.74817432356158775</v>
      </c>
      <c r="P3"/>
    </row>
    <row r="4" spans="1:24" x14ac:dyDescent="0.2">
      <c r="P4"/>
    </row>
    <row r="5" spans="1:24" x14ac:dyDescent="0.2">
      <c r="A5" s="268"/>
      <c r="P5"/>
    </row>
    <row r="6" spans="1:24" x14ac:dyDescent="0.2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 x14ac:dyDescent="0.2">
      <c r="A7" s="225" t="s">
        <v>250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 x14ac:dyDescent="0.2">
      <c r="A8" s="225" t="s">
        <v>186</v>
      </c>
      <c r="D8" s="173">
        <f>'CPER Precip'!B81</f>
        <v>0.29934210526315791</v>
      </c>
      <c r="E8" s="173">
        <f>IF($E$7&lt;$C$9,('CPER Precip'!C81),"#N/A")</f>
        <v>0.27960526315789486</v>
      </c>
      <c r="F8" s="173">
        <f>IF($F$7&lt;$C$9,('CPER Precip'!D81),"#N/A")</f>
        <v>0.72394736842105234</v>
      </c>
      <c r="G8" s="173">
        <f>IF($G$7&lt;$C$9,('CPER Precip'!E81), "#N/A")</f>
        <v>1.2507894736842105</v>
      </c>
      <c r="H8" s="173">
        <f>IF($H$7&lt;$C$9,('CPER Precip'!F81),"#N/A")</f>
        <v>2.2273684210526317</v>
      </c>
      <c r="I8" s="173" t="str">
        <f>IF($I$7&lt;$C$9,('CPER Precip'!G81),"#N/A")</f>
        <v>#N/A</v>
      </c>
      <c r="J8" s="173" t="str">
        <f>IF($J$7&lt;$C$9,('CPER Precip'!H81),"#N/A")</f>
        <v>#N/A</v>
      </c>
      <c r="K8" s="173" t="str">
        <f>IF($K$7&lt;$C$9,('CPER Precip'!I81),"#N/A")</f>
        <v>#N/A</v>
      </c>
      <c r="L8" s="173" t="str">
        <f>IF($L$7&lt;$C$9,('CPER Precip'!J81),"#N/A")</f>
        <v>#N/A</v>
      </c>
      <c r="M8" s="173" t="str">
        <f>IF($M$7&lt;$C$9,('CPER Precip'!K81),"#N/A")</f>
        <v>#N/A</v>
      </c>
      <c r="N8" s="173" t="str">
        <f>IF($N$7&lt;$C$9,('CPER Precip'!L81),"#N/A")</f>
        <v>#N/A</v>
      </c>
      <c r="O8" s="173" t="str">
        <f>IF($O$7&lt;$C$9,('CPER Precip'!M81),"#N/A")</f>
        <v>#N/A</v>
      </c>
      <c r="P8"/>
      <c r="Q8" s="348" t="s">
        <v>304</v>
      </c>
      <c r="X8"/>
    </row>
    <row r="9" spans="1:24" x14ac:dyDescent="0.2">
      <c r="A9" s="225" t="s">
        <v>173</v>
      </c>
      <c r="B9" s="226">
        <f>UI!F8</f>
        <v>2002</v>
      </c>
      <c r="C9" s="226">
        <f>UI!F9</f>
        <v>6</v>
      </c>
      <c r="D9" s="172">
        <f>VLOOKUP($B$9, 'CPER Precip'!$A$2:$M$81,D7+1)</f>
        <v>0.23</v>
      </c>
      <c r="E9" s="172">
        <f>IF($E$7&lt;$C$9,(VLOOKUP($B$9, 'CPER Precip'!$A$2:$M$81,E7+1)), "#N/A")</f>
        <v>0.26</v>
      </c>
      <c r="F9" s="172">
        <f>IF($F$7&lt;$C$9,(VLOOKUP($B$9, 'CPER Precip'!$A$2:$M$81,F7+1)), "#N/A")</f>
        <v>0.69</v>
      </c>
      <c r="G9" s="172">
        <f>IF($G$7&lt;$C$9,(VLOOKUP($B$9, 'CPER Precip'!$A$2:$M$81,G7+1)),"#N/A")</f>
        <v>0.32</v>
      </c>
      <c r="H9" s="172">
        <f>IF($H$7&lt;$C$9,(VLOOKUP($B$9, 'CPER Precip'!$A$2:$M$81,H7+1)),"#N/A")</f>
        <v>1.27</v>
      </c>
      <c r="I9" s="172" t="str">
        <f>IF($I$7&lt;$C$9,(VLOOKUP($B$9, 'CPER Precip'!$A$2:$M$81,I7+1)),"#N/A")</f>
        <v>#N/A</v>
      </c>
      <c r="J9" s="172" t="str">
        <f>IF($J$7&lt;$C$9,(VLOOKUP($B$9, 'CPER Precip'!$A$2:$M$81,J7+1)),"#N/A")</f>
        <v>#N/A</v>
      </c>
      <c r="K9" s="172" t="str">
        <f>IF($K$7&lt;$C$9,(VLOOKUP($B$9, 'CPER Precip'!$A$2:$M$81,K7+1)),"#N/A")</f>
        <v>#N/A</v>
      </c>
      <c r="L9" s="172" t="str">
        <f>IF($L$7&lt;$C$9,(VLOOKUP($B$9, 'CPER Precip'!$A$2:$M$81,L7+1)),"#N/A")</f>
        <v>#N/A</v>
      </c>
      <c r="M9" s="172" t="str">
        <f>IF($M$7&lt;$C$9,(VLOOKUP($B$9, 'CPER Precip'!$A$2:$M$81,M7+1)),"#N/A")</f>
        <v>#N/A</v>
      </c>
      <c r="N9" s="172" t="str">
        <f>IF($N$7&lt;$C$9,(VLOOKUP($B$9, 'CPER Precip'!$A$2:$M$81,N7+1)),"#N/A")</f>
        <v>#N/A</v>
      </c>
      <c r="O9" s="172" t="str">
        <f>IF($O$7&lt;$C$9,(VLOOKUP($B$9, 'CPER Precip'!$A$2:$M$81,O7+1)),"#N/A")</f>
        <v>#N/A</v>
      </c>
      <c r="P9"/>
      <c r="Q9" s="226">
        <v>8</v>
      </c>
      <c r="X9"/>
    </row>
    <row r="10" spans="1:24" x14ac:dyDescent="0.2">
      <c r="A10" s="225" t="s">
        <v>204</v>
      </c>
      <c r="D10" s="172">
        <f>D9/D8</f>
        <v>0.76835164835164838</v>
      </c>
      <c r="E10" s="172">
        <f>IF($E$7&lt;$C$9,(E9/E8), "#N/A")</f>
        <v>0.92988235294117605</v>
      </c>
      <c r="F10" s="172">
        <f>IF($F$7&lt;$C$9,(F9/F8), "#N/A")</f>
        <v>0.9531079607415488</v>
      </c>
      <c r="G10" s="172">
        <f>IF($G$7&lt;$C$9,(G9/G8),"#N/A")</f>
        <v>0.25583841784136335</v>
      </c>
      <c r="H10" s="172">
        <f>IF($H$7&lt;$C$9,(H9/H8),"#N/A")</f>
        <v>0.57017958412098302</v>
      </c>
      <c r="I10" s="172" t="str">
        <f>IF($I$7&lt;$C$9,(I9/I8), "#N/A")</f>
        <v>#N/A</v>
      </c>
      <c r="J10" s="172" t="str">
        <f>IF($J$7&lt;$C$9,(J9/J8),"#N/A")</f>
        <v>#N/A</v>
      </c>
      <c r="K10" s="172" t="str">
        <f>IF($K$7&lt;$C$9,(K9/K8),"#N/A")</f>
        <v>#N/A</v>
      </c>
      <c r="L10" s="172" t="str">
        <f>IF($L$7&lt;$C$9,(L9/L8),"#N/A")</f>
        <v>#N/A</v>
      </c>
      <c r="M10" s="172" t="str">
        <f>IF($M$7&lt;$C$9,(M9/M8),"#N/A")</f>
        <v>#N/A</v>
      </c>
      <c r="N10" s="172" t="str">
        <f>IF($N$7&lt;$C$9,(N9/N8),"#N/A")</f>
        <v>#N/A</v>
      </c>
      <c r="O10" s="172" t="str">
        <f>IF($O$7&lt;$C$9,(O9/O8),"#N/A")</f>
        <v>#N/A</v>
      </c>
      <c r="P10"/>
      <c r="X10"/>
    </row>
    <row r="11" spans="1:24" x14ac:dyDescent="0.2">
      <c r="A11" s="225" t="s">
        <v>251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/>
      <c r="Q11"/>
      <c r="R11"/>
      <c r="X11"/>
    </row>
    <row r="12" spans="1:24" x14ac:dyDescent="0.2">
      <c r="A12" s="225" t="s">
        <v>252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/>
      <c r="Q12"/>
      <c r="R12"/>
      <c r="X12"/>
    </row>
    <row r="13" spans="1:24" x14ac:dyDescent="0.2">
      <c r="A13" s="225" t="s">
        <v>253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Q13"/>
      <c r="R13"/>
      <c r="X13"/>
    </row>
    <row r="14" spans="1:24" x14ac:dyDescent="0.2">
      <c r="A14" s="225" t="s">
        <v>254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Q14"/>
      <c r="R14"/>
      <c r="X14"/>
    </row>
    <row r="15" spans="1:24" ht="16" x14ac:dyDescent="0.2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X15"/>
    </row>
    <row r="16" spans="1:24" x14ac:dyDescent="0.2">
      <c r="A16" s="348" t="s">
        <v>264</v>
      </c>
      <c r="D16" s="172">
        <f>D11*D$10</f>
        <v>0.12139956043956045</v>
      </c>
      <c r="E16" s="172">
        <f>IF($E$7&lt;$C$9,(E11*E$10),0)</f>
        <v>0</v>
      </c>
      <c r="F16" s="172">
        <f>IF($F$7&lt;$C$9,(F11*F$10),IF($Q$9&gt;$F$7,0.049431,0.086547))</f>
        <v>0.13152889858233374</v>
      </c>
      <c r="G16" s="172">
        <f>IF($G$7&lt;$C$9,(G11*G$10),IF($Q$9&gt;$G$7,0.049431,0.086547))</f>
        <v>0.10182369030086262</v>
      </c>
      <c r="H16" s="172">
        <f>IF($H$7&lt;$C$9,(H11*H$10),IF($Q$9&gt;$H$7,0.049431,0.086547))</f>
        <v>0.12087807183364839</v>
      </c>
      <c r="I16" s="172">
        <f>IF($I$7&lt;$C$9,(I11*I$10),IF($Q$9&gt;$I$7,0.049431,0.086547))</f>
        <v>4.9431000000000003E-2</v>
      </c>
      <c r="J16" s="172">
        <f>IF($J$7&lt;$C$9,(J11*J$10), 0)</f>
        <v>0</v>
      </c>
      <c r="K16" s="172">
        <f>IF($K$7&lt;$C$9,(K11*K$10),0)</f>
        <v>0</v>
      </c>
      <c r="L16" s="172">
        <f>IF($L$7&lt;$C$9,(L11*L$10), 0)</f>
        <v>0</v>
      </c>
      <c r="M16" s="172">
        <f>IF($M$7&lt;$C$9,(M11*M$10), 0)</f>
        <v>0</v>
      </c>
      <c r="N16" s="172">
        <f>IF($N$7&lt;$C$9,(N11*N$10),0)</f>
        <v>0</v>
      </c>
      <c r="O16" s="172">
        <f>IF($O$7&lt;$C$9,(O11*O$10), 0)</f>
        <v>0</v>
      </c>
      <c r="X16"/>
    </row>
    <row r="17" spans="1:24" x14ac:dyDescent="0.2">
      <c r="A17" s="348" t="s">
        <v>265</v>
      </c>
      <c r="D17" s="172">
        <f>D12*D$10</f>
        <v>7.6835164835164843E-3</v>
      </c>
      <c r="E17" s="172">
        <f>IF($E$7&lt;$C$9,(E12*E$10), IF($Q$9&gt;$E$7,0.047911,0.118421))</f>
        <v>9.2988235294117604E-3</v>
      </c>
      <c r="F17" s="172">
        <f>IF($F$7&lt;$C$9,(F12*F$10), IF($Q$9&gt;$F$7,0.047911,0.118421))</f>
        <v>3.8578891413762105E-2</v>
      </c>
      <c r="G17" s="172">
        <f>IF($G$7&lt;$C$9,(G12*G$10), IF($Q$9&gt;$G$7,0.047911,0.118421))</f>
        <v>2.814222596254997E-2</v>
      </c>
      <c r="H17" s="172">
        <f>IF($H$7&lt;$C$9,(H12*H$10), IF($Q$9&gt;$H$7,0.047911,0.118421))</f>
        <v>9.1228733459357281E-2</v>
      </c>
      <c r="I17" s="172">
        <f>IF($I$7&lt;$C$9,(I12*I$10), IF($Q$9&gt;$I$7,0.047911,0.118421))</f>
        <v>4.7911000000000002E-2</v>
      </c>
      <c r="J17" s="172">
        <f>IF($J$7&lt;$C$9,(J12*J$10), IF($Q$9&gt;$J$7,0.047911,0.118421))</f>
        <v>4.7911000000000002E-2</v>
      </c>
      <c r="K17" s="172">
        <f>IF($K$7&lt;$C$9,(K12*K$10), IF($Q$9&gt;$K$7,0.047911,0.118421))</f>
        <v>0.118421</v>
      </c>
      <c r="L17" s="172">
        <f>IF($L$7&lt;$C$9,(L12*L$10), IF($Q$9&gt;$L$7,0.047911,0.118421))</f>
        <v>0.118421</v>
      </c>
      <c r="M17" s="172">
        <f>IF($M$7&lt;$C$9,(M12*M$10), IF($Q$9&gt;$M$7,0.047911,0.118421))</f>
        <v>0.118421</v>
      </c>
      <c r="N17" s="172">
        <f>IF($N$7&lt;$C$9,(N12*N$10), IF($Q$9&gt;$N$7,0.047911,0.118421))</f>
        <v>0.118421</v>
      </c>
      <c r="O17" s="172">
        <f>IF($O$7&lt;$C$9,(O12*O$10), IF($Q$9&gt;$O$7,0.047911,0.118421))</f>
        <v>0.118421</v>
      </c>
      <c r="X17"/>
    </row>
    <row r="18" spans="1:24" x14ac:dyDescent="0.2">
      <c r="A18" s="348" t="s">
        <v>266</v>
      </c>
      <c r="D18" s="172">
        <f>D13*D$10</f>
        <v>7.6835164835164843E-3</v>
      </c>
      <c r="E18" s="172">
        <f>IF($E$7&lt;$C$9,(E13*E$10), IF($Q$9&gt;$E$7, 0.048161,0.099464))</f>
        <v>9.2988235294117604E-3</v>
      </c>
      <c r="F18" s="172">
        <f>IF($F$7&lt;$C$9,(F13*F$10), IF($Q$9&gt;$F$7, 0.048161,0.099464))</f>
        <v>4.2889858233369695E-2</v>
      </c>
      <c r="G18" s="172">
        <f>IF($G$7&lt;$C$9,(G13*G$10), IF($Q$9&gt;$G$7, 0.048161,0.099464))</f>
        <v>2.0467073427309069E-2</v>
      </c>
      <c r="H18" s="172">
        <f>IF($H$7&lt;$C$9,(H13*H$10), IF($Q$9&gt;$H$7, 0.048161,0.099464))</f>
        <v>9.6930529300567114E-2</v>
      </c>
      <c r="I18" s="172">
        <f>IF($I$7&lt;$C$9,(I13*I$10), IF($Q$9&gt;$I$7, 0.048161,0.099464))</f>
        <v>4.8161000000000002E-2</v>
      </c>
      <c r="J18" s="172">
        <f>IF($J$7&lt;$C$9,(J13*J$10),IF($Q$9&gt;$J$7,0.048161,0.099464))</f>
        <v>4.8161000000000002E-2</v>
      </c>
      <c r="K18" s="172">
        <f>IF($K$7&lt;$C$9,(K13*K$10), IF($Q$9&gt;$K$7, 0.048161,0.099464))</f>
        <v>9.9463999999999997E-2</v>
      </c>
      <c r="L18" s="172">
        <f>IF($L$7&lt;$C$9,(L13*L$10),IF($Q$9&gt;$L$7,0.048161,0.099464))</f>
        <v>9.9463999999999997E-2</v>
      </c>
      <c r="M18" s="172">
        <f>IF($M$7&lt;$C$9,(M13*M$10), IF($Q$9&gt;$M$7, 0.048161,0.099464))</f>
        <v>9.9463999999999997E-2</v>
      </c>
      <c r="N18" s="172">
        <f>IF($N$7&lt;$C$9,(N13*N$10), IF($Q$9&gt;$N$7, 0.048161,0.099464))</f>
        <v>9.9463999999999997E-2</v>
      </c>
      <c r="O18" s="172">
        <f>IF($O$7&lt;$C$9,(O13*O$10), IF($Q$9&gt;$O$7, 0.048161,0.099464))</f>
        <v>9.9463999999999997E-2</v>
      </c>
      <c r="X18"/>
    </row>
    <row r="19" spans="1:24" x14ac:dyDescent="0.2">
      <c r="A19" s="348" t="s">
        <v>267</v>
      </c>
      <c r="D19" s="172">
        <f>D14*D$10</f>
        <v>7.6835164835164843E-3</v>
      </c>
      <c r="E19" s="172">
        <f>IF($E$7&lt;$C$9,(E14*E$10),IF($Q$9&gt;$E$7, 0.046688,0.109621))</f>
        <v>9.2988235294117604E-3</v>
      </c>
      <c r="F19" s="172">
        <f>IF($F$7&lt;$C$9,(F14*F$10),IF($Q$9&gt;$F$7, 0.046688,0.109621))</f>
        <v>3.6189509269356608E-2</v>
      </c>
      <c r="G19" s="172">
        <f>IF($G$7&lt;$C$9,(G14*G$10),IF($Q$9&gt;$G$7, 0.046688,0.109621))</f>
        <v>1.075800547022933E-2</v>
      </c>
      <c r="H19" s="172">
        <f>IF($H$7&lt;$C$9,(H14*H$10),IF($Q$9&gt;$H$7, 0.046688,0.109621))</f>
        <v>4.2763468809073724E-2</v>
      </c>
      <c r="I19" s="172">
        <f>IF($I$7&lt;$C$9,(I14*I$10),IF($Q$9&gt;$I$7, 0.046688,0.109621))</f>
        <v>4.6688E-2</v>
      </c>
      <c r="J19" s="172">
        <f>IF($J$7&lt;$C$9,(J14*J$10),IF($Q$9&gt;$J$7, 0.046688,0.109621))</f>
        <v>4.6688E-2</v>
      </c>
      <c r="K19" s="172">
        <f>IF($K$7&lt;$C$9,(K14*K$10),IF($Q$9&gt;$K$7, 0.046688,0.109621))</f>
        <v>0.109621</v>
      </c>
      <c r="L19" s="172">
        <f>IF($L$7&lt;$C$9,(L14*L$10),IF($Q$9&gt;$L$7, 0.046688,0.109621))</f>
        <v>0.109621</v>
      </c>
      <c r="M19" s="172">
        <f>IF($M$7&lt;$C$9,(M14*M$10),IF($Q$9&gt;$M$7, 0.046688,0.109621))</f>
        <v>0.109621</v>
      </c>
      <c r="N19" s="172">
        <f>IF($N$7&lt;$C$9,(N14*N$10),IF($Q$9&gt;$N$7, 0.046688,0.109621))</f>
        <v>0.109621</v>
      </c>
      <c r="O19" s="172">
        <f>IF($O$7&lt;$C$9,(O14*O$10),IF($Q$9&gt;$O$7, 0.046688,0.109621))</f>
        <v>0.109621</v>
      </c>
      <c r="X19"/>
    </row>
    <row r="20" spans="1:24" x14ac:dyDescent="0.2">
      <c r="X20"/>
    </row>
    <row r="21" spans="1:24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83"/>
  <sheetViews>
    <sheetView topLeftCell="A65" zoomScale="125" zoomScaleNormal="125" zoomScalePageLayoutView="125" workbookViewId="0">
      <selection activeCell="N31" sqref="N31"/>
    </sheetView>
  </sheetViews>
  <sheetFormatPr baseColWidth="10" defaultColWidth="9.1640625" defaultRowHeight="13" x14ac:dyDescent="0.15"/>
  <cols>
    <col min="1" max="1" width="12.5" style="175" customWidth="1"/>
    <col min="2" max="13" width="5.6640625" style="175" customWidth="1"/>
    <col min="14" max="14" width="6.5" style="175" customWidth="1"/>
    <col min="15" max="16384" width="9.1640625" style="175"/>
  </cols>
  <sheetData>
    <row r="1" spans="1:16" x14ac:dyDescent="0.15">
      <c r="A1" s="175" t="s">
        <v>188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6" x14ac:dyDescent="0.15">
      <c r="A2" s="175" t="s">
        <v>173</v>
      </c>
      <c r="B2" s="176" t="s">
        <v>189</v>
      </c>
      <c r="C2" s="176" t="s">
        <v>190</v>
      </c>
      <c r="D2" s="176" t="s">
        <v>191</v>
      </c>
      <c r="E2" s="176" t="s">
        <v>192</v>
      </c>
      <c r="F2" s="176" t="s">
        <v>193</v>
      </c>
      <c r="G2" s="176" t="s">
        <v>194</v>
      </c>
      <c r="H2" s="176" t="s">
        <v>195</v>
      </c>
      <c r="I2" s="176" t="s">
        <v>196</v>
      </c>
      <c r="J2" s="176" t="s">
        <v>197</v>
      </c>
      <c r="K2" s="176" t="s">
        <v>198</v>
      </c>
      <c r="L2" s="176" t="s">
        <v>199</v>
      </c>
      <c r="M2" s="176" t="s">
        <v>200</v>
      </c>
      <c r="N2" s="175" t="s">
        <v>56</v>
      </c>
    </row>
    <row r="3" spans="1:16" x14ac:dyDescent="0.15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 x14ac:dyDescent="0.15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 x14ac:dyDescent="0.15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 x14ac:dyDescent="0.15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 x14ac:dyDescent="0.15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201</v>
      </c>
      <c r="P7" s="178"/>
    </row>
    <row r="8" spans="1:16" x14ac:dyDescent="0.15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 x14ac:dyDescent="0.15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 x14ac:dyDescent="0.15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 x14ac:dyDescent="0.15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 x14ac:dyDescent="0.15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 x14ac:dyDescent="0.15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 x14ac:dyDescent="0.15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 x14ac:dyDescent="0.15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 x14ac:dyDescent="0.15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 x14ac:dyDescent="0.15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 x14ac:dyDescent="0.15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 x14ac:dyDescent="0.15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 x14ac:dyDescent="0.15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 x14ac:dyDescent="0.15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 x14ac:dyDescent="0.15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 x14ac:dyDescent="0.15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 x14ac:dyDescent="0.15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 x14ac:dyDescent="0.15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 x14ac:dyDescent="0.15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 x14ac:dyDescent="0.15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 x14ac:dyDescent="0.15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 x14ac:dyDescent="0.15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 x14ac:dyDescent="0.15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 x14ac:dyDescent="0.15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 x14ac:dyDescent="0.15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 x14ac:dyDescent="0.15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 x14ac:dyDescent="0.15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 x14ac:dyDescent="0.15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 x14ac:dyDescent="0.15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 x14ac:dyDescent="0.15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 x14ac:dyDescent="0.15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 x14ac:dyDescent="0.15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 x14ac:dyDescent="0.15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 x14ac:dyDescent="0.15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 x14ac:dyDescent="0.15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 x14ac:dyDescent="0.15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 x14ac:dyDescent="0.15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 x14ac:dyDescent="0.15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 x14ac:dyDescent="0.15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 x14ac:dyDescent="0.15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 x14ac:dyDescent="0.15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 x14ac:dyDescent="0.15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 x14ac:dyDescent="0.15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 x14ac:dyDescent="0.15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 x14ac:dyDescent="0.15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 x14ac:dyDescent="0.15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 x14ac:dyDescent="0.15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 x14ac:dyDescent="0.15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 x14ac:dyDescent="0.15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 x14ac:dyDescent="0.15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 x14ac:dyDescent="0.15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 x14ac:dyDescent="0.15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 x14ac:dyDescent="0.15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 x14ac:dyDescent="0.15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 x14ac:dyDescent="0.15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 x14ac:dyDescent="0.15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 x14ac:dyDescent="0.15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 x14ac:dyDescent="0.15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 x14ac:dyDescent="0.15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 x14ac:dyDescent="0.15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 x14ac:dyDescent="0.15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 x14ac:dyDescent="0.15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 x14ac:dyDescent="0.15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 x14ac:dyDescent="0.15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 x14ac:dyDescent="0.15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 x14ac:dyDescent="0.15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 x14ac:dyDescent="0.15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 x14ac:dyDescent="0.15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 x14ac:dyDescent="0.15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201</v>
      </c>
      <c r="P76" s="175" t="s">
        <v>201</v>
      </c>
      <c r="Q76" s="175" t="s">
        <v>201</v>
      </c>
      <c r="R76" s="175" t="s">
        <v>201</v>
      </c>
      <c r="S76" s="175" t="s">
        <v>201</v>
      </c>
      <c r="T76" s="175" t="s">
        <v>201</v>
      </c>
      <c r="U76" s="175" t="s">
        <v>201</v>
      </c>
      <c r="V76" s="175" t="s">
        <v>201</v>
      </c>
      <c r="W76" s="175" t="s">
        <v>201</v>
      </c>
      <c r="X76" s="175" t="s">
        <v>201</v>
      </c>
    </row>
    <row r="77" spans="1:24" x14ac:dyDescent="0.15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 x14ac:dyDescent="0.15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 x14ac:dyDescent="0.15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 x14ac:dyDescent="0.15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 x14ac:dyDescent="0.15">
      <c r="A81" s="175" t="s">
        <v>202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 x14ac:dyDescent="0.15">
      <c r="B82" s="177" t="s">
        <v>201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 x14ac:dyDescent="0.15">
      <c r="A83" s="180" t="s">
        <v>203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M236"/>
  <sheetViews>
    <sheetView tabSelected="1" topLeftCell="A52" zoomScale="158" zoomScaleNormal="158" zoomScalePageLayoutView="158" workbookViewId="0">
      <selection activeCell="U59" sqref="U59"/>
    </sheetView>
  </sheetViews>
  <sheetFormatPr baseColWidth="10" defaultColWidth="8.83203125" defaultRowHeight="13" x14ac:dyDescent="0.15"/>
  <cols>
    <col min="2" max="2" width="0.83203125" customWidth="1"/>
    <col min="3" max="3" width="9.6640625" customWidth="1"/>
    <col min="4" max="4" width="1.83203125" customWidth="1"/>
    <col min="5" max="5" width="11.6640625" customWidth="1"/>
    <col min="6" max="6" width="0.83203125" customWidth="1"/>
    <col min="7" max="7" width="17.6640625" customWidth="1"/>
    <col min="8" max="8" width="0.83203125" customWidth="1"/>
    <col min="9" max="9" width="14.1640625" customWidth="1"/>
    <col min="10" max="13" width="0.83203125" customWidth="1"/>
    <col min="14" max="14" width="2.6640625" customWidth="1"/>
    <col min="15" max="15" width="0.83203125" customWidth="1"/>
    <col min="16" max="20" width="10.6640625" customWidth="1"/>
    <col min="21" max="21" width="13.6640625" customWidth="1"/>
    <col min="22" max="22" width="9.1640625" customWidth="1"/>
    <col min="23" max="23" width="6.5" customWidth="1"/>
    <col min="25" max="28" width="10.6640625" customWidth="1"/>
    <col min="29" max="29" width="10.6640625" bestFit="1" customWidth="1"/>
  </cols>
  <sheetData>
    <row r="1" spans="1:39" x14ac:dyDescent="0.15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1" x14ac:dyDescent="0.25">
      <c r="A2" s="13"/>
      <c r="C2" s="347" t="s">
        <v>311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5" x14ac:dyDescent="0.2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5" x14ac:dyDescent="0.2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213</v>
      </c>
    </row>
    <row r="5" spans="1:39" ht="15" x14ac:dyDescent="0.2">
      <c r="A5" s="13"/>
      <c r="C5" s="168" t="s">
        <v>263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 x14ac:dyDescent="0.2">
      <c r="A6" s="13"/>
      <c r="C6" s="483" t="s">
        <v>270</v>
      </c>
      <c r="D6" s="483"/>
      <c r="E6" s="483"/>
      <c r="F6" s="483"/>
      <c r="G6" s="483"/>
      <c r="H6" s="483"/>
      <c r="I6" s="483"/>
      <c r="J6" s="483"/>
      <c r="K6" s="483"/>
      <c r="L6" s="483"/>
      <c r="M6" s="483"/>
      <c r="N6" s="483"/>
      <c r="O6" s="483"/>
      <c r="P6" s="483"/>
      <c r="Q6" s="483"/>
      <c r="R6" s="483"/>
      <c r="S6" s="483"/>
      <c r="T6" s="171"/>
      <c r="U6" s="170"/>
      <c r="W6" s="13"/>
    </row>
    <row r="7" spans="1:39" ht="15" customHeight="1" x14ac:dyDescent="0.2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 x14ac:dyDescent="0.2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 x14ac:dyDescent="0.2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 x14ac:dyDescent="0.2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310</v>
      </c>
      <c r="W10" s="13"/>
    </row>
    <row r="11" spans="1:39" ht="15" customHeight="1" x14ac:dyDescent="0.2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548.45515521918924</v>
      </c>
      <c r="AH11" s="363"/>
      <c r="AI11" s="357"/>
      <c r="AJ11" s="357"/>
      <c r="AK11" s="357"/>
      <c r="AM11" s="357"/>
    </row>
    <row r="12" spans="1:39" ht="15" customHeight="1" thickBot="1" x14ac:dyDescent="0.25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299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 x14ac:dyDescent="0.25">
      <c r="A13" s="67"/>
      <c r="C13" s="490" t="s">
        <v>309</v>
      </c>
      <c r="D13" s="490"/>
      <c r="E13" s="490"/>
      <c r="F13" s="490"/>
      <c r="G13" s="490"/>
      <c r="H13" s="67"/>
      <c r="I13" s="186">
        <f>'Drought Calculator'!F3</f>
        <v>0.77091180097417411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 x14ac:dyDescent="0.2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 x14ac:dyDescent="0.2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 x14ac:dyDescent="0.2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6</v>
      </c>
      <c r="AB16" s="274">
        <f>AA16*30</f>
        <v>180</v>
      </c>
      <c r="AH16" s="363"/>
      <c r="AJ16" s="357"/>
      <c r="AK16" s="357"/>
      <c r="AM16" s="357"/>
    </row>
    <row r="17" spans="1:39" ht="15" customHeight="1" x14ac:dyDescent="0.2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 x14ac:dyDescent="0.2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302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 x14ac:dyDescent="0.2">
      <c r="A19" s="67"/>
      <c r="C19" s="15" t="s">
        <v>214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249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 x14ac:dyDescent="0.2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 x14ac:dyDescent="0.2">
      <c r="A21" s="67"/>
      <c r="C21" s="164" t="s">
        <v>170</v>
      </c>
      <c r="I21" s="157">
        <f>UI!F10</f>
        <v>6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6</v>
      </c>
      <c r="AB21" s="276">
        <f>SUM(AB16:AB20)</f>
        <v>180</v>
      </c>
      <c r="AH21" s="363"/>
      <c r="AI21" s="357"/>
      <c r="AJ21" s="357"/>
      <c r="AK21" s="357"/>
      <c r="AM21" s="357"/>
    </row>
    <row r="22" spans="1:39" ht="15" customHeight="1" x14ac:dyDescent="0.2">
      <c r="A22" s="67"/>
      <c r="C22" s="163" t="s">
        <v>248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/>
      <c r="S22" s="469"/>
      <c r="T22" s="469"/>
      <c r="W22" s="13"/>
      <c r="AH22" s="363"/>
      <c r="AI22" s="357"/>
      <c r="AJ22" s="357"/>
      <c r="AK22" s="357"/>
      <c r="AM22" s="357"/>
    </row>
    <row r="23" spans="1:39" ht="16" customHeight="1" x14ac:dyDescent="0.2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 x14ac:dyDescent="0.2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 x14ac:dyDescent="0.2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4" t="s">
        <v>7</v>
      </c>
      <c r="U25" s="485"/>
      <c r="W25" s="13"/>
    </row>
    <row r="26" spans="1:39" ht="15" customHeight="1" thickBot="1" x14ac:dyDescent="0.25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 x14ac:dyDescent="0.25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180</v>
      </c>
      <c r="Q27" s="7"/>
      <c r="R27" s="7"/>
      <c r="S27" s="7"/>
      <c r="T27" s="253">
        <f>I29*P27</f>
        <v>198.00000000000003</v>
      </c>
      <c r="U27" s="254">
        <f>T27*I8</f>
        <v>118800.00000000001</v>
      </c>
      <c r="W27" s="13"/>
    </row>
    <row r="28" spans="1:39" ht="15" customHeight="1" thickTop="1" x14ac:dyDescent="0.2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 x14ac:dyDescent="0.2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180</v>
      </c>
      <c r="Q29" s="8"/>
      <c r="R29" s="8"/>
      <c r="S29" s="8"/>
      <c r="T29" s="255">
        <f>I29*P29</f>
        <v>198.00000000000003</v>
      </c>
      <c r="U29" s="256">
        <f>T29*I8</f>
        <v>118800.00000000001</v>
      </c>
      <c r="W29" s="13"/>
    </row>
    <row r="30" spans="1:39" ht="10" customHeight="1" x14ac:dyDescent="0.2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 x14ac:dyDescent="0.2">
      <c r="A31" s="67"/>
      <c r="C31" s="61" t="s">
        <v>215</v>
      </c>
      <c r="D31" s="29"/>
      <c r="E31" s="65"/>
      <c r="P31" s="61" t="s">
        <v>215</v>
      </c>
      <c r="Q31" s="29"/>
      <c r="R31" s="65"/>
    </row>
    <row r="32" spans="1:39" ht="15" customHeight="1" x14ac:dyDescent="0.2">
      <c r="A32" s="67"/>
      <c r="C32" s="283" t="s">
        <v>227</v>
      </c>
      <c r="D32" s="188"/>
      <c r="E32" s="189"/>
      <c r="F32" s="189"/>
      <c r="G32" s="189"/>
      <c r="H32" s="189"/>
      <c r="I32" s="9">
        <f>UI!G52</f>
        <v>3000</v>
      </c>
      <c r="P32" s="283" t="s">
        <v>240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 x14ac:dyDescent="0.2">
      <c r="A33" s="67"/>
      <c r="C33" s="284" t="s">
        <v>205</v>
      </c>
      <c r="D33" s="190"/>
      <c r="E33" s="191"/>
      <c r="F33" s="191"/>
      <c r="G33" s="191"/>
      <c r="H33" s="191"/>
      <c r="I33" s="220">
        <f>UI!G53</f>
        <v>0.9</v>
      </c>
      <c r="P33" s="284" t="s">
        <v>239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 x14ac:dyDescent="0.2">
      <c r="A34" s="67"/>
      <c r="C34" s="284" t="s">
        <v>228</v>
      </c>
      <c r="D34" s="190"/>
      <c r="E34" s="191"/>
      <c r="F34" s="191"/>
      <c r="G34" s="191"/>
      <c r="H34" s="191"/>
      <c r="I34" s="220">
        <f>UI!G54</f>
        <v>1</v>
      </c>
      <c r="P34" s="284" t="s">
        <v>241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 x14ac:dyDescent="0.2">
      <c r="A35" s="67"/>
      <c r="C35" s="284" t="s">
        <v>229</v>
      </c>
      <c r="D35" s="190"/>
      <c r="E35" s="191"/>
      <c r="F35" s="191"/>
      <c r="G35" s="191"/>
      <c r="H35" s="191"/>
      <c r="I35" s="10">
        <f>UI!G55</f>
        <v>33</v>
      </c>
      <c r="P35" s="284" t="s">
        <v>242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 x14ac:dyDescent="0.2">
      <c r="A36" s="67"/>
      <c r="C36" s="284" t="s">
        <v>230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243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 x14ac:dyDescent="0.2">
      <c r="A37" s="67"/>
      <c r="C37" s="284" t="s">
        <v>238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244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 x14ac:dyDescent="0.2">
      <c r="A38" s="67"/>
      <c r="C38" s="285"/>
      <c r="D38" s="192"/>
      <c r="E38" s="193"/>
      <c r="F38" s="193"/>
      <c r="G38" s="193"/>
      <c r="H38" s="193"/>
      <c r="I38" s="194"/>
      <c r="P38" s="285" t="s">
        <v>245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 x14ac:dyDescent="0.2">
      <c r="A39" s="13"/>
      <c r="C39" s="286"/>
      <c r="D39" s="195"/>
      <c r="E39" s="195"/>
      <c r="F39" s="195"/>
      <c r="G39" s="195"/>
      <c r="H39" s="195"/>
      <c r="I39" s="299"/>
      <c r="P39" s="286" t="s">
        <v>246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 x14ac:dyDescent="0.2">
      <c r="A40" s="13"/>
      <c r="C40" s="287"/>
      <c r="D40" s="196"/>
      <c r="E40" s="196"/>
      <c r="F40" s="196"/>
      <c r="G40" s="196"/>
      <c r="H40" s="196"/>
      <c r="I40" s="300"/>
      <c r="P40" s="287" t="s">
        <v>247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 x14ac:dyDescent="0.2">
      <c r="A41" s="13"/>
      <c r="C41" s="29"/>
      <c r="D41" s="29"/>
      <c r="E41" s="45"/>
      <c r="W41" s="29"/>
    </row>
    <row r="42" spans="1:29" ht="15" customHeight="1" x14ac:dyDescent="0.2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 x14ac:dyDescent="0.2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6" t="s">
        <v>7</v>
      </c>
      <c r="U43" s="487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 x14ac:dyDescent="0.25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 x14ac:dyDescent="0.2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 x14ac:dyDescent="0.2">
      <c r="A46" s="13"/>
      <c r="C46" s="289" t="s">
        <v>92</v>
      </c>
      <c r="D46" s="42"/>
      <c r="E46" s="79"/>
      <c r="F46" s="79"/>
      <c r="G46" s="79"/>
      <c r="H46" s="79"/>
      <c r="I46" s="9">
        <f>AB16</f>
        <v>180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 x14ac:dyDescent="0.2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98.94</v>
      </c>
      <c r="U47" s="238">
        <f>(I45/30)*I46*I8</f>
        <v>59364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 x14ac:dyDescent="0.2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 x14ac:dyDescent="0.2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>
        <f>U49/$I$8</f>
        <v>61.307999999999979</v>
      </c>
      <c r="U49" s="241">
        <f>AB36</f>
        <v>36784.799999999988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 x14ac:dyDescent="0.25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180</v>
      </c>
      <c r="N50" s="13"/>
      <c r="P50" s="331" t="s">
        <v>297</v>
      </c>
      <c r="Q50" s="22"/>
      <c r="R50" s="22"/>
      <c r="S50" s="22"/>
      <c r="T50" s="64">
        <f t="shared" si="3"/>
        <v>5.8801315068493141</v>
      </c>
      <c r="U50" s="242">
        <f>(U45+U46+U47+U48)*((I15/365)*I46)</f>
        <v>3528.0789041095886</v>
      </c>
      <c r="W50" s="13"/>
      <c r="Y50" s="54"/>
      <c r="Z50" s="114"/>
      <c r="AA50" s="114"/>
      <c r="AB50" s="114"/>
      <c r="AC50" s="121"/>
    </row>
    <row r="51" spans="1:30" ht="15" customHeight="1" thickTop="1" x14ac:dyDescent="0.2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6</v>
      </c>
      <c r="N51" s="13"/>
      <c r="P51" s="332" t="s">
        <v>16</v>
      </c>
      <c r="Q51" s="110"/>
      <c r="R51" s="110"/>
      <c r="S51" s="110"/>
      <c r="T51" s="111">
        <f>SUM(T45:T48, T50)</f>
        <v>189.32013150684932</v>
      </c>
      <c r="U51" s="243">
        <f>SUM(U45:U48, U50)</f>
        <v>113592.07890410958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 x14ac:dyDescent="0.15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AC51*AB16*(I16/360)</f>
        <v>3187.5</v>
      </c>
    </row>
    <row r="53" spans="1:30" ht="15" customHeight="1" x14ac:dyDescent="0.2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6414.84375</v>
      </c>
    </row>
    <row r="54" spans="1:30" ht="15" customHeight="1" x14ac:dyDescent="0.2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8" t="s">
        <v>7</v>
      </c>
      <c r="U54" s="489"/>
      <c r="W54" s="13"/>
      <c r="Y54" s="127" t="s">
        <v>85</v>
      </c>
      <c r="Z54" s="153"/>
      <c r="AA54" s="116"/>
      <c r="AB54" s="116"/>
      <c r="AC54" s="128">
        <f>(AC51+AC52+AC53)*I16</f>
        <v>6495.029296875</v>
      </c>
    </row>
    <row r="55" spans="1:30" ht="15" customHeight="1" thickBot="1" x14ac:dyDescent="0.25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 x14ac:dyDescent="0.2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 x14ac:dyDescent="0.2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262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 x14ac:dyDescent="0.2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547825.06060398067</v>
      </c>
      <c r="AA58" s="148">
        <f t="shared" si="5"/>
        <v>476724.2583072976</v>
      </c>
      <c r="AB58" s="148">
        <f t="shared" si="5"/>
        <v>481932.179403188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 x14ac:dyDescent="0.25">
      <c r="A59" s="13"/>
      <c r="C59" s="474" t="s">
        <v>96</v>
      </c>
      <c r="D59" s="475"/>
      <c r="E59" s="475"/>
      <c r="F59" s="475"/>
      <c r="G59" s="475"/>
      <c r="H59" s="475"/>
      <c r="I59" s="476"/>
      <c r="N59" s="13"/>
      <c r="P59" s="335" t="s">
        <v>95</v>
      </c>
      <c r="Q59" s="139"/>
      <c r="R59" s="139"/>
      <c r="S59" s="139"/>
      <c r="T59" s="25">
        <f>U59/I8</f>
        <v>-5.3125</v>
      </c>
      <c r="U59" s="247">
        <f>-(AC49*AB16*(I16/360))</f>
        <v>-3187.5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569187.22391765972</v>
      </c>
      <c r="AA59" s="148">
        <f t="shared" si="6"/>
        <v>496278.30640422</v>
      </c>
      <c r="AB59" s="148">
        <f t="shared" si="6"/>
        <v>501718.44870177616</v>
      </c>
      <c r="AC59" s="148">
        <f t="shared" si="6"/>
        <v>579093.15816083585</v>
      </c>
      <c r="AD59" s="148">
        <f t="shared" si="6"/>
        <v>501937.17066083587</v>
      </c>
    </row>
    <row r="60" spans="1:30" ht="16" thickTop="1" x14ac:dyDescent="0.2">
      <c r="A60" s="13"/>
      <c r="C60" s="477"/>
      <c r="D60" s="478"/>
      <c r="E60" s="478"/>
      <c r="F60" s="478"/>
      <c r="G60" s="478"/>
      <c r="H60" s="478"/>
      <c r="I60" s="479"/>
      <c r="N60" s="13"/>
      <c r="P60" s="336" t="s">
        <v>81</v>
      </c>
      <c r="Q60" s="140"/>
      <c r="R60" s="140"/>
      <c r="S60" s="140"/>
      <c r="T60" s="141">
        <f>SUM(T56:T59)</f>
        <v>193.0625</v>
      </c>
      <c r="U60" s="248">
        <f>SUM(U56:U59)</f>
        <v>115837.5</v>
      </c>
      <c r="W60" s="13"/>
      <c r="X60" s="149">
        <f>E109</f>
        <v>3</v>
      </c>
      <c r="Y60" s="148">
        <f>P121</f>
        <v>584960.79347131483</v>
      </c>
      <c r="Z60" s="148">
        <f>Q121</f>
        <v>590732.56778175372</v>
      </c>
      <c r="AA60" s="148">
        <f>R121</f>
        <v>516704.26950578415</v>
      </c>
      <c r="AB60" s="148">
        <f>S121</f>
        <v>522386.98774838838</v>
      </c>
      <c r="AC60" s="148">
        <f>T121</f>
        <v>605096.69541106501</v>
      </c>
      <c r="AD60" s="148">
        <f t="shared" ref="AD60" si="7">U121</f>
        <v>502811.28189925256</v>
      </c>
    </row>
    <row r="61" spans="1:30" ht="15" x14ac:dyDescent="0.2">
      <c r="A61" s="13"/>
      <c r="C61" s="477"/>
      <c r="D61" s="478"/>
      <c r="E61" s="478"/>
      <c r="F61" s="478"/>
      <c r="G61" s="478"/>
      <c r="H61" s="478"/>
      <c r="I61" s="479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612462.66296948225</v>
      </c>
      <c r="AA61" s="148">
        <f>R135</f>
        <v>537799.57203579624</v>
      </c>
      <c r="AB61" s="148">
        <f>S135</f>
        <v>543531.01958733075</v>
      </c>
      <c r="AC61" s="148">
        <f>T135</f>
        <v>631323.21299321484</v>
      </c>
      <c r="AD61" s="148">
        <f t="shared" ref="AD61" si="8">U135</f>
        <v>503692.88864153862</v>
      </c>
    </row>
    <row r="62" spans="1:30" ht="15" x14ac:dyDescent="0.2">
      <c r="A62" s="13"/>
      <c r="C62" s="477"/>
      <c r="D62" s="478"/>
      <c r="E62" s="478"/>
      <c r="F62" s="478"/>
      <c r="G62" s="478"/>
      <c r="H62" s="478"/>
      <c r="I62" s="479"/>
      <c r="N62" s="13"/>
      <c r="P62" s="334" t="s">
        <v>90</v>
      </c>
      <c r="Q62" s="23"/>
      <c r="R62" s="23"/>
      <c r="S62" s="23"/>
      <c r="T62" s="24">
        <f>U62/I8</f>
        <v>-26.828955078124999</v>
      </c>
      <c r="U62" s="246">
        <f>-(AC52+AC53+AC54)</f>
        <v>-16097.373046875</v>
      </c>
      <c r="W62" s="13"/>
      <c r="X62" s="149">
        <f>E137</f>
        <v>5</v>
      </c>
      <c r="Y62" s="148">
        <f>P149</f>
        <v>628507.90908141027</v>
      </c>
      <c r="Z62" s="148">
        <f>Q149</f>
        <v>634379.09372344555</v>
      </c>
      <c r="AA62" s="148">
        <f>R149</f>
        <v>559075.76678500324</v>
      </c>
      <c r="AB62" s="148">
        <f>S149</f>
        <v>564856.36149929219</v>
      </c>
      <c r="AC62" s="148">
        <f>T149</f>
        <v>657774.62296363164</v>
      </c>
      <c r="AD62" s="148">
        <f t="shared" ref="AD62" si="9">U149</f>
        <v>504582.05516163982</v>
      </c>
    </row>
    <row r="63" spans="1:30" ht="15" x14ac:dyDescent="0.2">
      <c r="A63" s="13"/>
      <c r="C63" s="480"/>
      <c r="D63" s="481"/>
      <c r="E63" s="481"/>
      <c r="F63" s="481"/>
      <c r="G63" s="481"/>
      <c r="H63" s="481"/>
      <c r="I63" s="482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6" x14ac:dyDescent="0.2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6" thickBot="1" x14ac:dyDescent="0.25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6" thickTop="1" x14ac:dyDescent="0.2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136.08771158854165</v>
      </c>
      <c r="U66" s="246">
        <f>SUM(U61:U65)</f>
        <v>81652.626953125</v>
      </c>
      <c r="W66" s="13"/>
    </row>
    <row r="67" spans="1:23" ht="15" x14ac:dyDescent="0.2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329.15021158854165</v>
      </c>
      <c r="U67" s="249">
        <f>U60+U66</f>
        <v>197490.126953125</v>
      </c>
      <c r="W67" s="13"/>
    </row>
    <row r="68" spans="1:23" ht="10" customHeight="1" x14ac:dyDescent="0.15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 x14ac:dyDescent="0.15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5" x14ac:dyDescent="0.2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5" x14ac:dyDescent="0.2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30" x14ac:dyDescent="0.2">
      <c r="A72" s="13"/>
      <c r="C72" s="13"/>
      <c r="D72" s="13"/>
      <c r="E72" s="13"/>
      <c r="F72" s="13"/>
      <c r="G72" s="13"/>
      <c r="H72" s="13"/>
      <c r="I72" s="344" t="s">
        <v>208</v>
      </c>
      <c r="J72" s="345"/>
      <c r="K72" s="345"/>
      <c r="L72" s="345"/>
      <c r="M72" s="345"/>
      <c r="N72" s="345"/>
      <c r="O72" s="346"/>
      <c r="P72" s="341" t="s">
        <v>300</v>
      </c>
      <c r="Q72" s="341" t="s">
        <v>211</v>
      </c>
      <c r="R72" s="341" t="s">
        <v>117</v>
      </c>
      <c r="S72" s="341" t="s">
        <v>261</v>
      </c>
      <c r="T72" s="342" t="s">
        <v>209</v>
      </c>
      <c r="U72" s="343" t="s">
        <v>210</v>
      </c>
      <c r="W72" s="13"/>
    </row>
    <row r="73" spans="1:23" ht="15" x14ac:dyDescent="0.2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5" x14ac:dyDescent="0.2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5" x14ac:dyDescent="0.2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5" x14ac:dyDescent="0.2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5" x14ac:dyDescent="0.2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5" x14ac:dyDescent="0.2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5" x14ac:dyDescent="0.2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5" x14ac:dyDescent="0.2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 x14ac:dyDescent="0.2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323314.31400171207</v>
      </c>
      <c r="R81" s="90">
        <f>($I$8*$U$9)*$U$11*$U$14</f>
        <v>353700</v>
      </c>
      <c r="S81" s="90">
        <f>IF(E80&lt;$U$19,(($I$8*$U$9)-$I$47)*($U$11*(1+$I$48))*$U$14,($I$8*$U$9)*$U$11*$U$14)</f>
        <v>353700</v>
      </c>
      <c r="T81" s="90">
        <f>AC44</f>
        <v>306675</v>
      </c>
      <c r="U81" s="90">
        <f>AC44</f>
        <v>306675</v>
      </c>
      <c r="W81" s="13"/>
      <c r="AC81" s="150"/>
    </row>
    <row r="82" spans="1:30" ht="15" x14ac:dyDescent="0.2">
      <c r="A82" s="13"/>
      <c r="C82" s="17"/>
      <c r="E82" s="16" t="s">
        <v>206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5" x14ac:dyDescent="0.2">
      <c r="A83" s="13"/>
      <c r="C83" s="17"/>
      <c r="E83" s="91" t="s">
        <v>212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-425632.6335</v>
      </c>
      <c r="S83" s="94">
        <f>-IF(I19=1, ((I8*I12)+U51)+(U33), ((I8*I12)+U51))</f>
        <v>-420424.7124041096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 x14ac:dyDescent="0.2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55138.572309009673</v>
      </c>
      <c r="R84" s="90">
        <f t="shared" si="15"/>
        <v>-33275.741692702402</v>
      </c>
      <c r="S84" s="90">
        <f t="shared" si="15"/>
        <v>-28067.820596812002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 x14ac:dyDescent="0.2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 t="shared" ref="P85:U85" si="16">IF(P84&gt;0,P84*(0.124+0.15+0.04),0)</f>
        <v>14716.353081000001</v>
      </c>
      <c r="Q85" s="95">
        <f t="shared" si="16"/>
        <v>17313.511705029036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5" x14ac:dyDescent="0.2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37825.060603980637</v>
      </c>
      <c r="R86" s="97">
        <f t="shared" si="18"/>
        <v>-33275.741692702402</v>
      </c>
      <c r="S86" s="97">
        <f t="shared" si="18"/>
        <v>-28067.820596812002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55138.572309009673</v>
      </c>
      <c r="AA86" s="148">
        <f t="shared" si="19"/>
        <v>-33275.741692702402</v>
      </c>
      <c r="AB86" s="148">
        <f t="shared" si="19"/>
        <v>-28067.820596812002</v>
      </c>
      <c r="AC86" s="148">
        <f t="shared" si="19"/>
        <v>98499.258307297598</v>
      </c>
      <c r="AD86" s="148">
        <f t="shared" si="19"/>
        <v>98499.258307297598</v>
      </c>
    </row>
    <row r="87" spans="1:30" ht="15" x14ac:dyDescent="0.2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31140.179757549762</v>
      </c>
      <c r="AA87" s="148">
        <f t="shared" si="20"/>
        <v>28504.443289974348</v>
      </c>
      <c r="AB87" s="148">
        <f t="shared" si="20"/>
        <v>28842.958161207225</v>
      </c>
      <c r="AC87" s="148">
        <f t="shared" si="20"/>
        <v>2219.6311399850765</v>
      </c>
      <c r="AD87" s="148">
        <f t="shared" si="20"/>
        <v>1263.3811399850765</v>
      </c>
    </row>
    <row r="88" spans="1:30" ht="15" x14ac:dyDescent="0.2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31407.20679897075</v>
      </c>
      <c r="AA88" s="148">
        <f>R114</f>
        <v>29775.456416274305</v>
      </c>
      <c r="AB88" s="148">
        <f>S114</f>
        <v>30129.065665615453</v>
      </c>
      <c r="AC88" s="148">
        <f>T114</f>
        <v>37906.03097701045</v>
      </c>
      <c r="AD88" s="148">
        <f t="shared" ref="AD88" si="21">U114</f>
        <v>1274.2146332604489</v>
      </c>
    </row>
    <row r="89" spans="1:30" ht="15.75" customHeight="1" x14ac:dyDescent="0.2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31676.523597271924</v>
      </c>
      <c r="AA89" s="148">
        <f>R128</f>
        <v>30751.169868822304</v>
      </c>
      <c r="AB89" s="148">
        <f>S128</f>
        <v>30822.20384685486</v>
      </c>
      <c r="AC89" s="148">
        <f>T128</f>
        <v>38231.075192638316</v>
      </c>
      <c r="AD89" s="148">
        <f t="shared" ref="AD89" si="22">U128</f>
        <v>1285.1410237406571</v>
      </c>
    </row>
    <row r="90" spans="1:30" ht="15.75" customHeight="1" x14ac:dyDescent="0.2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31948.149787118531</v>
      </c>
      <c r="AA90" s="148">
        <f>R142</f>
        <v>31014.861150447457</v>
      </c>
      <c r="AB90" s="148">
        <f>S142</f>
        <v>31086.504244841639</v>
      </c>
      <c r="AC90" s="148">
        <f>T142</f>
        <v>38558.906662415189</v>
      </c>
      <c r="AD90" s="148">
        <f t="shared" ref="AD90" si="24">U142</f>
        <v>1296.1611080192333</v>
      </c>
    </row>
    <row r="91" spans="1:30" ht="15" x14ac:dyDescent="0.2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37825.060603980637</v>
      </c>
      <c r="R91" s="87">
        <f t="shared" si="25"/>
        <v>-33275.741692702402</v>
      </c>
      <c r="S91" s="87">
        <f t="shared" si="25"/>
        <v>-28067.820596812002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5" x14ac:dyDescent="0.2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547825.06060398067</v>
      </c>
      <c r="R92" s="265">
        <f>SUM(R90:R91)</f>
        <v>476724.2583072976</v>
      </c>
      <c r="S92" s="265">
        <f t="shared" ref="S92" si="26">SUM(S90:S91)</f>
        <v>481932.179403188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5" x14ac:dyDescent="0.2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5" x14ac:dyDescent="0.2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5" x14ac:dyDescent="0.2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5" x14ac:dyDescent="0.2">
      <c r="A96" s="13"/>
      <c r="C96" s="17"/>
      <c r="E96" s="98" t="s">
        <v>207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5" x14ac:dyDescent="0.2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5" x14ac:dyDescent="0.2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472.81325754975796</v>
      </c>
      <c r="R98" s="94">
        <f t="shared" si="28"/>
        <v>-2162.9232100256563</v>
      </c>
      <c r="S98" s="94">
        <f t="shared" si="28"/>
        <v>-1824.4083387927801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5" x14ac:dyDescent="0.2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31140.179757549762</v>
      </c>
      <c r="R99" s="90">
        <f t="shared" si="29"/>
        <v>28504.443289974348</v>
      </c>
      <c r="S99" s="90">
        <f t="shared" si="29"/>
        <v>28842.958161207225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5" x14ac:dyDescent="0.2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9778.0164438706252</v>
      </c>
      <c r="R100" s="95">
        <f t="shared" si="30"/>
        <v>8950.3951930519452</v>
      </c>
      <c r="S100" s="95">
        <f t="shared" si="30"/>
        <v>9056.6888626190685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5" x14ac:dyDescent="0.2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21362.163313679135</v>
      </c>
      <c r="R101" s="97">
        <f t="shared" ref="R101:S101" si="31">R99-R100</f>
        <v>19554.048096922401</v>
      </c>
      <c r="S101" s="102">
        <f t="shared" si="31"/>
        <v>19786.269298588159</v>
      </c>
      <c r="T101" s="97">
        <f>T99-T100</f>
        <v>1522.6669620297625</v>
      </c>
      <c r="U101" s="97">
        <f>U99-U100</f>
        <v>866.67946202976248</v>
      </c>
      <c r="W101" s="17"/>
    </row>
    <row r="102" spans="1:23" ht="15" x14ac:dyDescent="0.2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5" x14ac:dyDescent="0.2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5" x14ac:dyDescent="0.2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5" x14ac:dyDescent="0.2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5" x14ac:dyDescent="0.2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59187.223917659772</v>
      </c>
      <c r="R106" s="103">
        <f>R91+R101</f>
        <v>-13721.693595780001</v>
      </c>
      <c r="S106" s="103">
        <f>S91+S101</f>
        <v>-8281.5512982238433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5" x14ac:dyDescent="0.2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569187.22391765972</v>
      </c>
      <c r="R107" s="310">
        <f t="shared" ref="R107:S107" si="33">SUM(R105:R106)</f>
        <v>496278.30640422</v>
      </c>
      <c r="S107" s="310">
        <f t="shared" si="33"/>
        <v>501718.44870177616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10" customHeight="1" x14ac:dyDescent="0.2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 x14ac:dyDescent="0.2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 x14ac:dyDescent="0.2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f>IF(E109&gt;$U$19,($I$8*$U$9)*$U$11*$U$16,0)</f>
        <v>337500</v>
      </c>
      <c r="U110" s="90">
        <v>0</v>
      </c>
      <c r="W110" s="17"/>
    </row>
    <row r="111" spans="1:23" ht="15" customHeight="1" x14ac:dyDescent="0.2">
      <c r="A111" s="13"/>
      <c r="C111" s="17"/>
      <c r="E111" s="98" t="s">
        <v>207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 x14ac:dyDescent="0.2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f>IF(T110=0,-$I$55,-($I$8*$I$12 + IF($I$19 = 1, U33, 0)))</f>
        <v>-306832.6335</v>
      </c>
      <c r="U112" s="94">
        <f>-$I$55</f>
        <v>-5000</v>
      </c>
      <c r="W112" s="17"/>
    </row>
    <row r="113" spans="1:23" ht="15" customHeight="1" x14ac:dyDescent="0.2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739.8402989707472</v>
      </c>
      <c r="R113" s="94">
        <f t="shared" si="34"/>
        <v>-891.91008372570013</v>
      </c>
      <c r="S113" s="94">
        <f t="shared" si="34"/>
        <v>-538.30083438454983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 x14ac:dyDescent="0.2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31407.20679897075</v>
      </c>
      <c r="R114" s="90">
        <f>SUM(R110:R113)</f>
        <v>29775.456416274305</v>
      </c>
      <c r="S114" s="90">
        <f>SUM(S110:S113)</f>
        <v>30129.065665615453</v>
      </c>
      <c r="T114" s="90">
        <f>SUM(T110:T113)</f>
        <v>37906.03097701045</v>
      </c>
      <c r="U114" s="90">
        <f t="shared" ref="U114" si="35">SUM(U110:U113)</f>
        <v>1274.2146332604489</v>
      </c>
      <c r="W114" s="17"/>
    </row>
    <row r="115" spans="1:23" ht="15" customHeight="1" x14ac:dyDescent="0.2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9861.8629348768154</v>
      </c>
      <c r="R115" s="95">
        <f>IF(R114&gt;0,R114*(0.124+0.15+0.04),0)</f>
        <v>9349.493314710131</v>
      </c>
      <c r="S115" s="95">
        <f>IF(S114&gt;0,S114*(0.124+0.15+0.04),0)</f>
        <v>9460.5266190032526</v>
      </c>
      <c r="T115" s="95">
        <f>IF(T114&gt;0,T114*(0.124+0.15+0.04),0)</f>
        <v>11902.493726781282</v>
      </c>
      <c r="U115" s="95">
        <f t="shared" ref="U115" si="36">IF(U114&gt;0,U114*(0.124+0.15+0.04),0)</f>
        <v>400.10339484378096</v>
      </c>
      <c r="W115" s="17"/>
    </row>
    <row r="116" spans="1:23" ht="15" customHeight="1" x14ac:dyDescent="0.2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21545.343864093935</v>
      </c>
      <c r="R116" s="97">
        <f t="shared" si="37"/>
        <v>20425.963101564172</v>
      </c>
      <c r="S116" s="97">
        <f t="shared" si="37"/>
        <v>20668.539046612201</v>
      </c>
      <c r="T116" s="97">
        <f t="shared" si="37"/>
        <v>26003.537250229168</v>
      </c>
      <c r="U116" s="97">
        <f t="shared" si="37"/>
        <v>874.1112384166679</v>
      </c>
      <c r="W116" s="17"/>
    </row>
    <row r="117" spans="1:23" ht="15" customHeight="1" x14ac:dyDescent="0.2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f>IF(E109=$U$19,$I$8*$I$58,0)</f>
        <v>0</v>
      </c>
      <c r="U117" s="90">
        <v>0</v>
      </c>
      <c r="W117" s="17"/>
    </row>
    <row r="118" spans="1:23" ht="15" customHeight="1" x14ac:dyDescent="0.2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 x14ac:dyDescent="0.2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0</v>
      </c>
      <c r="U119" s="303">
        <f t="shared" si="38"/>
        <v>0</v>
      </c>
      <c r="W119" s="17"/>
    </row>
    <row r="120" spans="1:23" ht="15" customHeight="1" x14ac:dyDescent="0.2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80732.567781753707</v>
      </c>
      <c r="R120" s="103">
        <f>R106+R116-R117</f>
        <v>6704.2695057841702</v>
      </c>
      <c r="S120" s="103">
        <f>S106+S116-S117</f>
        <v>12386.987748388357</v>
      </c>
      <c r="T120" s="103">
        <f>T106+T116-T117</f>
        <v>605096.69541106501</v>
      </c>
      <c r="U120" s="267">
        <f t="shared" ref="U120" si="39">U106+U116-U117</f>
        <v>502811.28189925256</v>
      </c>
      <c r="W120" s="17"/>
    </row>
    <row r="121" spans="1:23" ht="19.5" customHeight="1" x14ac:dyDescent="0.2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590732.56778175372</v>
      </c>
      <c r="R121" s="310">
        <f t="shared" si="40"/>
        <v>516704.26950578415</v>
      </c>
      <c r="S121" s="310">
        <f t="shared" si="40"/>
        <v>522386.98774838838</v>
      </c>
      <c r="T121" s="310">
        <f t="shared" si="40"/>
        <v>605096.69541106501</v>
      </c>
      <c r="U121" s="311">
        <f t="shared" si="40"/>
        <v>502811.28189925256</v>
      </c>
      <c r="W121" s="17"/>
    </row>
    <row r="122" spans="1:23" ht="15" customHeight="1" x14ac:dyDescent="0.2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 x14ac:dyDescent="0.2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 x14ac:dyDescent="0.2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 x14ac:dyDescent="0.2">
      <c r="A125" s="13"/>
      <c r="C125" s="17"/>
      <c r="E125" s="98" t="s">
        <v>207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 x14ac:dyDescent="0.2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 x14ac:dyDescent="0.2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1009.1570972719214</v>
      </c>
      <c r="R127" s="94">
        <f>IF(R120&gt;0,R120*$I$16,R120*$I$15)</f>
        <v>83.803368822302133</v>
      </c>
      <c r="S127" s="94">
        <f>IF(S120&gt;0,S120*$I$16,S120*$I$15)</f>
        <v>154.83734685485447</v>
      </c>
      <c r="T127" s="94">
        <f>IF(T120&gt;0,T120*$I$16,T120*$I$15)</f>
        <v>7563.7086926383126</v>
      </c>
      <c r="U127" s="94">
        <f t="shared" ref="U127" si="41">IF(U120&gt;0,U120*$I$16,U120*$I$15)</f>
        <v>6285.1410237406571</v>
      </c>
      <c r="W127" s="17"/>
    </row>
    <row r="128" spans="1:23" ht="15" customHeight="1" x14ac:dyDescent="0.2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31676.523597271924</v>
      </c>
      <c r="R128" s="90">
        <f>SUM(R124:R127)</f>
        <v>30751.169868822304</v>
      </c>
      <c r="S128" s="90">
        <f>SUM(S124:S127)</f>
        <v>30822.20384685486</v>
      </c>
      <c r="T128" s="90">
        <f>SUM(T124:T127)</f>
        <v>38231.075192638316</v>
      </c>
      <c r="U128" s="90">
        <f t="shared" ref="U128" si="42">SUM(U124:U127)</f>
        <v>1285.1410237406571</v>
      </c>
      <c r="W128" s="17"/>
    </row>
    <row r="129" spans="1:23" ht="15" customHeight="1" x14ac:dyDescent="0.2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9946.428409543385</v>
      </c>
      <c r="R129" s="95">
        <f>IF(R128&gt;0,R128*(0.124+0.15+0.04),0)</f>
        <v>9655.8673388102034</v>
      </c>
      <c r="S129" s="95">
        <f>IF(S128&gt;0,S128*(0.124+0.15+0.04),0)</f>
        <v>9678.1720079124261</v>
      </c>
      <c r="T129" s="95">
        <f>IF(T128&gt;0,T128*(0.124+0.15+0.04),0)</f>
        <v>12004.557610488431</v>
      </c>
      <c r="U129" s="95">
        <f t="shared" ref="U129" si="43">IF(U128&gt;0,U128*(0.124+0.15+0.04),0)</f>
        <v>403.53428145456633</v>
      </c>
      <c r="W129" s="17"/>
    </row>
    <row r="130" spans="1:23" ht="15" customHeight="1" x14ac:dyDescent="0.2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21730.095187728541</v>
      </c>
      <c r="R130" s="97">
        <f t="shared" si="44"/>
        <v>21095.302530012101</v>
      </c>
      <c r="S130" s="97">
        <f t="shared" si="44"/>
        <v>21144.031838942436</v>
      </c>
      <c r="T130" s="97">
        <f t="shared" si="44"/>
        <v>26226.517582149885</v>
      </c>
      <c r="U130" s="97">
        <f t="shared" si="44"/>
        <v>881.60674228609082</v>
      </c>
      <c r="W130" s="17"/>
    </row>
    <row r="131" spans="1:23" ht="15" customHeight="1" x14ac:dyDescent="0.2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 x14ac:dyDescent="0.2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 x14ac:dyDescent="0.2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0</v>
      </c>
      <c r="U133" s="303">
        <f t="shared" si="45"/>
        <v>0</v>
      </c>
      <c r="W133" s="17"/>
    </row>
    <row r="134" spans="1:23" ht="15.75" customHeight="1" x14ac:dyDescent="0.2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102462.66296948225</v>
      </c>
      <c r="R134" s="103">
        <f>R120+R130-R131</f>
        <v>27799.572035796271</v>
      </c>
      <c r="S134" s="103">
        <f>S120+S130-S131</f>
        <v>33531.019587330797</v>
      </c>
      <c r="T134" s="103">
        <f>T120+T130-T131</f>
        <v>631323.21299321484</v>
      </c>
      <c r="U134" s="267">
        <f t="shared" ref="U134" si="46">U120+U130-U131</f>
        <v>503692.88864153862</v>
      </c>
      <c r="W134" s="17"/>
    </row>
    <row r="135" spans="1:23" ht="15" x14ac:dyDescent="0.2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612462.66296948225</v>
      </c>
      <c r="R135" s="310">
        <f t="shared" si="47"/>
        <v>537799.57203579624</v>
      </c>
      <c r="S135" s="310">
        <f t="shared" si="47"/>
        <v>543531.01958733075</v>
      </c>
      <c r="T135" s="310">
        <f t="shared" si="47"/>
        <v>631323.21299321484</v>
      </c>
      <c r="U135" s="311">
        <f t="shared" si="47"/>
        <v>503692.88864153862</v>
      </c>
      <c r="W135" s="17"/>
    </row>
    <row r="136" spans="1:23" ht="15" x14ac:dyDescent="0.2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 x14ac:dyDescent="0.2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5" x14ac:dyDescent="0.2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 x14ac:dyDescent="0.2">
      <c r="A139" s="13"/>
      <c r="C139" s="17"/>
      <c r="E139" s="98" t="s">
        <v>207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5" x14ac:dyDescent="0.2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5" x14ac:dyDescent="0.2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1280.7832871185283</v>
      </c>
      <c r="R141" s="94">
        <f>IF(R134&gt;0,R134*$I$16,R134*$I$15)</f>
        <v>347.49465044745341</v>
      </c>
      <c r="S141" s="94">
        <f>IF(S134&gt;0,S134*$I$16,S134*$I$15)</f>
        <v>419.13774484163497</v>
      </c>
      <c r="T141" s="94">
        <f>IF(T134&gt;0,T134*$I$16,T134*$I$15)</f>
        <v>7891.5401624151855</v>
      </c>
      <c r="U141" s="94">
        <f t="shared" ref="U141" si="48">IF(U134&gt;0,U134*$I$16,U134*$I$15)</f>
        <v>6296.1611080192333</v>
      </c>
      <c r="W141" s="17"/>
    </row>
    <row r="142" spans="1:23" ht="15" x14ac:dyDescent="0.2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31948.149787118531</v>
      </c>
      <c r="R142" s="90">
        <f>SUM(R138:R141)</f>
        <v>31014.861150447457</v>
      </c>
      <c r="S142" s="90">
        <f>SUM(S138:S141)</f>
        <v>31086.504244841639</v>
      </c>
      <c r="T142" s="90">
        <f>SUM(T138:T141)</f>
        <v>38558.906662415189</v>
      </c>
      <c r="U142" s="90">
        <f t="shared" ref="U142" si="49">SUM(U138:U141)</f>
        <v>1296.1611080192333</v>
      </c>
      <c r="W142" s="17"/>
    </row>
    <row r="143" spans="1:23" ht="15" x14ac:dyDescent="0.2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10031.719033155219</v>
      </c>
      <c r="R143" s="95">
        <f>IF(R142&gt;0,R142*(0.124+0.15+0.04),0)</f>
        <v>9738.6664012405017</v>
      </c>
      <c r="S143" s="95">
        <f>IF(S142&gt;0,S142*(0.124+0.15+0.04),0)</f>
        <v>9761.1623328802743</v>
      </c>
      <c r="T143" s="95">
        <f>IF(T142&gt;0,T142*(0.124+0.15+0.04),0)</f>
        <v>12107.496691998369</v>
      </c>
      <c r="U143" s="95">
        <f t="shared" ref="U143" si="50">IF(U142&gt;0,U142*(0.124+0.15+0.04),0)</f>
        <v>406.99458791803926</v>
      </c>
      <c r="W143" s="17"/>
    </row>
    <row r="144" spans="1:23" ht="15" x14ac:dyDescent="0.2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21916.430753963312</v>
      </c>
      <c r="R144" s="97">
        <f t="shared" si="51"/>
        <v>21276.194749206956</v>
      </c>
      <c r="S144" s="97">
        <f t="shared" si="51"/>
        <v>21325.341911961365</v>
      </c>
      <c r="T144" s="97">
        <f t="shared" si="51"/>
        <v>26451.409970416818</v>
      </c>
      <c r="U144" s="97">
        <f t="shared" si="51"/>
        <v>889.16652010119401</v>
      </c>
      <c r="W144" s="17"/>
    </row>
    <row r="145" spans="3:23" ht="15" x14ac:dyDescent="0.2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5" x14ac:dyDescent="0.2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5" x14ac:dyDescent="0.2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0</v>
      </c>
      <c r="U147" s="303">
        <f t="shared" si="52"/>
        <v>0</v>
      </c>
      <c r="W147" s="17"/>
    </row>
    <row r="148" spans="3:23" ht="15" x14ac:dyDescent="0.2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124379.09372344556</v>
      </c>
      <c r="R148" s="103">
        <f>R134+R144-R145</f>
        <v>49075.76678500323</v>
      </c>
      <c r="S148" s="103">
        <f>S134+S144-S145</f>
        <v>54856.361499292165</v>
      </c>
      <c r="T148" s="103">
        <f>T134+T144-T145</f>
        <v>657774.62296363164</v>
      </c>
      <c r="U148" s="267">
        <f t="shared" ref="U148" si="53">U134+U144-U145</f>
        <v>504582.05516163982</v>
      </c>
      <c r="W148" s="17"/>
    </row>
    <row r="149" spans="3:23" ht="15" x14ac:dyDescent="0.2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634379.09372344555</v>
      </c>
      <c r="R149" s="310">
        <f t="shared" si="54"/>
        <v>559075.76678500324</v>
      </c>
      <c r="S149" s="310">
        <f t="shared" si="54"/>
        <v>564856.36149929219</v>
      </c>
      <c r="T149" s="310">
        <f t="shared" si="54"/>
        <v>657774.62296363164</v>
      </c>
      <c r="U149" s="311">
        <f t="shared" si="54"/>
        <v>504582.05516163982</v>
      </c>
      <c r="W149" s="17"/>
    </row>
    <row r="150" spans="3:23" ht="15" x14ac:dyDescent="0.2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5" x14ac:dyDescent="0.2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5" x14ac:dyDescent="0.2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119691.59372344555</v>
      </c>
      <c r="R152" s="322">
        <f t="shared" si="55"/>
        <v>44388.266785003245</v>
      </c>
      <c r="S152" s="322">
        <f t="shared" si="55"/>
        <v>50168.861499292194</v>
      </c>
      <c r="T152" s="322">
        <f t="shared" si="55"/>
        <v>143087.12296363164</v>
      </c>
      <c r="U152" s="323">
        <f t="shared" si="55"/>
        <v>-10105.444838360185</v>
      </c>
      <c r="W152" s="17"/>
    </row>
    <row r="153" spans="3:23" ht="15" x14ac:dyDescent="0.2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199.48598953907592</v>
      </c>
      <c r="R153" s="320">
        <f t="shared" si="56"/>
        <v>73.980444641672079</v>
      </c>
      <c r="S153" s="320">
        <f t="shared" si="56"/>
        <v>83.61476916548699</v>
      </c>
      <c r="T153" s="320">
        <f t="shared" si="56"/>
        <v>238.47853827271939</v>
      </c>
      <c r="U153" s="321">
        <f t="shared" si="56"/>
        <v>-16.842408063933643</v>
      </c>
      <c r="W153" s="17"/>
    </row>
    <row r="154" spans="3:23" ht="15" x14ac:dyDescent="0.2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5" x14ac:dyDescent="0.2">
      <c r="C155" s="29"/>
      <c r="D155" s="29" t="s">
        <v>201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5" x14ac:dyDescent="0.2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5" x14ac:dyDescent="0.2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5" x14ac:dyDescent="0.2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5" x14ac:dyDescent="0.2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5" x14ac:dyDescent="0.2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5" x14ac:dyDescent="0.2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5" x14ac:dyDescent="0.2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5" x14ac:dyDescent="0.2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5" x14ac:dyDescent="0.2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323314.31400171207</v>
      </c>
      <c r="R164" s="90">
        <f>($I$8*$U$9)*$U$11*$U$14</f>
        <v>353700</v>
      </c>
      <c r="S164" s="90">
        <f>IF(E80&lt;$U$19,(($I$8*$U$9)-$I$47)*($U$11*(1+$I$48))*$U$14,($I$8*$U$9)*$U$11*$U$14)</f>
        <v>353700</v>
      </c>
      <c r="T164" s="90">
        <f>AC44</f>
        <v>306675</v>
      </c>
      <c r="U164" s="90">
        <f>AC44</f>
        <v>306675</v>
      </c>
      <c r="W164" s="29"/>
    </row>
    <row r="165" spans="3:23" ht="15" x14ac:dyDescent="0.2">
      <c r="C165" s="29"/>
      <c r="D165" s="29"/>
      <c r="E165" s="16" t="s">
        <v>206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5" x14ac:dyDescent="0.2">
      <c r="C166" s="29"/>
      <c r="D166" s="29"/>
      <c r="E166" s="91" t="s">
        <v>212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-418800</v>
      </c>
      <c r="S166" s="94">
        <f>-IF(I19=1, ((I8*I12)+U51), ((I8*I12)+U51)+(U33))</f>
        <v>-413592.0789041096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5" x14ac:dyDescent="0.2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23314.314001712075</v>
      </c>
      <c r="R167" s="90">
        <f t="shared" si="61"/>
        <v>-65100</v>
      </c>
      <c r="S167" s="90">
        <f t="shared" si="61"/>
        <v>-59892.0789041096</v>
      </c>
      <c r="T167" s="90">
        <f t="shared" si="61"/>
        <v>66675</v>
      </c>
      <c r="U167" s="90">
        <f t="shared" si="61"/>
        <v>66675</v>
      </c>
      <c r="W167" s="29"/>
    </row>
    <row r="168" spans="3:23" ht="15" x14ac:dyDescent="0.2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7320.6945965375917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5" x14ac:dyDescent="0.2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15993.619405174482</v>
      </c>
      <c r="R169" s="97">
        <f t="shared" si="63"/>
        <v>-65100</v>
      </c>
      <c r="S169" s="97">
        <f t="shared" si="63"/>
        <v>-59892.0789041096</v>
      </c>
      <c r="T169" s="97">
        <f t="shared" si="63"/>
        <v>45739.05</v>
      </c>
      <c r="U169" s="97">
        <f t="shared" si="63"/>
        <v>45739.05</v>
      </c>
      <c r="W169" s="29"/>
    </row>
    <row r="170" spans="3:23" ht="15" x14ac:dyDescent="0.2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5" x14ac:dyDescent="0.2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5" x14ac:dyDescent="0.2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5" x14ac:dyDescent="0.2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5" x14ac:dyDescent="0.2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15993.619405174482</v>
      </c>
      <c r="R174" s="424">
        <f t="shared" si="65"/>
        <v>-65100</v>
      </c>
      <c r="S174" s="424">
        <f t="shared" si="65"/>
        <v>-59892.0789041096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5" x14ac:dyDescent="0.2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525993.61940517451</v>
      </c>
      <c r="R175" s="265">
        <f>SUM(R173:R174)</f>
        <v>444900</v>
      </c>
      <c r="S175" s="265">
        <f t="shared" ref="S175" si="66">SUM(S173:S174)</f>
        <v>450107.9210958904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5" x14ac:dyDescent="0.2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5" x14ac:dyDescent="0.2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5" x14ac:dyDescent="0.2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5" x14ac:dyDescent="0.2">
      <c r="E179" s="98" t="s">
        <v>207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5" x14ac:dyDescent="0.2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5" x14ac:dyDescent="0.2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199.92024256468105</v>
      </c>
      <c r="R181" s="94">
        <f t="shared" si="68"/>
        <v>-4231.5</v>
      </c>
      <c r="S181" s="94">
        <f t="shared" si="68"/>
        <v>-3892.985128767124</v>
      </c>
      <c r="T181" s="94">
        <f t="shared" si="68"/>
        <v>6946.7381250000008</v>
      </c>
      <c r="U181" s="94">
        <f t="shared" si="68"/>
        <v>5990.4881250000008</v>
      </c>
    </row>
    <row r="182" spans="5:23" ht="15" x14ac:dyDescent="0.2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37699.92024256468</v>
      </c>
      <c r="R182" s="90">
        <f t="shared" si="69"/>
        <v>33268.5</v>
      </c>
      <c r="S182" s="90">
        <f t="shared" si="69"/>
        <v>33607.014871232874</v>
      </c>
      <c r="T182" s="90">
        <f t="shared" si="69"/>
        <v>1946.7381250000008</v>
      </c>
      <c r="U182" s="90">
        <f t="shared" si="69"/>
        <v>990.48812500000076</v>
      </c>
    </row>
    <row r="183" spans="5:23" ht="15" x14ac:dyDescent="0.2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11837.774956165309</v>
      </c>
      <c r="R183" s="95">
        <f t="shared" si="70"/>
        <v>10446.308999999999</v>
      </c>
      <c r="S183" s="95">
        <f t="shared" si="70"/>
        <v>10552.602669567123</v>
      </c>
      <c r="T183" s="95">
        <f t="shared" si="70"/>
        <v>611.27577125000028</v>
      </c>
      <c r="U183" s="95">
        <f t="shared" si="70"/>
        <v>311.01327125000023</v>
      </c>
    </row>
    <row r="184" spans="5:23" ht="15" x14ac:dyDescent="0.2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25862.145286399369</v>
      </c>
      <c r="R184" s="97">
        <f t="shared" ref="R184:S184" si="71">R182-R183</f>
        <v>22822.190999999999</v>
      </c>
      <c r="S184" s="102">
        <f t="shared" si="71"/>
        <v>23054.412201665749</v>
      </c>
      <c r="T184" s="97">
        <f>T182-T183</f>
        <v>1335.4623537500006</v>
      </c>
      <c r="U184" s="97">
        <f>U182-U183</f>
        <v>679.47485375000053</v>
      </c>
    </row>
    <row r="185" spans="5:23" ht="15" x14ac:dyDescent="0.2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5" x14ac:dyDescent="0.2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5" x14ac:dyDescent="0.2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5" x14ac:dyDescent="0.2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5" x14ac:dyDescent="0.2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41855.764691573851</v>
      </c>
      <c r="R189" s="430">
        <f>R174+R184</f>
        <v>-42277.809000000001</v>
      </c>
      <c r="S189" s="430">
        <f>S174+S184</f>
        <v>-36837.66670244385</v>
      </c>
      <c r="T189" s="430">
        <f>T174+T184-T185</f>
        <v>557074.51235375006</v>
      </c>
      <c r="U189" s="431">
        <f>U174+U184</f>
        <v>479918.52485375007</v>
      </c>
    </row>
    <row r="190" spans="5:23" ht="15" x14ac:dyDescent="0.2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551855.7646915738</v>
      </c>
      <c r="R190" s="310">
        <f t="shared" ref="R190:S190" si="73">SUM(R188:R189)</f>
        <v>467722.19099999999</v>
      </c>
      <c r="S190" s="310">
        <f t="shared" si="73"/>
        <v>473162.33329755615</v>
      </c>
      <c r="T190" s="310">
        <f>SUM(T188:T189)</f>
        <v>557074.51235375006</v>
      </c>
      <c r="U190" s="311">
        <f>SUM(U188:U189)</f>
        <v>479918.52485375007</v>
      </c>
    </row>
    <row r="191" spans="5:23" ht="15" x14ac:dyDescent="0.2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5" x14ac:dyDescent="0.2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5" x14ac:dyDescent="0.2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f>IF(E192&gt;$U$19,($I$8*$U$9)*$U$11*$U$16,0)</f>
        <v>337500</v>
      </c>
      <c r="U193" s="90">
        <v>0</v>
      </c>
    </row>
    <row r="194" spans="5:21" ht="15" x14ac:dyDescent="0.2">
      <c r="E194" s="98" t="s">
        <v>207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5" x14ac:dyDescent="0.2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IF(T110=0,-$I$55,-($I$8*$I$12  +  IF($I$19 = 1, 0, U33)))</f>
        <v>-300000</v>
      </c>
      <c r="U195" s="94">
        <f>-$I$55</f>
        <v>-5000</v>
      </c>
    </row>
    <row r="196" spans="5:21" ht="15" x14ac:dyDescent="0.2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523.19705864467312</v>
      </c>
      <c r="R196" s="94">
        <f t="shared" si="74"/>
        <v>-2748.057585</v>
      </c>
      <c r="S196" s="94">
        <f t="shared" si="74"/>
        <v>-2394.4483356588503</v>
      </c>
      <c r="T196" s="94">
        <f t="shared" si="74"/>
        <v>6963.4314044218763</v>
      </c>
      <c r="U196" s="94">
        <f t="shared" si="74"/>
        <v>5998.9815606718767</v>
      </c>
    </row>
    <row r="197" spans="5:21" ht="15" x14ac:dyDescent="0.2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38023.19705864467</v>
      </c>
      <c r="R197" s="90">
        <f>SUM(R193:R196)</f>
        <v>34751.942414999998</v>
      </c>
      <c r="S197" s="90">
        <f>SUM(S193:S196)</f>
        <v>35105.551664341147</v>
      </c>
      <c r="T197" s="90">
        <f>SUM(T193:T196)</f>
        <v>44463.431404421877</v>
      </c>
      <c r="U197" s="90">
        <f t="shared" ref="U197" si="75">SUM(U193:U196)</f>
        <v>998.98156067187665</v>
      </c>
    </row>
    <row r="198" spans="5:21" ht="15" x14ac:dyDescent="0.2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11939.283876414427</v>
      </c>
      <c r="R198" s="95">
        <f>IF(R197&gt;0,R197*(0.124+0.15+0.04),0)</f>
        <v>10912.10991831</v>
      </c>
      <c r="S198" s="95">
        <f>IF(S197&gt;0,S197*(0.124+0.15+0.04),0)</f>
        <v>11023.143222603119</v>
      </c>
      <c r="T198" s="95">
        <f>IF(T197&gt;0,T197*(0.124+0.15+0.04),0)</f>
        <v>13961.517460988469</v>
      </c>
      <c r="U198" s="95">
        <f t="shared" ref="U198" si="76">IF(U197&gt;0,U197*(0.124+0.15+0.04),0)</f>
        <v>313.68021005096927</v>
      </c>
    </row>
    <row r="199" spans="5:21" ht="15" x14ac:dyDescent="0.2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26083.913182230244</v>
      </c>
      <c r="R199" s="97">
        <f t="shared" si="77"/>
        <v>23839.832496689996</v>
      </c>
      <c r="S199" s="97">
        <f t="shared" si="77"/>
        <v>24082.408441738029</v>
      </c>
      <c r="T199" s="97">
        <f t="shared" si="77"/>
        <v>30501.913943433407</v>
      </c>
      <c r="U199" s="97">
        <f t="shared" si="77"/>
        <v>685.30135062090744</v>
      </c>
    </row>
    <row r="200" spans="5:21" ht="15" x14ac:dyDescent="0.2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f>IF(E192=$U$19,$I$8*$I$58,0)</f>
        <v>0</v>
      </c>
      <c r="U200" s="90">
        <v>0</v>
      </c>
    </row>
    <row r="201" spans="5:21" ht="15" x14ac:dyDescent="0.2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5" x14ac:dyDescent="0.2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0</v>
      </c>
      <c r="U202" s="423">
        <f t="shared" si="78"/>
        <v>0</v>
      </c>
    </row>
    <row r="203" spans="5:21" ht="15" x14ac:dyDescent="0.2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67939.677873804088</v>
      </c>
      <c r="R203" s="430">
        <f>R189+R199-R200</f>
        <v>-18437.976503310005</v>
      </c>
      <c r="S203" s="430">
        <f>S189+S199-S200</f>
        <v>-12755.258260705821</v>
      </c>
      <c r="T203" s="430">
        <f>T189+T199-T200</f>
        <v>587576.4262971835</v>
      </c>
      <c r="U203" s="431">
        <f t="shared" ref="U203" si="79">U189+U199-U200</f>
        <v>480603.826204371</v>
      </c>
    </row>
    <row r="204" spans="5:21" ht="15" x14ac:dyDescent="0.2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577939.67787380412</v>
      </c>
      <c r="R204" s="310">
        <f t="shared" si="80"/>
        <v>491562.02349668997</v>
      </c>
      <c r="S204" s="310">
        <f t="shared" si="80"/>
        <v>497244.7417392942</v>
      </c>
      <c r="T204" s="310">
        <f t="shared" si="80"/>
        <v>587576.4262971835</v>
      </c>
      <c r="U204" s="311">
        <f t="shared" si="80"/>
        <v>480603.826204371</v>
      </c>
    </row>
    <row r="205" spans="5:21" ht="15" x14ac:dyDescent="0.2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5" x14ac:dyDescent="0.2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5" x14ac:dyDescent="0.2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5" x14ac:dyDescent="0.2">
      <c r="E208" s="98" t="s">
        <v>207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5" x14ac:dyDescent="0.2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5" x14ac:dyDescent="0.2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849.24597342255117</v>
      </c>
      <c r="R210" s="94">
        <f>IF(R203&gt;0,R203*$I$16,R203*$I$15)</f>
        <v>-1198.4684727151503</v>
      </c>
      <c r="S210" s="94">
        <f>IF(S203&gt;0,S203*$I$16,S203*$I$15)</f>
        <v>-829.09178694587843</v>
      </c>
      <c r="T210" s="94">
        <f>IF(T203&gt;0,T203*$I$16,T203*$I$15)</f>
        <v>7344.7053287147937</v>
      </c>
      <c r="U210" s="94">
        <f t="shared" ref="U210" si="81">IF(U203&gt;0,U203*$I$16,U203*$I$15)</f>
        <v>6007.5478275546375</v>
      </c>
    </row>
    <row r="211" spans="5:21" ht="15" x14ac:dyDescent="0.2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38349.245973422549</v>
      </c>
      <c r="R211" s="90">
        <f>SUM(R207:R210)</f>
        <v>36301.531527284853</v>
      </c>
      <c r="S211" s="90">
        <f>SUM(S207:S210)</f>
        <v>36670.908213054121</v>
      </c>
      <c r="T211" s="90">
        <f>SUM(T207:T210)</f>
        <v>44844.705328714794</v>
      </c>
      <c r="U211" s="90">
        <f t="shared" ref="U211" si="82">SUM(U207:U210)</f>
        <v>1007.5478275546375</v>
      </c>
    </row>
    <row r="212" spans="5:21" ht="15" x14ac:dyDescent="0.2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12041.66323565468</v>
      </c>
      <c r="R212" s="95">
        <f>IF(R211&gt;0,R211*(0.124+0.15+0.04),0)</f>
        <v>11398.680899567444</v>
      </c>
      <c r="S212" s="95">
        <f>IF(S211&gt;0,S211*(0.124+0.15+0.04),0)</f>
        <v>11514.665178898995</v>
      </c>
      <c r="T212" s="95">
        <f>IF(T211&gt;0,T211*(0.124+0.15+0.04),0)</f>
        <v>14081.237473216444</v>
      </c>
      <c r="U212" s="95">
        <f t="shared" ref="U212" si="83">IF(U211&gt;0,U211*(0.124+0.15+0.04),0)</f>
        <v>316.3700178521562</v>
      </c>
    </row>
    <row r="213" spans="5:21" ht="15" x14ac:dyDescent="0.2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26307.582737767869</v>
      </c>
      <c r="R213" s="97">
        <f t="shared" si="84"/>
        <v>24902.850627717409</v>
      </c>
      <c r="S213" s="97">
        <f t="shared" si="84"/>
        <v>25156.243034155126</v>
      </c>
      <c r="T213" s="97">
        <f t="shared" si="84"/>
        <v>30763.467855498347</v>
      </c>
      <c r="U213" s="97">
        <f t="shared" si="84"/>
        <v>691.17780970248123</v>
      </c>
    </row>
    <row r="214" spans="5:21" ht="15" x14ac:dyDescent="0.2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5" x14ac:dyDescent="0.2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5" x14ac:dyDescent="0.2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0</v>
      </c>
      <c r="U216" s="423">
        <f t="shared" si="85"/>
        <v>0</v>
      </c>
    </row>
    <row r="217" spans="5:21" ht="15" x14ac:dyDescent="0.2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94247.260611571954</v>
      </c>
      <c r="R217" s="430">
        <f>R203+R213-R214</f>
        <v>6464.8741244074045</v>
      </c>
      <c r="S217" s="430">
        <f>S203+S213-S214</f>
        <v>12400.984773449305</v>
      </c>
      <c r="T217" s="430">
        <f>T203+T213-T214</f>
        <v>618339.89415268181</v>
      </c>
      <c r="U217" s="431">
        <f t="shared" ref="U217" si="86">U203+U213-U214</f>
        <v>481295.00401407346</v>
      </c>
    </row>
    <row r="218" spans="5:21" ht="15" x14ac:dyDescent="0.2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604247.26061157195</v>
      </c>
      <c r="R218" s="310">
        <f t="shared" si="87"/>
        <v>516464.87412440742</v>
      </c>
      <c r="S218" s="310">
        <f t="shared" si="87"/>
        <v>522400.98477344931</v>
      </c>
      <c r="T218" s="310">
        <f t="shared" si="87"/>
        <v>618339.89415268181</v>
      </c>
      <c r="U218" s="311">
        <f t="shared" si="87"/>
        <v>481295.00401407346</v>
      </c>
    </row>
    <row r="219" spans="5:21" ht="15" x14ac:dyDescent="0.2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5" x14ac:dyDescent="0.2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5" x14ac:dyDescent="0.2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5" x14ac:dyDescent="0.2">
      <c r="E222" s="98" t="s">
        <v>207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5" x14ac:dyDescent="0.2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5" x14ac:dyDescent="0.2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1178.0907576446496</v>
      </c>
      <c r="R224" s="94">
        <f>IF(R217&gt;0,R217*$I$16,R217*$I$15)</f>
        <v>80.810926555092564</v>
      </c>
      <c r="S224" s="94">
        <f>IF(S217&gt;0,S217*$I$16,S217*$I$15)</f>
        <v>155.01230966811633</v>
      </c>
      <c r="T224" s="94">
        <f>IF(T217&gt;0,T217*$I$16,T217*$I$15)</f>
        <v>7729.2486769085226</v>
      </c>
      <c r="U224" s="94">
        <f t="shared" ref="U224" si="88">IF(U217&gt;0,U217*$I$16,U217*$I$15)</f>
        <v>6016.1875501759187</v>
      </c>
    </row>
    <row r="225" spans="5:21" ht="15" x14ac:dyDescent="0.2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38678.090757644648</v>
      </c>
      <c r="R225" s="90">
        <f>SUM(R221:R224)</f>
        <v>37580.810926555096</v>
      </c>
      <c r="S225" s="90">
        <f>SUM(S221:S224)</f>
        <v>37655.012309668113</v>
      </c>
      <c r="T225" s="90">
        <f>SUM(T221:T224)</f>
        <v>45229.248676908523</v>
      </c>
      <c r="U225" s="90">
        <f t="shared" ref="U225" si="89">SUM(U221:U224)</f>
        <v>1016.1875501759187</v>
      </c>
    </row>
    <row r="226" spans="5:21" ht="15" x14ac:dyDescent="0.2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12144.920497900419</v>
      </c>
      <c r="R226" s="95">
        <f>IF(R225&gt;0,R225*(0.124+0.15+0.04),0)</f>
        <v>11800.3746309383</v>
      </c>
      <c r="S226" s="95">
        <f>IF(S225&gt;0,S225*(0.124+0.15+0.04),0)</f>
        <v>11823.673865235787</v>
      </c>
      <c r="T226" s="95">
        <f>IF(T225&gt;0,T225*(0.124+0.15+0.04),0)</f>
        <v>14201.984084549276</v>
      </c>
      <c r="U226" s="95">
        <f t="shared" ref="U226" si="90">IF(U225&gt;0,U225*(0.124+0.15+0.04),0)</f>
        <v>319.08289075523845</v>
      </c>
    </row>
    <row r="227" spans="5:21" ht="15" x14ac:dyDescent="0.2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26533.170259744227</v>
      </c>
      <c r="R227" s="97">
        <f t="shared" si="91"/>
        <v>25780.436295616797</v>
      </c>
      <c r="S227" s="97">
        <f t="shared" si="91"/>
        <v>25831.338444432324</v>
      </c>
      <c r="T227" s="97">
        <f t="shared" si="91"/>
        <v>31027.264592359246</v>
      </c>
      <c r="U227" s="97">
        <f t="shared" si="91"/>
        <v>697.10465942068026</v>
      </c>
    </row>
    <row r="228" spans="5:21" ht="15" x14ac:dyDescent="0.2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5" x14ac:dyDescent="0.2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5" x14ac:dyDescent="0.2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0</v>
      </c>
      <c r="U230" s="423">
        <f t="shared" si="92"/>
        <v>0</v>
      </c>
    </row>
    <row r="231" spans="5:21" ht="15" x14ac:dyDescent="0.2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120780.43087131617</v>
      </c>
      <c r="R231" s="430">
        <f>R217+R227-R228</f>
        <v>32245.310420024201</v>
      </c>
      <c r="S231" s="430">
        <f>S217+S227-S228</f>
        <v>38232.323217881625</v>
      </c>
      <c r="T231" s="430">
        <f>T217+T227-T228</f>
        <v>649367.158745041</v>
      </c>
      <c r="U231" s="431">
        <f t="shared" ref="U231" si="93">U217+U227-U228</f>
        <v>481992.10867349413</v>
      </c>
    </row>
    <row r="232" spans="5:21" ht="15" x14ac:dyDescent="0.2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630780.43087131623</v>
      </c>
      <c r="R232" s="310">
        <f t="shared" si="94"/>
        <v>542245.31042002421</v>
      </c>
      <c r="S232" s="310">
        <f t="shared" si="94"/>
        <v>548232.32321788161</v>
      </c>
      <c r="T232" s="310">
        <f t="shared" si="94"/>
        <v>649367.158745041</v>
      </c>
      <c r="U232" s="311">
        <f t="shared" si="94"/>
        <v>481992.10867349413</v>
      </c>
    </row>
    <row r="233" spans="5:21" ht="15" x14ac:dyDescent="0.2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5" x14ac:dyDescent="0.2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5" x14ac:dyDescent="0.2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116092.93087131623</v>
      </c>
      <c r="R235" s="322">
        <f t="shared" si="95"/>
        <v>27557.810420024209</v>
      </c>
      <c r="S235" s="322">
        <f t="shared" si="95"/>
        <v>33544.823217881611</v>
      </c>
      <c r="T235" s="322">
        <f t="shared" si="95"/>
        <v>134679.658745041</v>
      </c>
      <c r="U235" s="323">
        <f t="shared" si="95"/>
        <v>-32695.391326505865</v>
      </c>
    </row>
    <row r="236" spans="5:21" ht="15" x14ac:dyDescent="0.2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193.48821811886037</v>
      </c>
      <c r="R236" s="320">
        <f t="shared" si="96"/>
        <v>45.929684033373682</v>
      </c>
      <c r="S236" s="320">
        <f t="shared" si="96"/>
        <v>55.908038696469355</v>
      </c>
      <c r="T236" s="320">
        <f t="shared" si="96"/>
        <v>224.46609790840168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2:Z60"/>
  <sheetViews>
    <sheetView zoomScaleSheetLayoutView="110" workbookViewId="0">
      <selection activeCell="L19" sqref="L19"/>
    </sheetView>
  </sheetViews>
  <sheetFormatPr baseColWidth="10" defaultColWidth="9.1640625" defaultRowHeight="15" x14ac:dyDescent="0.2"/>
  <cols>
    <col min="1" max="2" width="11" style="182" customWidth="1"/>
    <col min="3" max="3" width="11.5" style="172" customWidth="1"/>
    <col min="4" max="4" width="11.5" style="184" customWidth="1"/>
    <col min="5" max="5" width="11.5" style="182" customWidth="1"/>
    <col min="6" max="6" width="11.5" style="183" customWidth="1"/>
    <col min="7" max="9" width="11.5" style="172" customWidth="1"/>
    <col min="10" max="10" width="11.5" style="183" customWidth="1"/>
    <col min="11" max="11" width="11.5" style="172" customWidth="1"/>
    <col min="12" max="13" width="9.1640625" style="172"/>
    <col min="14" max="14" width="11.5" style="183" customWidth="1"/>
    <col min="15" max="15" width="9.1640625" style="172"/>
    <col min="16" max="16" width="10.1640625" style="172" bestFit="1" customWidth="1"/>
    <col min="17" max="17" width="10.5" style="172" customWidth="1"/>
    <col min="18" max="18" width="12.1640625" style="172" bestFit="1" customWidth="1"/>
    <col min="19" max="19" width="10.5" style="172" bestFit="1" customWidth="1"/>
    <col min="20" max="16384" width="9.1640625" style="172"/>
  </cols>
  <sheetData>
    <row r="2" spans="1:18" x14ac:dyDescent="0.2">
      <c r="J2" s="172"/>
      <c r="N2" s="172"/>
    </row>
    <row r="3" spans="1:18" x14ac:dyDescent="0.2">
      <c r="J3" s="172"/>
      <c r="N3" s="172"/>
    </row>
    <row r="4" spans="1:18" x14ac:dyDescent="0.2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31" thickBot="1" x14ac:dyDescent="0.25">
      <c r="A5" s="351" t="s">
        <v>260</v>
      </c>
      <c r="B5" s="229" t="s">
        <v>269</v>
      </c>
      <c r="C5" s="230" t="s">
        <v>258</v>
      </c>
      <c r="D5" s="230" t="s">
        <v>259</v>
      </c>
      <c r="E5" s="230" t="s">
        <v>231</v>
      </c>
      <c r="F5" s="230" t="s">
        <v>237</v>
      </c>
      <c r="G5" s="230" t="s">
        <v>232</v>
      </c>
      <c r="H5" s="230" t="s">
        <v>233</v>
      </c>
      <c r="I5" s="230" t="s">
        <v>234</v>
      </c>
      <c r="J5" s="231" t="s">
        <v>235</v>
      </c>
      <c r="K5" s="230" t="s">
        <v>236</v>
      </c>
      <c r="L5" s="200"/>
      <c r="N5" s="172"/>
    </row>
    <row r="6" spans="1:18" ht="16" thickBot="1" x14ac:dyDescent="0.25">
      <c r="A6" s="352" t="s">
        <v>216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6" thickBot="1" x14ac:dyDescent="0.25">
      <c r="A7" s="353" t="s">
        <v>217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6" thickBot="1" x14ac:dyDescent="0.25">
      <c r="A8" s="353" t="s">
        <v>218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6" thickBot="1" x14ac:dyDescent="0.25">
      <c r="A9" s="353" t="s">
        <v>219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6" thickBot="1" x14ac:dyDescent="0.25">
      <c r="A10" s="353" t="s">
        <v>220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6" thickBot="1" x14ac:dyDescent="0.25">
      <c r="A11" s="353" t="s">
        <v>221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6" thickBot="1" x14ac:dyDescent="0.25">
      <c r="A12" s="353" t="s">
        <v>222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6" thickBot="1" x14ac:dyDescent="0.25">
      <c r="A13" s="353" t="s">
        <v>223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6" thickBot="1" x14ac:dyDescent="0.25">
      <c r="A14" s="353" t="s">
        <v>224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6" thickBot="1" x14ac:dyDescent="0.25">
      <c r="A15" s="353" t="s">
        <v>225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 x14ac:dyDescent="0.2">
      <c r="A16" s="354" t="s">
        <v>226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 x14ac:dyDescent="0.2">
      <c r="A17" s="172"/>
      <c r="B17" s="172"/>
      <c r="D17" s="172"/>
      <c r="E17" s="172"/>
      <c r="F17" s="172"/>
      <c r="J17" s="172"/>
      <c r="N17" s="172"/>
    </row>
    <row r="18" spans="1:14" x14ac:dyDescent="0.2">
      <c r="A18" s="172"/>
      <c r="B18" s="172"/>
      <c r="D18" s="172"/>
      <c r="E18" s="172"/>
      <c r="F18" s="172"/>
      <c r="J18" s="172"/>
      <c r="N18" s="172"/>
    </row>
    <row r="19" spans="1:14" x14ac:dyDescent="0.2">
      <c r="A19" s="172"/>
      <c r="B19" s="172"/>
      <c r="D19" s="172"/>
      <c r="E19" s="172"/>
      <c r="F19" s="172"/>
      <c r="J19" s="172"/>
      <c r="N19" s="172"/>
    </row>
    <row r="20" spans="1:14" x14ac:dyDescent="0.2">
      <c r="A20" s="172"/>
      <c r="B20" s="172"/>
      <c r="D20" s="172"/>
      <c r="E20" s="172"/>
      <c r="F20" s="172"/>
      <c r="J20" s="172"/>
      <c r="N20" s="172"/>
    </row>
    <row r="21" spans="1:14" x14ac:dyDescent="0.2">
      <c r="A21" s="172"/>
      <c r="B21" s="172"/>
      <c r="D21" s="172"/>
      <c r="E21" s="172"/>
      <c r="J21" s="172"/>
      <c r="N21" s="172"/>
    </row>
    <row r="22" spans="1:14" x14ac:dyDescent="0.2">
      <c r="A22" s="172"/>
      <c r="B22" s="172"/>
      <c r="D22" s="172"/>
      <c r="E22" s="172"/>
      <c r="F22" s="172"/>
      <c r="J22" s="172"/>
      <c r="N22" s="172"/>
    </row>
    <row r="23" spans="1:14" x14ac:dyDescent="0.2">
      <c r="A23" s="172"/>
      <c r="B23" s="172"/>
      <c r="D23" s="172"/>
      <c r="E23" s="172"/>
      <c r="F23" s="172"/>
      <c r="H23" s="212"/>
      <c r="J23" s="172"/>
      <c r="N23" s="172"/>
    </row>
    <row r="24" spans="1:14" x14ac:dyDescent="0.2">
      <c r="A24" s="172"/>
      <c r="B24" s="172"/>
      <c r="D24" s="172"/>
      <c r="E24" s="172"/>
      <c r="F24" s="173"/>
      <c r="J24" s="172"/>
      <c r="N24" s="172"/>
    </row>
    <row r="25" spans="1:14" x14ac:dyDescent="0.2">
      <c r="A25" s="172"/>
      <c r="B25" s="172"/>
      <c r="D25" s="172"/>
      <c r="E25" s="172"/>
      <c r="F25" s="172"/>
      <c r="J25" s="172"/>
      <c r="N25" s="172"/>
    </row>
    <row r="26" spans="1:14" x14ac:dyDescent="0.2">
      <c r="A26" s="172"/>
      <c r="B26" s="172"/>
      <c r="D26" s="172"/>
      <c r="E26" s="172"/>
      <c r="I26" s="185"/>
      <c r="J26" s="172"/>
      <c r="N26" s="172"/>
    </row>
    <row r="27" spans="1:14" x14ac:dyDescent="0.2">
      <c r="A27" s="172"/>
      <c r="B27" s="172"/>
      <c r="D27" s="172"/>
      <c r="E27" s="172"/>
      <c r="F27" s="172"/>
      <c r="I27" s="185"/>
      <c r="J27" s="172"/>
      <c r="N27" s="172"/>
    </row>
    <row r="28" spans="1:14" x14ac:dyDescent="0.2">
      <c r="A28" s="172"/>
      <c r="B28" s="172"/>
      <c r="D28" s="172"/>
      <c r="E28" s="172"/>
      <c r="F28" s="172"/>
      <c r="I28" s="185"/>
      <c r="J28" s="172"/>
      <c r="N28" s="172"/>
    </row>
    <row r="29" spans="1:14" x14ac:dyDescent="0.2">
      <c r="A29" s="172"/>
      <c r="B29" s="172"/>
      <c r="D29" s="172"/>
      <c r="E29" s="172"/>
      <c r="F29" s="172"/>
      <c r="J29" s="172"/>
      <c r="N29" s="172"/>
    </row>
    <row r="30" spans="1:14" x14ac:dyDescent="0.2">
      <c r="A30" s="172"/>
      <c r="B30" s="172"/>
      <c r="D30" s="172"/>
      <c r="E30" s="172"/>
      <c r="F30" s="172"/>
      <c r="J30" s="172"/>
      <c r="N30" s="172"/>
    </row>
    <row r="31" spans="1:14" x14ac:dyDescent="0.2">
      <c r="D31" s="172"/>
      <c r="E31" s="172"/>
      <c r="F31" s="172"/>
      <c r="J31" s="172"/>
      <c r="N31" s="172"/>
    </row>
    <row r="32" spans="1:14" x14ac:dyDescent="0.2">
      <c r="D32" s="172"/>
      <c r="E32" s="172"/>
      <c r="F32" s="172"/>
      <c r="J32" s="172"/>
      <c r="N32" s="172"/>
    </row>
    <row r="33" spans="4:14" x14ac:dyDescent="0.2">
      <c r="D33" s="172"/>
      <c r="E33" s="172"/>
      <c r="F33" s="172"/>
      <c r="J33" s="172"/>
      <c r="N33" s="172"/>
    </row>
    <row r="34" spans="4:14" x14ac:dyDescent="0.2">
      <c r="D34" s="172"/>
      <c r="E34" s="172"/>
      <c r="F34" s="172"/>
      <c r="J34" s="172"/>
      <c r="N34" s="172"/>
    </row>
    <row r="35" spans="4:14" x14ac:dyDescent="0.2">
      <c r="D35" s="172"/>
      <c r="E35" s="172"/>
      <c r="F35" s="172"/>
      <c r="J35" s="172"/>
      <c r="N35" s="172"/>
    </row>
    <row r="54" spans="25:26" x14ac:dyDescent="0.2">
      <c r="Z54" s="183"/>
    </row>
    <row r="55" spans="25:26" x14ac:dyDescent="0.2">
      <c r="Z55" s="183"/>
    </row>
    <row r="56" spans="25:26" x14ac:dyDescent="0.2">
      <c r="Z56" s="183"/>
    </row>
    <row r="57" spans="25:26" x14ac:dyDescent="0.2">
      <c r="Z57" s="183"/>
    </row>
    <row r="58" spans="25:26" x14ac:dyDescent="0.2">
      <c r="Z58" s="183"/>
    </row>
    <row r="59" spans="25:26" x14ac:dyDescent="0.2">
      <c r="Z59" s="183"/>
    </row>
    <row r="60" spans="25:26" x14ac:dyDescent="0.2">
      <c r="Y60" s="183"/>
    </row>
  </sheetData>
  <pageMargins left="0.7" right="0.7" top="0.75" bottom="0.75" header="0.3" footer="0.3"/>
  <pageSetup scale="8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N69"/>
  <sheetViews>
    <sheetView workbookViewId="0">
      <selection activeCell="P7" sqref="P7"/>
    </sheetView>
  </sheetViews>
  <sheetFormatPr baseColWidth="10" defaultColWidth="8.83203125" defaultRowHeight="15" x14ac:dyDescent="0.2"/>
  <cols>
    <col min="13" max="13" width="8.83203125" style="232"/>
    <col min="14" max="14" width="8.83203125" style="232" customWidth="1"/>
    <col min="15" max="16384" width="8.83203125" style="232"/>
  </cols>
  <sheetData>
    <row r="1" spans="1:14" x14ac:dyDescent="0.2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312</v>
      </c>
    </row>
    <row r="3" spans="1:14" x14ac:dyDescent="0.2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 x14ac:dyDescent="0.2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 x14ac:dyDescent="0.2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 x14ac:dyDescent="0.2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 x14ac:dyDescent="0.2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 x14ac:dyDescent="0.2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 x14ac:dyDescent="0.2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 x14ac:dyDescent="0.2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 x14ac:dyDescent="0.2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 x14ac:dyDescent="0.2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 x14ac:dyDescent="0.2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 x14ac:dyDescent="0.2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 x14ac:dyDescent="0.2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 x14ac:dyDescent="0.2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 x14ac:dyDescent="0.2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 x14ac:dyDescent="0.2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 x14ac:dyDescent="0.2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 x14ac:dyDescent="0.2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 x14ac:dyDescent="0.2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 x14ac:dyDescent="0.2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 x14ac:dyDescent="0.2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 x14ac:dyDescent="0.2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 x14ac:dyDescent="0.2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 x14ac:dyDescent="0.2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 x14ac:dyDescent="0.2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 x14ac:dyDescent="0.2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 x14ac:dyDescent="0.2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 x14ac:dyDescent="0.2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 x14ac:dyDescent="0.2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 x14ac:dyDescent="0.2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 x14ac:dyDescent="0.2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 x14ac:dyDescent="0.2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 x14ac:dyDescent="0.2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 x14ac:dyDescent="0.2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 x14ac:dyDescent="0.2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 x14ac:dyDescent="0.2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 x14ac:dyDescent="0.2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 x14ac:dyDescent="0.2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 x14ac:dyDescent="0.2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 x14ac:dyDescent="0.2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 x14ac:dyDescent="0.2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 x14ac:dyDescent="0.2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 x14ac:dyDescent="0.2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 x14ac:dyDescent="0.2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 x14ac:dyDescent="0.2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 x14ac:dyDescent="0.2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 x14ac:dyDescent="0.2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 x14ac:dyDescent="0.2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 x14ac:dyDescent="0.2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 x14ac:dyDescent="0.2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 x14ac:dyDescent="0.2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 x14ac:dyDescent="0.2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 x14ac:dyDescent="0.2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 x14ac:dyDescent="0.2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 x14ac:dyDescent="0.2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 x14ac:dyDescent="0.2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 x14ac:dyDescent="0.2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 x14ac:dyDescent="0.2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 x14ac:dyDescent="0.2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 x14ac:dyDescent="0.2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 x14ac:dyDescent="0.2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 x14ac:dyDescent="0.2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 x14ac:dyDescent="0.2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 x14ac:dyDescent="0.2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 x14ac:dyDescent="0.2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 x14ac:dyDescent="0.2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 x14ac:dyDescent="0.2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Trisha Shrum</cp:lastModifiedBy>
  <cp:lastPrinted>2016-07-14T19:38:59Z</cp:lastPrinted>
  <dcterms:created xsi:type="dcterms:W3CDTF">2011-06-21T14:11:52Z</dcterms:created>
  <dcterms:modified xsi:type="dcterms:W3CDTF">2016-08-02T18:02:45Z</dcterms:modified>
</cp:coreProperties>
</file>