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0" yWindow="0" windowWidth="20160" windowHeight="8730" tabRatio="653" firstSheet="1" activeTab="6"/>
  </bookViews>
  <sheets>
    <sheet name="senseInfo" sheetId="12" state="hidden" r:id="rId1"/>
    <sheet name="Drought Calculator" sheetId="13" r:id="rId2"/>
    <sheet name="CPER Precip" sheetId="14" r:id="rId3"/>
    <sheet name="Ranch Strategies" sheetId="5" r:id="rId4"/>
    <sheet name="RI-Insurance" sheetId="20" r:id="rId5"/>
    <sheet name="R Index" sheetId="21" r:id="rId6"/>
    <sheet name="Sheet3" sheetId="24" r:id="rId7"/>
    <sheet name="_PalUtilTempWorksheet" sheetId="26" state="hidden" r:id="rId8"/>
    <sheet name="treeCalc_1" sheetId="25" state="hidden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3">#REF!</definedName>
    <definedName name="a" localSheetId="4">#REF!</definedName>
    <definedName name="a">#REF!</definedName>
    <definedName name="j" localSheetId="3">#REF!</definedName>
    <definedName name="j" localSheetId="4">#REF!</definedName>
    <definedName name="j">#REF!</definedName>
    <definedName name="jeff" localSheetId="3">#REF!</definedName>
    <definedName name="jeff" localSheetId="4">#REF!</definedName>
    <definedName name="jeff">#REF!</definedName>
    <definedName name="Pal_Workbook_GUID" localSheetId="2" hidden="1">"2Q2NV3LS4EFZJR2GJZ15YAEH"</definedName>
    <definedName name="Pal_Workbook_GUID" localSheetId="1" hidden="1">"2Q2NV3LS4EFZJR2GJZ15YAEH"</definedName>
    <definedName name="Pal_Workbook_GUID" hidden="1">"J7G69ZAVDHPYIUSQEB922MS1"</definedName>
    <definedName name="_xlnm.Print_Area" localSheetId="3">'Ranch Strategies'!$B$2:$V$148</definedName>
    <definedName name="Print_Area_MI" localSheetId="3">#REF!</definedName>
    <definedName name="Print_Area_MI" localSheetId="4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"$S$85"</definedName>
    <definedName name="RiskSelectedNameCell1" hidden="1">"$E$84"</definedName>
    <definedName name="RiskSelectedNameCell2" hidden="1">"$S$73"</definedName>
    <definedName name="RiskStandardRecalc" hidden="1">1</definedName>
    <definedName name="RiskSwapState" hidden="1">FALSE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45621"/>
</workbook>
</file>

<file path=xl/calcChain.xml><?xml version="1.0" encoding="utf-8"?>
<calcChain xmlns="http://schemas.openxmlformats.org/spreadsheetml/2006/main">
  <c r="K21" i="25" l="1"/>
  <c r="K20" i="25"/>
  <c r="J14" i="25"/>
  <c r="O14" i="25"/>
  <c r="J17" i="25"/>
  <c r="O13" i="25"/>
  <c r="J12" i="25"/>
  <c r="O12" i="25"/>
  <c r="C28" i="24"/>
  <c r="J13" i="25" s="1"/>
  <c r="K11" i="25"/>
  <c r="J11" i="25"/>
  <c r="O11" i="25"/>
  <c r="B11" i="25"/>
  <c r="B2" i="25"/>
  <c r="I45" i="5" l="1"/>
  <c r="I27" i="5"/>
  <c r="I29" i="5" s="1"/>
  <c r="U15" i="5"/>
  <c r="S82" i="5" s="1"/>
  <c r="U16" i="5"/>
  <c r="R96" i="5" s="1"/>
  <c r="U17" i="5"/>
  <c r="Q111" i="5" s="1"/>
  <c r="B9" i="13"/>
  <c r="I9" i="13" s="1"/>
  <c r="C9" i="13"/>
  <c r="AA16" i="5"/>
  <c r="AB16" i="5"/>
  <c r="I46" i="5" s="1"/>
  <c r="T88" i="5"/>
  <c r="Q76" i="5"/>
  <c r="E80" i="5"/>
  <c r="X87" i="5" s="1"/>
  <c r="R76" i="5"/>
  <c r="R91" i="5" s="1"/>
  <c r="R106" i="5" s="1"/>
  <c r="R120" i="5" s="1"/>
  <c r="R134" i="5" s="1"/>
  <c r="R148" i="5" s="1"/>
  <c r="S76" i="5"/>
  <c r="S91" i="5"/>
  <c r="S106" i="5"/>
  <c r="S120" i="5"/>
  <c r="S134" i="5" s="1"/>
  <c r="S148" i="5" s="1"/>
  <c r="T76" i="5"/>
  <c r="T79" i="5" s="1"/>
  <c r="AC57" i="5" s="1"/>
  <c r="AC44" i="5"/>
  <c r="T82" i="5" s="1"/>
  <c r="U76" i="5"/>
  <c r="U88" i="5"/>
  <c r="U91" i="5"/>
  <c r="U106" i="5" s="1"/>
  <c r="U120" i="5" s="1"/>
  <c r="U134" i="5" s="1"/>
  <c r="U148" i="5"/>
  <c r="AB38" i="5"/>
  <c r="AB40" i="5" s="1"/>
  <c r="U47" i="5" s="1"/>
  <c r="T47" i="5" s="1"/>
  <c r="U89" i="5"/>
  <c r="P77" i="5"/>
  <c r="P78" i="5"/>
  <c r="Q77" i="5"/>
  <c r="Q78" i="5"/>
  <c r="R77" i="5"/>
  <c r="R78" i="5"/>
  <c r="S77" i="5"/>
  <c r="S79" i="5" s="1"/>
  <c r="AB57" i="5" s="1"/>
  <c r="S78" i="5"/>
  <c r="T77" i="5"/>
  <c r="T78" i="5"/>
  <c r="U77" i="5"/>
  <c r="U78" i="5"/>
  <c r="I37" i="5"/>
  <c r="F10" i="20" s="1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/>
  <c r="M81" i="14"/>
  <c r="O8" i="13" s="1"/>
  <c r="L81" i="14"/>
  <c r="N8" i="13" s="1"/>
  <c r="K81" i="14"/>
  <c r="M8" i="13"/>
  <c r="J81" i="14"/>
  <c r="L8" i="13"/>
  <c r="B81" i="14"/>
  <c r="B83" i="14" s="1"/>
  <c r="C83" i="14" s="1"/>
  <c r="D83" i="14" s="1"/>
  <c r="E83" i="14" s="1"/>
  <c r="F83" i="14" s="1"/>
  <c r="G83" i="14" s="1"/>
  <c r="H83" i="14" s="1"/>
  <c r="I83" i="14" s="1"/>
  <c r="J83" i="14" s="1"/>
  <c r="K83" i="14" s="1"/>
  <c r="L83" i="14" s="1"/>
  <c r="M83" i="14" s="1"/>
  <c r="C81" i="14"/>
  <c r="E8" i="13"/>
  <c r="D81" i="14"/>
  <c r="F8" i="13" s="1"/>
  <c r="E81" i="14"/>
  <c r="G8" i="13" s="1"/>
  <c r="F81" i="14"/>
  <c r="H8" i="13"/>
  <c r="G81" i="14"/>
  <c r="I8" i="13"/>
  <c r="H81" i="14"/>
  <c r="J8" i="13" s="1"/>
  <c r="I81" i="14"/>
  <c r="K8" i="13" s="1"/>
  <c r="U65" i="5"/>
  <c r="T65" i="5"/>
  <c r="U62" i="5"/>
  <c r="T62" i="5"/>
  <c r="U58" i="5"/>
  <c r="T58" i="5" s="1"/>
  <c r="AB33" i="5"/>
  <c r="U49" i="5"/>
  <c r="T49" i="5" s="1"/>
  <c r="AC8" i="5"/>
  <c r="AB32" i="5"/>
  <c r="U141" i="5"/>
  <c r="U127" i="5"/>
  <c r="AC49" i="5"/>
  <c r="U60" i="5" s="1"/>
  <c r="T60" i="5" s="1"/>
  <c r="U59" i="5"/>
  <c r="T59" i="5" s="1"/>
  <c r="U113" i="5"/>
  <c r="U98" i="5"/>
  <c r="X59" i="5"/>
  <c r="D8" i="13"/>
  <c r="Y16" i="5"/>
  <c r="Y17" i="5" s="1"/>
  <c r="AB37" i="5"/>
  <c r="AB39" i="5" s="1"/>
  <c r="U46" i="5" s="1"/>
  <c r="T46" i="5" s="1"/>
  <c r="U82" i="5"/>
  <c r="P76" i="5"/>
  <c r="P91" i="5" s="1"/>
  <c r="P106" i="5" s="1"/>
  <c r="P120" i="5" s="1"/>
  <c r="P134" i="5" s="1"/>
  <c r="P148" i="5" s="1"/>
  <c r="P79" i="5"/>
  <c r="Y57" i="5" s="1"/>
  <c r="U66" i="5"/>
  <c r="T66" i="5" s="1"/>
  <c r="U126" i="5"/>
  <c r="U140" i="5"/>
  <c r="U112" i="5"/>
  <c r="P28" i="5"/>
  <c r="F16" i="20"/>
  <c r="F9" i="20"/>
  <c r="F12" i="20"/>
  <c r="Y18" i="5" l="1"/>
  <c r="AA17" i="5"/>
  <c r="AB17" i="5" s="1"/>
  <c r="P29" i="5" s="1"/>
  <c r="T29" i="5" s="1"/>
  <c r="U29" i="5" s="1"/>
  <c r="U79" i="5"/>
  <c r="AD57" i="5" s="1"/>
  <c r="F13" i="20"/>
  <c r="E94" i="5"/>
  <c r="F14" i="20"/>
  <c r="F11" i="20"/>
  <c r="R79" i="5"/>
  <c r="AA57" i="5" s="1"/>
  <c r="I10" i="13"/>
  <c r="I19" i="13" s="1"/>
  <c r="F7" i="20"/>
  <c r="T91" i="5"/>
  <c r="AC51" i="5"/>
  <c r="AC52" i="5" s="1"/>
  <c r="Q97" i="5"/>
  <c r="S97" i="5"/>
  <c r="X60" i="5"/>
  <c r="Q91" i="5"/>
  <c r="Q106" i="5" s="1"/>
  <c r="Q120" i="5" s="1"/>
  <c r="Q134" i="5" s="1"/>
  <c r="Q148" i="5" s="1"/>
  <c r="Q79" i="5"/>
  <c r="Z57" i="5" s="1"/>
  <c r="Y19" i="5"/>
  <c r="AA18" i="5"/>
  <c r="AB18" i="5" s="1"/>
  <c r="F15" i="20"/>
  <c r="F8" i="20"/>
  <c r="F6" i="20"/>
  <c r="U48" i="5"/>
  <c r="T48" i="5" s="1"/>
  <c r="P111" i="5"/>
  <c r="P125" i="5"/>
  <c r="K9" i="13"/>
  <c r="K10" i="13" s="1"/>
  <c r="K16" i="13" s="1"/>
  <c r="N9" i="13"/>
  <c r="N10" i="13" s="1"/>
  <c r="N16" i="13" s="1"/>
  <c r="P139" i="5"/>
  <c r="R139" i="5"/>
  <c r="R125" i="5"/>
  <c r="R111" i="5"/>
  <c r="AC48" i="5"/>
  <c r="T28" i="5"/>
  <c r="U28" i="5" s="1"/>
  <c r="AB35" i="5"/>
  <c r="P82" i="5"/>
  <c r="AC43" i="5"/>
  <c r="AC45" i="5" s="1"/>
  <c r="U57" i="5" s="1"/>
  <c r="T57" i="5" s="1"/>
  <c r="T61" i="5" s="1"/>
  <c r="AB34" i="5"/>
  <c r="R82" i="5"/>
  <c r="Q96" i="5"/>
  <c r="AC47" i="5"/>
  <c r="H9" i="13"/>
  <c r="H10" i="13" s="1"/>
  <c r="H17" i="13" s="1"/>
  <c r="G9" i="13"/>
  <c r="G10" i="13" s="1"/>
  <c r="L9" i="13"/>
  <c r="L10" i="13" s="1"/>
  <c r="F9" i="13"/>
  <c r="F10" i="13" s="1"/>
  <c r="G4" i="20"/>
  <c r="E22" i="5"/>
  <c r="P96" i="5"/>
  <c r="M9" i="13"/>
  <c r="M10" i="13" s="1"/>
  <c r="D9" i="13"/>
  <c r="D10" i="13" s="1"/>
  <c r="J9" i="13"/>
  <c r="J10" i="13" s="1"/>
  <c r="E9" i="13"/>
  <c r="E10" i="13" s="1"/>
  <c r="O9" i="13"/>
  <c r="O10" i="13" s="1"/>
  <c r="I16" i="13" l="1"/>
  <c r="I17" i="13"/>
  <c r="I18" i="13"/>
  <c r="T103" i="5"/>
  <c r="T106" i="5" s="1"/>
  <c r="X88" i="5"/>
  <c r="R97" i="5"/>
  <c r="T96" i="5"/>
  <c r="T98" i="5" s="1"/>
  <c r="E109" i="5"/>
  <c r="E123" i="5" s="1"/>
  <c r="S96" i="5"/>
  <c r="AC53" i="5"/>
  <c r="U36" i="5"/>
  <c r="U97" i="5" s="1"/>
  <c r="N19" i="13"/>
  <c r="U51" i="5"/>
  <c r="T51" i="5" s="1"/>
  <c r="T52" i="5" s="1"/>
  <c r="U33" i="5" a="1"/>
  <c r="U33" i="5" s="1"/>
  <c r="U34" i="5" s="1"/>
  <c r="S113" i="5" s="1"/>
  <c r="S112" i="5"/>
  <c r="X61" i="5"/>
  <c r="X89" i="5"/>
  <c r="AA19" i="5"/>
  <c r="Y20" i="5"/>
  <c r="AA20" i="5" s="1"/>
  <c r="AB20" i="5" s="1"/>
  <c r="N17" i="13"/>
  <c r="N18" i="13"/>
  <c r="K19" i="13"/>
  <c r="U61" i="5"/>
  <c r="K17" i="13"/>
  <c r="K18" i="13"/>
  <c r="H19" i="13"/>
  <c r="H18" i="13"/>
  <c r="H16" i="13"/>
  <c r="U64" i="5"/>
  <c r="T64" i="5" s="1"/>
  <c r="G19" i="13"/>
  <c r="G16" i="13"/>
  <c r="G17" i="13"/>
  <c r="AB36" i="5"/>
  <c r="U50" i="5" s="1"/>
  <c r="T50" i="5" s="1"/>
  <c r="G18" i="13"/>
  <c r="J19" i="13"/>
  <c r="J18" i="13"/>
  <c r="J17" i="13"/>
  <c r="J16" i="13"/>
  <c r="L19" i="13"/>
  <c r="L16" i="13"/>
  <c r="L18" i="13"/>
  <c r="L17" i="13"/>
  <c r="O17" i="13"/>
  <c r="O19" i="13"/>
  <c r="O18" i="13"/>
  <c r="O16" i="13"/>
  <c r="D16" i="13"/>
  <c r="D17" i="13"/>
  <c r="D19" i="13"/>
  <c r="D18" i="13"/>
  <c r="E17" i="13"/>
  <c r="E19" i="13"/>
  <c r="E16" i="13"/>
  <c r="E18" i="13"/>
  <c r="M16" i="13"/>
  <c r="M18" i="13"/>
  <c r="M17" i="13"/>
  <c r="M19" i="13"/>
  <c r="G6" i="20"/>
  <c r="H4" i="20"/>
  <c r="G11" i="20"/>
  <c r="G9" i="20"/>
  <c r="G7" i="20"/>
  <c r="G10" i="20"/>
  <c r="G16" i="20"/>
  <c r="G14" i="20"/>
  <c r="G8" i="20"/>
  <c r="G13" i="20"/>
  <c r="G12" i="20"/>
  <c r="G15" i="20"/>
  <c r="F18" i="13"/>
  <c r="F19" i="13"/>
  <c r="F17" i="13"/>
  <c r="F16" i="13"/>
  <c r="T118" i="5" l="1"/>
  <c r="T120" i="5" s="1"/>
  <c r="AC54" i="5"/>
  <c r="U63" i="5" s="1"/>
  <c r="Q112" i="5"/>
  <c r="R113" i="5"/>
  <c r="T111" i="5"/>
  <c r="T113" i="5" s="1"/>
  <c r="S111" i="5"/>
  <c r="S141" i="5"/>
  <c r="U37" i="5"/>
  <c r="T97" i="5"/>
  <c r="R112" i="5"/>
  <c r="U52" i="5"/>
  <c r="R141" i="5"/>
  <c r="Q141" i="5"/>
  <c r="T84" i="5"/>
  <c r="Q113" i="5"/>
  <c r="U40" i="5"/>
  <c r="Q127" i="5"/>
  <c r="P98" i="5"/>
  <c r="U84" i="5"/>
  <c r="P113" i="5"/>
  <c r="R127" i="5"/>
  <c r="Q98" i="5"/>
  <c r="P141" i="5"/>
  <c r="P127" i="5"/>
  <c r="Q84" i="5"/>
  <c r="P84" i="5"/>
  <c r="P85" i="5" s="1"/>
  <c r="E12" i="24" s="1"/>
  <c r="J20" i="25" s="1"/>
  <c r="S98" i="5"/>
  <c r="R84" i="5"/>
  <c r="R98" i="5"/>
  <c r="AB19" i="5"/>
  <c r="AA21" i="5"/>
  <c r="I51" i="5" s="1"/>
  <c r="T132" i="5"/>
  <c r="T134" i="5" s="1"/>
  <c r="U38" i="5"/>
  <c r="X62" i="5"/>
  <c r="X90" i="5"/>
  <c r="E137" i="5"/>
  <c r="R126" i="5"/>
  <c r="Q126" i="5"/>
  <c r="S126" i="5"/>
  <c r="T125" i="5"/>
  <c r="T127" i="5" s="1"/>
  <c r="Q125" i="5"/>
  <c r="S125" i="5"/>
  <c r="F3" i="13"/>
  <c r="H12" i="20"/>
  <c r="H16" i="20"/>
  <c r="H10" i="20"/>
  <c r="H15" i="20"/>
  <c r="H11" i="20"/>
  <c r="H14" i="20"/>
  <c r="H6" i="20"/>
  <c r="I4" i="20"/>
  <c r="H9" i="20"/>
  <c r="H7" i="20"/>
  <c r="H13" i="20"/>
  <c r="H8" i="20"/>
  <c r="G3" i="13"/>
  <c r="U35" i="5" a="1"/>
  <c r="U35" i="5" s="1"/>
  <c r="E3" i="13"/>
  <c r="D3" i="13"/>
  <c r="D32" i="24" l="1"/>
  <c r="J19" i="25" s="1"/>
  <c r="D22" i="24"/>
  <c r="J16" i="25" s="1"/>
  <c r="S84" i="5"/>
  <c r="T63" i="5"/>
  <c r="T67" i="5" s="1"/>
  <c r="T68" i="5" s="1"/>
  <c r="U67" i="5"/>
  <c r="U68" i="5" s="1"/>
  <c r="T112" i="5"/>
  <c r="I13" i="5"/>
  <c r="V11" i="5" s="1"/>
  <c r="Q82" i="5" s="1"/>
  <c r="U12" i="5"/>
  <c r="S140" i="5"/>
  <c r="U39" i="5"/>
  <c r="U41" i="5" s="1"/>
  <c r="T146" i="5"/>
  <c r="T148" i="5" s="1"/>
  <c r="Q140" i="5"/>
  <c r="X63" i="5"/>
  <c r="X91" i="5"/>
  <c r="R140" i="5"/>
  <c r="Q139" i="5"/>
  <c r="T139" i="5"/>
  <c r="T141" i="5" s="1"/>
  <c r="S139" i="5"/>
  <c r="S127" i="5"/>
  <c r="AB21" i="5"/>
  <c r="Z85" i="5"/>
  <c r="AB85" i="5"/>
  <c r="Y86" i="5"/>
  <c r="AC85" i="5"/>
  <c r="AD85" i="5"/>
  <c r="Y85" i="5"/>
  <c r="AA85" i="5"/>
  <c r="P86" i="5"/>
  <c r="P87" i="5" s="1"/>
  <c r="P92" i="5" s="1"/>
  <c r="T126" i="5"/>
  <c r="I14" i="20"/>
  <c r="I11" i="20"/>
  <c r="J4" i="20"/>
  <c r="I10" i="20"/>
  <c r="I15" i="20"/>
  <c r="I16" i="20"/>
  <c r="I8" i="20"/>
  <c r="I6" i="20"/>
  <c r="I12" i="20"/>
  <c r="I9" i="20"/>
  <c r="I7" i="20"/>
  <c r="I13" i="20"/>
  <c r="U83" i="5"/>
  <c r="U85" i="5" s="1"/>
  <c r="R83" i="5"/>
  <c r="R85" i="5" s="1"/>
  <c r="Q83" i="5"/>
  <c r="T83" i="5"/>
  <c r="T85" i="5" s="1"/>
  <c r="S83" i="5"/>
  <c r="S85" i="5" l="1"/>
  <c r="AB86" i="5" s="1"/>
  <c r="E5" i="12"/>
  <c r="P99" i="5"/>
  <c r="P100" i="5" s="1"/>
  <c r="P93" i="5"/>
  <c r="Y58" i="5" s="1"/>
  <c r="I50" i="5"/>
  <c r="P30" i="5"/>
  <c r="T30" i="5" s="1"/>
  <c r="U30" i="5" s="1"/>
  <c r="T140" i="5"/>
  <c r="AC86" i="5"/>
  <c r="T86" i="5"/>
  <c r="T87" i="5" s="1"/>
  <c r="T92" i="5" s="1"/>
  <c r="R86" i="5"/>
  <c r="R87" i="5" s="1"/>
  <c r="R92" i="5" s="1"/>
  <c r="AA86" i="5"/>
  <c r="Q85" i="5"/>
  <c r="E16" i="24" s="1"/>
  <c r="J21" i="25" s="1"/>
  <c r="U86" i="5"/>
  <c r="U87" i="5" s="1"/>
  <c r="U92" i="5" s="1"/>
  <c r="AD86" i="5"/>
  <c r="J8" i="20"/>
  <c r="J14" i="20"/>
  <c r="J13" i="20"/>
  <c r="J16" i="20"/>
  <c r="J15" i="20"/>
  <c r="K4" i="20"/>
  <c r="J7" i="20"/>
  <c r="J6" i="20"/>
  <c r="J10" i="20"/>
  <c r="J9" i="20"/>
  <c r="J11" i="20"/>
  <c r="J12" i="20"/>
  <c r="D30" i="24" l="1"/>
  <c r="J18" i="25" s="1"/>
  <c r="D20" i="24"/>
  <c r="J15" i="25" s="1"/>
  <c r="S86" i="5"/>
  <c r="S87" i="5" s="1"/>
  <c r="S92" i="5" s="1"/>
  <c r="S93" i="5" s="1"/>
  <c r="AB58" i="5" s="1"/>
  <c r="P101" i="5"/>
  <c r="P102" i="5" s="1"/>
  <c r="P107" i="5" s="1"/>
  <c r="Y87" i="5"/>
  <c r="T93" i="5"/>
  <c r="AC58" i="5" s="1"/>
  <c r="T99" i="5"/>
  <c r="T100" i="5" s="1"/>
  <c r="K16" i="20"/>
  <c r="K15" i="20"/>
  <c r="K12" i="20"/>
  <c r="K6" i="20"/>
  <c r="K11" i="20"/>
  <c r="K7" i="20"/>
  <c r="K8" i="20"/>
  <c r="K13" i="20"/>
  <c r="K14" i="20"/>
  <c r="K9" i="20"/>
  <c r="K10" i="20"/>
  <c r="R93" i="5"/>
  <c r="AA58" i="5" s="1"/>
  <c r="R99" i="5"/>
  <c r="R100" i="5" s="1"/>
  <c r="U93" i="5"/>
  <c r="AD58" i="5" s="1"/>
  <c r="U99" i="5"/>
  <c r="U100" i="5" s="1"/>
  <c r="Z86" i="5"/>
  <c r="Q86" i="5"/>
  <c r="Q87" i="5" s="1"/>
  <c r="Q92" i="5" s="1"/>
  <c r="F2" i="25"/>
  <c r="D19" i="24"/>
  <c r="C17" i="24"/>
  <c r="E19" i="24"/>
  <c r="E21" i="24"/>
  <c r="E20" i="24"/>
  <c r="E22" i="24"/>
  <c r="D18" i="24"/>
  <c r="D21" i="24"/>
  <c r="C24" i="24"/>
  <c r="E29" i="24"/>
  <c r="D29" i="24"/>
  <c r="E25" i="24"/>
  <c r="E31" i="24"/>
  <c r="E26" i="24"/>
  <c r="E32" i="24"/>
  <c r="E30" i="24"/>
  <c r="D28" i="24"/>
  <c r="C27" i="24"/>
  <c r="D25" i="24"/>
  <c r="D31" i="24"/>
  <c r="F15" i="24"/>
  <c r="F16" i="24"/>
  <c r="F11" i="24"/>
  <c r="E14" i="24"/>
  <c r="D13" i="24"/>
  <c r="F12" i="24"/>
  <c r="A20" i="25" l="1"/>
  <c r="A21" i="25"/>
  <c r="A13" i="25"/>
  <c r="A18" i="25"/>
  <c r="A19" i="25"/>
  <c r="A17" i="25"/>
  <c r="A11" i="25"/>
  <c r="A14" i="25"/>
  <c r="A12" i="25"/>
  <c r="A16" i="25"/>
  <c r="A15" i="25"/>
  <c r="S99" i="5"/>
  <c r="S100" i="5" s="1"/>
  <c r="S101" i="5" s="1"/>
  <c r="S102" i="5" s="1"/>
  <c r="S107" i="5" s="1"/>
  <c r="P114" i="5"/>
  <c r="P115" i="5" s="1"/>
  <c r="P108" i="5"/>
  <c r="Y59" i="5" s="1"/>
  <c r="AA87" i="5"/>
  <c r="R101" i="5"/>
  <c r="R102" i="5" s="1"/>
  <c r="R107" i="5" s="1"/>
  <c r="Q93" i="5"/>
  <c r="Z58" i="5" s="1"/>
  <c r="Q99" i="5"/>
  <c r="Q100" i="5" s="1"/>
  <c r="U101" i="5"/>
  <c r="U102" i="5" s="1"/>
  <c r="U107" i="5" s="1"/>
  <c r="AD87" i="5"/>
  <c r="AC87" i="5"/>
  <c r="T101" i="5"/>
  <c r="T102" i="5" s="1"/>
  <c r="T107" i="5" s="1"/>
  <c r="AB87" i="5" l="1"/>
  <c r="P116" i="5"/>
  <c r="P117" i="5" s="1"/>
  <c r="P121" i="5" s="1"/>
  <c r="Y88" i="5"/>
  <c r="U108" i="5"/>
  <c r="AD59" i="5" s="1"/>
  <c r="U114" i="5"/>
  <c r="U115" i="5" s="1"/>
  <c r="S108" i="5"/>
  <c r="AB59" i="5" s="1"/>
  <c r="S114" i="5"/>
  <c r="S115" i="5" s="1"/>
  <c r="T108" i="5"/>
  <c r="AC59" i="5" s="1"/>
  <c r="T114" i="5"/>
  <c r="T115" i="5" s="1"/>
  <c r="R108" i="5"/>
  <c r="AA59" i="5" s="1"/>
  <c r="R114" i="5"/>
  <c r="R115" i="5" s="1"/>
  <c r="Z87" i="5"/>
  <c r="Q101" i="5"/>
  <c r="Q102" i="5" s="1"/>
  <c r="Q107" i="5" s="1"/>
  <c r="P128" i="5" l="1"/>
  <c r="P129" i="5" s="1"/>
  <c r="P122" i="5"/>
  <c r="Y60" i="5" s="1"/>
  <c r="Q108" i="5"/>
  <c r="Z59" i="5" s="1"/>
  <c r="Q114" i="5"/>
  <c r="Q115" i="5" s="1"/>
  <c r="T116" i="5"/>
  <c r="T117" i="5" s="1"/>
  <c r="T121" i="5" s="1"/>
  <c r="AC88" i="5"/>
  <c r="R116" i="5"/>
  <c r="R117" i="5" s="1"/>
  <c r="R121" i="5" s="1"/>
  <c r="AA88" i="5"/>
  <c r="U116" i="5"/>
  <c r="U117" i="5" s="1"/>
  <c r="U121" i="5" s="1"/>
  <c r="AD88" i="5"/>
  <c r="S116" i="5"/>
  <c r="S117" i="5" s="1"/>
  <c r="S121" i="5" s="1"/>
  <c r="AB88" i="5"/>
  <c r="P130" i="5" l="1"/>
  <c r="P131" i="5" s="1"/>
  <c r="P135" i="5" s="1"/>
  <c r="Y89" i="5"/>
  <c r="R122" i="5"/>
  <c r="AA60" i="5" s="1"/>
  <c r="R128" i="5"/>
  <c r="R129" i="5" s="1"/>
  <c r="Z88" i="5"/>
  <c r="Q116" i="5"/>
  <c r="Q117" i="5" s="1"/>
  <c r="Q121" i="5" s="1"/>
  <c r="U122" i="5"/>
  <c r="AD60" i="5" s="1"/>
  <c r="U128" i="5"/>
  <c r="U129" i="5" s="1"/>
  <c r="S122" i="5"/>
  <c r="AB60" i="5" s="1"/>
  <c r="S128" i="5"/>
  <c r="S129" i="5" s="1"/>
  <c r="T122" i="5"/>
  <c r="AC60" i="5" s="1"/>
  <c r="T128" i="5"/>
  <c r="T129" i="5" s="1"/>
  <c r="P136" i="5" l="1"/>
  <c r="Y61" i="5" s="1"/>
  <c r="P142" i="5"/>
  <c r="P143" i="5" s="1"/>
  <c r="Q128" i="5"/>
  <c r="Q129" i="5" s="1"/>
  <c r="Q122" i="5"/>
  <c r="Z60" i="5" s="1"/>
  <c r="U130" i="5"/>
  <c r="U131" i="5" s="1"/>
  <c r="U135" i="5" s="1"/>
  <c r="AD89" i="5"/>
  <c r="S130" i="5"/>
  <c r="S131" i="5" s="1"/>
  <c r="S135" i="5" s="1"/>
  <c r="AB89" i="5"/>
  <c r="T130" i="5"/>
  <c r="T131" i="5" s="1"/>
  <c r="T135" i="5" s="1"/>
  <c r="AC89" i="5"/>
  <c r="R130" i="5"/>
  <c r="R131" i="5" s="1"/>
  <c r="R135" i="5" s="1"/>
  <c r="AA89" i="5"/>
  <c r="Y90" i="5" l="1"/>
  <c r="P144" i="5"/>
  <c r="P145" i="5" s="1"/>
  <c r="P149" i="5" s="1"/>
  <c r="P150" i="5" s="1"/>
  <c r="R136" i="5"/>
  <c r="AA61" i="5" s="1"/>
  <c r="R142" i="5"/>
  <c r="R143" i="5" s="1"/>
  <c r="S136" i="5"/>
  <c r="AB61" i="5" s="1"/>
  <c r="S142" i="5"/>
  <c r="S143" i="5" s="1"/>
  <c r="T136" i="5"/>
  <c r="AC61" i="5" s="1"/>
  <c r="T142" i="5"/>
  <c r="T143" i="5" s="1"/>
  <c r="Z89" i="5"/>
  <c r="Q130" i="5"/>
  <c r="Q131" i="5" s="1"/>
  <c r="Q135" i="5" s="1"/>
  <c r="U142" i="5"/>
  <c r="U143" i="5" s="1"/>
  <c r="U136" i="5"/>
  <c r="AD61" i="5" s="1"/>
  <c r="P153" i="5" l="1"/>
  <c r="P154" i="5" s="1"/>
  <c r="Y62" i="5"/>
  <c r="AD90" i="5"/>
  <c r="U144" i="5"/>
  <c r="U145" i="5" s="1"/>
  <c r="U149" i="5" s="1"/>
  <c r="U150" i="5" s="1"/>
  <c r="AC90" i="5"/>
  <c r="T144" i="5"/>
  <c r="T145" i="5" s="1"/>
  <c r="T149" i="5" s="1"/>
  <c r="T150" i="5" s="1"/>
  <c r="Q136" i="5"/>
  <c r="Z61" i="5" s="1"/>
  <c r="Q142" i="5"/>
  <c r="Q143" i="5" s="1"/>
  <c r="R144" i="5"/>
  <c r="R145" i="5" s="1"/>
  <c r="R149" i="5" s="1"/>
  <c r="R150" i="5" s="1"/>
  <c r="AA90" i="5"/>
  <c r="AB90" i="5"/>
  <c r="S144" i="5"/>
  <c r="S145" i="5" s="1"/>
  <c r="S149" i="5" s="1"/>
  <c r="S150" i="5" s="1"/>
  <c r="R153" i="5" l="1"/>
  <c r="R154" i="5" s="1"/>
  <c r="AA62" i="5"/>
  <c r="T153" i="5"/>
  <c r="T154" i="5" s="1"/>
  <c r="AC62" i="5"/>
  <c r="AB62" i="5"/>
  <c r="S153" i="5"/>
  <c r="S154" i="5" s="1"/>
  <c r="U153" i="5"/>
  <c r="U154" i="5" s="1"/>
  <c r="AD62" i="5"/>
  <c r="Z90" i="5"/>
  <c r="Q144" i="5"/>
  <c r="Q145" i="5" s="1"/>
  <c r="Q149" i="5" s="1"/>
  <c r="Q150" i="5" s="1"/>
  <c r="Z62" i="5" l="1"/>
  <c r="Q153" i="5"/>
  <c r="Q154" i="5" s="1"/>
  <c r="E2" i="12"/>
</calcChain>
</file>

<file path=xl/comments1.xml><?xml version="1.0" encoding="utf-8"?>
<comments xmlns="http://schemas.openxmlformats.org/spreadsheetml/2006/main">
  <authors>
    <author>Jeffrey E. Tranel</author>
    <author>wtravis</author>
  </authors>
  <commentList>
    <comment ref="C26" authorId="0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  <comment ref="Q96" authorId="1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This inlcudes a 10% carry-over loss of weight gain due to no adap in year 1 drought.</t>
        </r>
      </text>
    </comment>
  </commentList>
</comments>
</file>

<file path=xl/sharedStrings.xml><?xml version="1.0" encoding="utf-8"?>
<sst xmlns="http://schemas.openxmlformats.org/spreadsheetml/2006/main" count="501" uniqueCount="341">
  <si>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</si>
  <si>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</si>
  <si>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</si>
  <si>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</si>
  <si>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</si>
  <si>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</si>
  <si>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</si>
  <si>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</si>
  <si>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</si>
  <si>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</si>
  <si>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</si>
  <si>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</si>
  <si>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</si>
  <si>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</si>
  <si>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</si>
  <si>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</si>
  <si>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</si>
  <si>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</si>
  <si>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</si>
  <si>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</si>
  <si>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</si>
  <si>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</si>
  <si>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</si>
  <si>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</si>
  <si>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Interest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</si>
  <si>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</si>
  <si>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</si>
  <si>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</si>
  <si>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</si>
  <si>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</si>
  <si>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</si>
  <si>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</si>
  <si>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</si>
  <si>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</si>
  <si>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</si>
  <si>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</si>
  <si>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</si>
  <si>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</si>
  <si>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</si>
  <si>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</si>
  <si>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</si>
  <si>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</si>
  <si>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</si>
  <si>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</si>
  <si>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</si>
  <si>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</si>
  <si>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</si>
  <si>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</si>
  <si>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</si>
  <si>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</si>
  <si>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</si>
  <si>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</si>
  <si>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</si>
  <si>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</si>
  <si>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</si>
  <si>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</si>
  <si>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</si>
  <si>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</si>
  <si>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</si>
  <si>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</si>
  <si>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</si>
  <si>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</si>
  <si>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</si>
  <si>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</si>
  <si>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</si>
  <si>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</si>
  <si>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</si>
  <si>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</si>
  <si>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</si>
  <si>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</si>
  <si>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</si>
  <si>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</si>
  <si>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</si>
  <si>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</si>
  <si>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</si>
  <si>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</si>
  <si>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</si>
  <si>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</si>
  <si>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</si>
  <si>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</si>
  <si>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</si>
  <si>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</si>
  <si>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</si>
  <si>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</si>
  <si>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</si>
  <si>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</si>
  <si>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</si>
  <si>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</si>
  <si>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</si>
  <si>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</si>
  <si>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</si>
  <si>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</si>
  <si>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</si>
  <si>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</si>
  <si>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</si>
  <si>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</si>
  <si>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</si>
  <si>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</si>
  <si>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</si>
  <si>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</si>
  <si>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</si>
  <si>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</si>
  <si>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</si>
  <si>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</si>
  <si>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</si>
  <si>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</si>
  <si>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</si>
  <si>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</si>
  <si>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</si>
  <si>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</si>
  <si>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</si>
  <si>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</si>
  <si>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</si>
  <si>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</si>
  <si>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</si>
  <si>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</si>
  <si>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</si>
  <si>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</si>
  <si>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</si>
  <si>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</si>
  <si>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</si>
  <si>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</si>
  <si>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</si>
  <si>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</si>
  <si>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</si>
  <si>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</si>
  <si>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</si>
  <si>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</si>
  <si>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</si>
  <si>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</si>
  <si>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</si>
  <si>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</si>
  <si>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</si>
  <si>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</si>
  <si>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</si>
  <si>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</si>
  <si>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</si>
  <si>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</si>
  <si>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</si>
  <si>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</si>
  <si>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</si>
  <si>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</si>
  <si>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</si>
  <si>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</si>
  <si>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</si>
  <si>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</si>
  <si>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</si>
  <si>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</si>
  <si>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</si>
  <si>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</si>
  <si>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</si>
  <si>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</si>
  <si>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</si>
  <si>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</si>
  <si>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</si>
  <si>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</si>
  <si>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</si>
  <si>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</si>
  <si>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</si>
  <si>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</si>
  <si>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</si>
  <si>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</si>
  <si>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</si>
  <si>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</si>
  <si>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</si>
  <si>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</si>
  <si>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</si>
  <si>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</si>
  <si>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</si>
  <si>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</si>
  <si>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</si>
  <si>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</si>
  <si>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</si>
  <si>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</si>
  <si>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</si>
  <si>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</si>
  <si>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</si>
  <si>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</si>
  <si>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</si>
  <si>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</si>
  <si>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</si>
  <si>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</si>
  <si>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</si>
  <si>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</si>
  <si>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</si>
  <si>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</si>
  <si>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</si>
  <si>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</si>
  <si>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</si>
  <si>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</si>
  <si>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</si>
  <si>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</si>
  <si>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</si>
  <si>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</si>
  <si>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</si>
  <si>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</si>
  <si>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</si>
  <si>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</si>
  <si>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</si>
  <si>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</si>
  <si>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</si>
  <si>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</si>
  <si>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</si>
  <si>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</si>
  <si>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</si>
  <si>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N/A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</si>
  <si>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</si>
  <si>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</si>
  <si>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</si>
  <si>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</si>
  <si>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</si>
  <si>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</si>
  <si>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</si>
  <si>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</si>
  <si>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</si>
  <si>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</si>
  <si>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</si>
  <si>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</si>
  <si>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</si>
  <si>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</si>
  <si>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</si>
  <si>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</si>
  <si>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</si>
  <si>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</si>
  <si>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</si>
  <si>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</si>
  <si>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</si>
  <si>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</si>
  <si>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</si>
  <si>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</si>
  <si>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</si>
  <si>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</si>
  <si>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</si>
  <si>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</si>
  <si>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</si>
  <si>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</si>
  <si>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</si>
  <si>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</si>
  <si>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</si>
  <si>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</si>
  <si>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</si>
  <si>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</si>
  <si>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</si>
  <si>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</si>
  <si>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</si>
  <si>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</si>
  <si>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</si>
  <si>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</si>
  <si>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</si>
  <si>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</si>
  <si>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</si>
  <si>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</si>
  <si>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</si>
  <si>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</si>
  <si>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</si>
  <si>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</si>
  <si>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</si>
  <si>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</si>
  <si>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</si>
  <si>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</si>
  <si>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</si>
  <si>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</si>
  <si>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Value1</t>
  </si>
  <si>
    <t>Interval</t>
  </si>
  <si>
    <t>End Month</t>
  </si>
  <si>
    <t>Low</t>
  </si>
  <si>
    <t>High</t>
  </si>
  <si>
    <t>DROUGHT ACTION ENDS  (yr 1 or 2):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</si>
  <si>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  <r>
      <rPr>
        <b/>
        <sz val="10"/>
        <rFont val="Calibri"/>
        <family val="2"/>
        <scheme val="minor"/>
      </rPr>
      <t xml:space="preserve">This verison is the "Sim" model without a UI, and meant to be simulated with </t>
    </r>
    <r>
      <rPr>
        <b/>
        <i/>
        <sz val="10"/>
        <rFont val="Calibri"/>
        <family val="2"/>
        <scheme val="minor"/>
      </rPr>
      <t>@Risk</t>
    </r>
    <r>
      <rPr>
        <b/>
        <sz val="10"/>
        <rFont val="Calibri"/>
        <family val="2"/>
        <scheme val="minor"/>
      </rPr>
      <t>functions. Some things to note: (1) this includes a 10% penalty in year 2 weight gain for the Drought/No Adap strategy.</t>
    </r>
  </si>
  <si>
    <t>Best</t>
  </si>
  <si>
    <t>Drought Wt</t>
  </si>
  <si>
    <t>Likely</t>
  </si>
  <si>
    <t>Simulations</t>
  </si>
  <si>
    <t>PRICES RECEIVED (PER POUND)</t>
  </si>
  <si>
    <t>Colo Zone1</t>
  </si>
  <si>
    <r>
      <t xml:space="preserve">Colo </t>
    </r>
    <r>
      <rPr>
        <sz val="11"/>
        <color theme="1"/>
        <rFont val="Calibri"/>
        <family val="2"/>
        <scheme val="minor"/>
      </rPr>
      <t>Zone2</t>
    </r>
  </si>
  <si>
    <r>
      <t xml:space="preserve">Colo </t>
    </r>
    <r>
      <rPr>
        <sz val="11"/>
        <color theme="1"/>
        <rFont val="Calibri"/>
        <family val="2"/>
        <scheme val="minor"/>
      </rPr>
      <t>Zone3</t>
    </r>
  </si>
  <si>
    <r>
      <t xml:space="preserve">Colo </t>
    </r>
    <r>
      <rPr>
        <sz val="11"/>
        <color theme="1"/>
        <rFont val="Calibri"/>
        <family val="2"/>
        <scheme val="minor"/>
      </rPr>
      <t>Zone4</t>
    </r>
  </si>
  <si>
    <t>No Drought</t>
  </si>
  <si>
    <t>Calf wean weight drought factor</t>
  </si>
  <si>
    <t>One Year/One Drought Model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</si>
  <si>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</si>
  <si>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</si>
  <si>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</si>
  <si>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</si>
  <si>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</si>
  <si>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</si>
  <si>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</si>
  <si>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</si>
  <si>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</si>
  <si>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</si>
  <si>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</si>
  <si>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</si>
  <si>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</si>
  <si>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</si>
  <si>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</si>
  <si>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</si>
  <si>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</si>
  <si>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</si>
  <si>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</si>
  <si>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</si>
  <si>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</si>
  <si>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</si>
  <si>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</si>
  <si>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</si>
  <si>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</si>
  <si>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</si>
  <si>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</si>
  <si>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</si>
  <si>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</si>
  <si>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</si>
  <si>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</si>
  <si>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</si>
  <si>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</si>
  <si>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</si>
  <si>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</si>
  <si>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</si>
  <si>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</si>
  <si>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7.5.0</t>
  </si>
  <si>
    <t>5.0.0</t>
  </si>
  <si>
    <t>&lt;NF&gt;</t>
  </si>
  <si>
    <t>Automatic</t>
  </si>
  <si>
    <t>DEFAULT</t>
  </si>
  <si>
    <t>0,1,1,0,0,Exponential, 0,0,-1,0,-1,-1,.0001</t>
  </si>
  <si>
    <t>Decision</t>
  </si>
  <si>
    <t>Chance</t>
  </si>
  <si>
    <t>No Insurance</t>
  </si>
  <si>
    <t>Drought Continues</t>
  </si>
  <si>
    <t>4,0,0,0,3,0,0</t>
  </si>
  <si>
    <t>Drought Abates</t>
  </si>
  <si>
    <t>Buy Feed</t>
  </si>
  <si>
    <t>1,0,0,2,10,11,2,0,0</t>
  </si>
  <si>
    <t>Insurance</t>
  </si>
  <si>
    <t>17C61237</t>
  </si>
  <si>
    <t>Drought Decision</t>
  </si>
  <si>
    <t>2,0,0,2,2,3,0,0,0</t>
  </si>
  <si>
    <t>4,0,0,0,2,0,0</t>
  </si>
  <si>
    <t>2,0,0,3,4,5,6,1,0,0</t>
  </si>
  <si>
    <t>No Nothing</t>
  </si>
  <si>
    <t>2,0,0,3,7,8,9,1,0,0</t>
  </si>
  <si>
    <t>4,0,0,0,4,0,0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</si>
</sst>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  <numFmt numFmtId="170" formatCode="[&gt;0.00001]0.0###%;[=0]0.0%;0.00E+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80"/>
      <name val="Arial"/>
      <family val="2"/>
    </font>
    <font>
      <b/>
      <sz val="8"/>
      <color rgb="FF008000"/>
      <name val="Arial"/>
      <family val="2"/>
    </font>
    <font>
      <sz val="8"/>
      <color rgb="FF008000"/>
      <name val="Arial"/>
      <family val="2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5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</borders>
  <cellStyleXfs count="56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1" borderId="14" applyNumberFormat="0" applyAlignment="0" applyProtection="0"/>
    <xf numFmtId="0" fontId="7" fillId="12" borderId="15" applyNumberFormat="0" applyFont="0" applyAlignment="0" applyProtection="0"/>
    <xf numFmtId="0" fontId="25" fillId="13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5" borderId="17" applyNumberFormat="0" applyAlignment="0" applyProtection="0"/>
    <xf numFmtId="0" fontId="29" fillId="13" borderId="14" applyNumberFormat="0" applyAlignment="0" applyProtection="0"/>
    <xf numFmtId="0" fontId="30" fillId="0" borderId="18" applyNumberFormat="0" applyFill="0" applyAlignment="0" applyProtection="0"/>
    <xf numFmtId="0" fontId="32" fillId="18" borderId="0" applyNumberFormat="0" applyBorder="0" applyAlignment="0" applyProtection="0"/>
    <xf numFmtId="0" fontId="3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397">
    <xf numFmtId="0" fontId="0" fillId="0" borderId="0" xfId="0"/>
    <xf numFmtId="41" fontId="12" fillId="3" borderId="1" xfId="0" applyNumberFormat="1" applyFont="1" applyFill="1" applyBorder="1" applyProtection="1">
      <protection locked="0"/>
    </xf>
    <xf numFmtId="8" fontId="12" fillId="3" borderId="1" xfId="2" applyNumberFormat="1" applyFont="1" applyFill="1" applyBorder="1" applyProtection="1">
      <protection locked="0"/>
    </xf>
    <xf numFmtId="6" fontId="12" fillId="3" borderId="1" xfId="2" applyNumberFormat="1" applyFont="1" applyFill="1" applyBorder="1" applyProtection="1">
      <protection locked="0"/>
    </xf>
    <xf numFmtId="6" fontId="12" fillId="3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0" fontId="0" fillId="4" borderId="3" xfId="0" applyFill="1" applyBorder="1" applyProtection="1"/>
    <xf numFmtId="0" fontId="9" fillId="4" borderId="0" xfId="0" applyFont="1" applyFill="1" applyBorder="1" applyProtection="1"/>
    <xf numFmtId="0" fontId="9" fillId="4" borderId="11" xfId="0" applyFont="1" applyFill="1" applyBorder="1" applyProtection="1"/>
    <xf numFmtId="0" fontId="9" fillId="5" borderId="0" xfId="0" applyFont="1" applyFill="1" applyBorder="1" applyProtection="1"/>
    <xf numFmtId="40" fontId="9" fillId="5" borderId="0" xfId="0" applyNumberFormat="1" applyFont="1" applyFill="1" applyBorder="1" applyProtection="1"/>
    <xf numFmtId="40" fontId="9" fillId="5" borderId="11" xfId="0" applyNumberFormat="1" applyFont="1" applyFill="1" applyBorder="1" applyProtection="1"/>
    <xf numFmtId="0" fontId="9" fillId="6" borderId="0" xfId="0" applyFont="1" applyFill="1" applyBorder="1" applyAlignment="1" applyProtection="1">
      <alignment horizontal="left"/>
    </xf>
    <xf numFmtId="38" fontId="9" fillId="6" borderId="0" xfId="0" applyNumberFormat="1" applyFont="1" applyFill="1" applyBorder="1" applyAlignment="1" applyProtection="1">
      <alignment horizontal="right"/>
    </xf>
    <xf numFmtId="38" fontId="9" fillId="6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2" xfId="0" applyFill="1" applyBorder="1" applyProtection="1"/>
    <xf numFmtId="8" fontId="12" fillId="3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4" borderId="4" xfId="0" applyFont="1" applyFill="1" applyBorder="1" applyAlignment="1" applyProtection="1">
      <alignment horizontal="left"/>
    </xf>
    <xf numFmtId="0" fontId="9" fillId="4" borderId="0" xfId="0" applyFont="1" applyFill="1" applyBorder="1" applyAlignment="1" applyProtection="1">
      <alignment horizontal="left"/>
    </xf>
    <xf numFmtId="0" fontId="9" fillId="4" borderId="2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5" borderId="4" xfId="0" applyNumberFormat="1" applyFont="1" applyFill="1" applyBorder="1" applyAlignment="1" applyProtection="1"/>
    <xf numFmtId="40" fontId="9" fillId="5" borderId="0" xfId="0" applyNumberFormat="1" applyFont="1" applyFill="1" applyBorder="1" applyAlignment="1" applyProtection="1">
      <alignment wrapText="1"/>
    </xf>
    <xf numFmtId="40" fontId="9" fillId="5" borderId="0" xfId="0" applyNumberFormat="1" applyFont="1" applyFill="1" applyBorder="1" applyAlignment="1" applyProtection="1"/>
    <xf numFmtId="0" fontId="0" fillId="6" borderId="3" xfId="0" applyFill="1" applyBorder="1"/>
    <xf numFmtId="0" fontId="0" fillId="6" borderId="7" xfId="0" applyFill="1" applyBorder="1"/>
    <xf numFmtId="0" fontId="0" fillId="6" borderId="10" xfId="0" applyFill="1" applyBorder="1"/>
    <xf numFmtId="0" fontId="9" fillId="6" borderId="2" xfId="0" applyFont="1" applyFill="1" applyBorder="1" applyAlignment="1" applyProtection="1">
      <alignment horizontal="left"/>
    </xf>
    <xf numFmtId="38" fontId="9" fillId="6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40" fontId="11" fillId="0" borderId="0" xfId="0" applyNumberFormat="1" applyFont="1" applyFill="1" applyBorder="1" applyAlignment="1" applyProtection="1">
      <alignment horizontal="left"/>
    </xf>
    <xf numFmtId="40" fontId="9" fillId="4" borderId="0" xfId="2" applyNumberFormat="1" applyFont="1" applyFill="1" applyBorder="1" applyAlignment="1" applyProtection="1"/>
    <xf numFmtId="40" fontId="9" fillId="4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4" borderId="4" xfId="0" applyFill="1" applyBorder="1" applyProtection="1"/>
    <xf numFmtId="0" fontId="0" fillId="4" borderId="0" xfId="0" applyFill="1" applyBorder="1" applyProtection="1"/>
    <xf numFmtId="0" fontId="0" fillId="4" borderId="12" xfId="0" applyFill="1" applyBorder="1" applyProtection="1"/>
    <xf numFmtId="0" fontId="0" fillId="4" borderId="12" xfId="0" applyFill="1" applyBorder="1" applyAlignment="1" applyProtection="1">
      <alignment horizontal="right"/>
    </xf>
    <xf numFmtId="0" fontId="0" fillId="4" borderId="2" xfId="0" applyFill="1" applyBorder="1" applyProtection="1"/>
    <xf numFmtId="0" fontId="0" fillId="5" borderId="3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7" borderId="0" xfId="0" applyFill="1" applyBorder="1" applyProtection="1"/>
    <xf numFmtId="38" fontId="9" fillId="7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7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9" borderId="0" xfId="0" applyFill="1" applyBorder="1" applyProtection="1"/>
    <xf numFmtId="0" fontId="9" fillId="0" borderId="0" xfId="0" applyFont="1" applyAlignment="1" applyProtection="1">
      <alignment horizontal="right"/>
    </xf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0" fillId="6" borderId="4" xfId="0" applyFill="1" applyBorder="1"/>
    <xf numFmtId="0" fontId="9" fillId="6" borderId="7" xfId="0" applyFont="1" applyFill="1" applyBorder="1" applyAlignment="1" applyProtection="1">
      <alignment horizontal="left"/>
    </xf>
    <xf numFmtId="0" fontId="0" fillId="6" borderId="0" xfId="0" applyFill="1" applyBorder="1"/>
    <xf numFmtId="0" fontId="9" fillId="6" borderId="10" xfId="0" applyFont="1" applyFill="1" applyBorder="1" applyAlignment="1" applyProtection="1">
      <alignment horizontal="left"/>
    </xf>
    <xf numFmtId="0" fontId="0" fillId="6" borderId="2" xfId="0" applyFill="1" applyBorder="1"/>
    <xf numFmtId="6" fontId="0" fillId="6" borderId="2" xfId="0" applyNumberFormat="1" applyFill="1" applyBorder="1"/>
    <xf numFmtId="6" fontId="0" fillId="6" borderId="5" xfId="0" applyNumberFormat="1" applyFill="1" applyBorder="1"/>
    <xf numFmtId="6" fontId="0" fillId="6" borderId="8" xfId="0" applyNumberFormat="1" applyFill="1" applyBorder="1"/>
    <xf numFmtId="6" fontId="0" fillId="6" borderId="9" xfId="0" applyNumberFormat="1" applyFill="1" applyBorder="1"/>
    <xf numFmtId="0" fontId="0" fillId="6" borderId="9" xfId="0" applyFill="1" applyBorder="1"/>
    <xf numFmtId="0" fontId="0" fillId="6" borderId="7" xfId="0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38" fontId="0" fillId="6" borderId="9" xfId="0" applyNumberFormat="1" applyFill="1" applyBorder="1"/>
    <xf numFmtId="0" fontId="0" fillId="6" borderId="7" xfId="0" applyFill="1" applyBorder="1" applyAlignment="1"/>
    <xf numFmtId="0" fontId="0" fillId="6" borderId="0" xfId="0" applyFill="1" applyBorder="1" applyAlignment="1">
      <alignment wrapText="1"/>
    </xf>
    <xf numFmtId="0" fontId="0" fillId="6" borderId="10" xfId="0" applyFill="1" applyBorder="1" applyAlignment="1"/>
    <xf numFmtId="38" fontId="0" fillId="6" borderId="8" xfId="0" applyNumberFormat="1" applyFill="1" applyBorder="1"/>
    <xf numFmtId="38" fontId="0" fillId="6" borderId="4" xfId="0" applyNumberFormat="1" applyFill="1" applyBorder="1"/>
    <xf numFmtId="0" fontId="0" fillId="6" borderId="5" xfId="0" applyFill="1" applyBorder="1"/>
    <xf numFmtId="38" fontId="0" fillId="6" borderId="0" xfId="0" applyNumberFormat="1" applyFill="1" applyBorder="1"/>
    <xf numFmtId="6" fontId="0" fillId="6" borderId="0" xfId="0" applyNumberFormat="1" applyFill="1" applyBorder="1"/>
    <xf numFmtId="0" fontId="0" fillId="6" borderId="8" xfId="0" applyFill="1" applyBorder="1"/>
    <xf numFmtId="164" fontId="0" fillId="6" borderId="2" xfId="0" applyNumberFormat="1" applyFill="1" applyBorder="1"/>
    <xf numFmtId="0" fontId="9" fillId="4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5" borderId="11" xfId="0" applyFont="1" applyFill="1" applyBorder="1" applyProtection="1"/>
    <xf numFmtId="0" fontId="16" fillId="10" borderId="0" xfId="0" applyFont="1" applyFill="1" applyBorder="1" applyProtection="1"/>
    <xf numFmtId="40" fontId="16" fillId="10" borderId="0" xfId="0" applyNumberFormat="1" applyFont="1" applyFill="1" applyBorder="1" applyProtection="1"/>
    <xf numFmtId="0" fontId="16" fillId="10" borderId="2" xfId="0" applyFont="1" applyFill="1" applyBorder="1" applyProtection="1"/>
    <xf numFmtId="40" fontId="16" fillId="10" borderId="2" xfId="0" applyNumberFormat="1" applyFont="1" applyFill="1" applyBorder="1" applyProtection="1"/>
    <xf numFmtId="0" fontId="19" fillId="4" borderId="4" xfId="0" applyFont="1" applyFill="1" applyBorder="1" applyProtection="1"/>
    <xf numFmtId="0" fontId="19" fillId="4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6" borderId="0" xfId="0" applyFill="1" applyBorder="1" applyAlignment="1"/>
    <xf numFmtId="0" fontId="0" fillId="6" borderId="2" xfId="0" applyFill="1" applyBorder="1" applyAlignment="1"/>
    <xf numFmtId="0" fontId="0" fillId="0" borderId="0" xfId="0" applyFill="1" applyBorder="1" applyAlignment="1"/>
    <xf numFmtId="0" fontId="0" fillId="12" borderId="15" xfId="6" applyFont="1"/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3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4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0" fontId="9" fillId="16" borderId="4" xfId="0" applyFont="1" applyFill="1" applyBorder="1" applyAlignment="1" applyProtection="1">
      <alignment horizontal="left"/>
    </xf>
    <xf numFmtId="0" fontId="0" fillId="16" borderId="4" xfId="0" applyFill="1" applyBorder="1" applyProtection="1"/>
    <xf numFmtId="0" fontId="9" fillId="16" borderId="0" xfId="0" applyFont="1" applyFill="1" applyBorder="1" applyAlignment="1" applyProtection="1">
      <alignment horizontal="left"/>
    </xf>
    <xf numFmtId="0" fontId="0" fillId="16" borderId="0" xfId="0" applyFill="1" applyBorder="1" applyProtection="1"/>
    <xf numFmtId="0" fontId="9" fillId="16" borderId="2" xfId="0" applyFont="1" applyFill="1" applyBorder="1" applyAlignment="1" applyProtection="1">
      <alignment horizontal="left"/>
    </xf>
    <xf numFmtId="0" fontId="0" fillId="16" borderId="2" xfId="0" applyFill="1" applyBorder="1" applyProtection="1"/>
    <xf numFmtId="6" fontId="12" fillId="16" borderId="1" xfId="2" applyNumberFormat="1" applyFont="1" applyFill="1" applyBorder="1" applyProtection="1">
      <protection locked="0"/>
    </xf>
    <xf numFmtId="0" fontId="19" fillId="16" borderId="4" xfId="0" applyFont="1" applyFill="1" applyBorder="1" applyProtection="1"/>
    <xf numFmtId="0" fontId="19" fillId="16" borderId="2" xfId="0" applyFont="1" applyFill="1" applyBorder="1" applyProtection="1"/>
    <xf numFmtId="0" fontId="9" fillId="17" borderId="4" xfId="0" applyFont="1" applyFill="1" applyBorder="1" applyAlignment="1"/>
    <xf numFmtId="0" fontId="9" fillId="17" borderId="0" xfId="0" applyFont="1" applyFill="1" applyBorder="1" applyAlignment="1">
      <alignment horizontal="left" indent="1"/>
    </xf>
    <xf numFmtId="0" fontId="0" fillId="17" borderId="0" xfId="0" applyFont="1" applyFill="1" applyBorder="1"/>
    <xf numFmtId="0" fontId="0" fillId="17" borderId="9" xfId="0" applyFont="1" applyFill="1" applyBorder="1"/>
    <xf numFmtId="0" fontId="9" fillId="17" borderId="0" xfId="0" applyFont="1" applyFill="1" applyBorder="1"/>
    <xf numFmtId="0" fontId="9" fillId="17" borderId="2" xfId="0" applyFont="1" applyFill="1" applyBorder="1" applyAlignment="1">
      <alignment horizontal="left" indent="1"/>
    </xf>
    <xf numFmtId="0" fontId="0" fillId="17" borderId="2" xfId="0" applyFont="1" applyFill="1" applyBorder="1"/>
    <xf numFmtId="0" fontId="9" fillId="17" borderId="13" xfId="0" applyFont="1" applyFill="1" applyBorder="1" applyAlignment="1">
      <alignment horizontal="left" indent="1"/>
    </xf>
    <xf numFmtId="0" fontId="0" fillId="17" borderId="13" xfId="0" applyFont="1" applyFill="1" applyBorder="1"/>
    <xf numFmtId="0" fontId="9" fillId="17" borderId="5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left" indent="1"/>
    </xf>
    <xf numFmtId="168" fontId="9" fillId="17" borderId="13" xfId="0" applyNumberFormat="1" applyFont="1" applyFill="1" applyBorder="1" applyAlignment="1">
      <alignment horizontal="left" indent="1"/>
    </xf>
    <xf numFmtId="168" fontId="9" fillId="17" borderId="0" xfId="0" applyNumberFormat="1" applyFont="1" applyFill="1" applyBorder="1" applyAlignment="1">
      <alignment horizontal="left" indent="1"/>
    </xf>
    <xf numFmtId="168" fontId="0" fillId="17" borderId="0" xfId="0" applyNumberFormat="1" applyFont="1" applyFill="1" applyBorder="1" applyAlignment="1">
      <alignment horizontal="left" indent="1"/>
    </xf>
    <xf numFmtId="168" fontId="0" fillId="17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7" borderId="13" xfId="3" applyFont="1" applyFill="1" applyBorder="1" applyAlignment="1">
      <alignment horizontal="left" indent="1"/>
    </xf>
    <xf numFmtId="9" fontId="9" fillId="17" borderId="0" xfId="3" applyFont="1" applyFill="1" applyBorder="1" applyAlignment="1">
      <alignment horizontal="left" indent="1"/>
    </xf>
    <xf numFmtId="9" fontId="9" fillId="17" borderId="0" xfId="3" applyFont="1" applyFill="1" applyBorder="1"/>
    <xf numFmtId="9" fontId="0" fillId="17" borderId="0" xfId="3" applyFont="1" applyFill="1" applyBorder="1"/>
    <xf numFmtId="9" fontId="0" fillId="17" borderId="2" xfId="3" applyFont="1" applyFill="1" applyBorder="1"/>
    <xf numFmtId="1" fontId="0" fillId="17" borderId="9" xfId="0" applyNumberFormat="1" applyFont="1" applyFill="1" applyBorder="1"/>
    <xf numFmtId="1" fontId="0" fillId="17" borderId="8" xfId="0" applyNumberFormat="1" applyFont="1" applyFill="1" applyBorder="1"/>
    <xf numFmtId="9" fontId="12" fillId="3" borderId="1" xfId="3" applyFont="1" applyFill="1" applyBorder="1" applyProtection="1">
      <protection locked="0"/>
    </xf>
    <xf numFmtId="44" fontId="12" fillId="16" borderId="1" xfId="2" applyFont="1" applyFill="1" applyBorder="1" applyAlignment="1" applyProtection="1">
      <alignment horizontal="right"/>
      <protection locked="0"/>
    </xf>
    <xf numFmtId="8" fontId="5" fillId="16" borderId="1" xfId="2" applyNumberFormat="1" applyFont="1" applyFill="1" applyBorder="1" applyProtection="1">
      <protection locked="0"/>
    </xf>
    <xf numFmtId="41" fontId="5" fillId="16" borderId="1" xfId="0" applyNumberFormat="1" applyFont="1" applyFill="1" applyBorder="1" applyProtection="1">
      <protection locked="0"/>
    </xf>
    <xf numFmtId="0" fontId="4" fillId="0" borderId="0" xfId="8" applyFont="1"/>
    <xf numFmtId="0" fontId="21" fillId="11" borderId="14" xfId="5"/>
    <xf numFmtId="1" fontId="6" fillId="0" borderId="0" xfId="8" applyNumberFormat="1"/>
    <xf numFmtId="2" fontId="31" fillId="0" borderId="0" xfId="0" applyNumberFormat="1" applyFont="1" applyAlignment="1">
      <alignment vertical="top" wrapText="1"/>
    </xf>
    <xf numFmtId="0" fontId="9" fillId="17" borderId="0" xfId="0" applyFont="1" applyFill="1" applyBorder="1" applyAlignment="1">
      <alignment horizontal="left" wrapText="1"/>
    </xf>
    <xf numFmtId="0" fontId="9" fillId="17" borderId="0" xfId="0" applyFont="1" applyFill="1" applyBorder="1" applyAlignment="1">
      <alignment wrapText="1"/>
    </xf>
    <xf numFmtId="0" fontId="0" fillId="17" borderId="0" xfId="0" applyFont="1" applyFill="1" applyBorder="1" applyAlignment="1">
      <alignment wrapText="1"/>
    </xf>
    <xf numFmtId="0" fontId="3" fillId="0" borderId="0" xfId="16"/>
    <xf numFmtId="0" fontId="32" fillId="18" borderId="4" xfId="15" applyBorder="1" applyAlignment="1">
      <alignment horizontal="center"/>
    </xf>
    <xf numFmtId="169" fontId="9" fillId="17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4" borderId="20" xfId="0" applyFill="1" applyBorder="1" applyAlignment="1" applyProtection="1">
      <alignment horizontal="right"/>
    </xf>
    <xf numFmtId="38" fontId="9" fillId="4" borderId="9" xfId="0" applyNumberFormat="1" applyFont="1" applyFill="1" applyBorder="1" applyAlignment="1" applyProtection="1">
      <alignment horizontal="right"/>
    </xf>
    <xf numFmtId="38" fontId="9" fillId="4" borderId="9" xfId="1" applyNumberFormat="1" applyFont="1" applyFill="1" applyBorder="1" applyAlignment="1" applyProtection="1">
      <alignment horizontal="right"/>
    </xf>
    <xf numFmtId="38" fontId="9" fillId="4" borderId="21" xfId="1" applyNumberFormat="1" applyFont="1" applyFill="1" applyBorder="1" applyAlignment="1" applyProtection="1">
      <alignment horizontal="right"/>
    </xf>
    <xf numFmtId="0" fontId="0" fillId="5" borderId="20" xfId="0" applyFill="1" applyBorder="1" applyAlignment="1" applyProtection="1">
      <alignment horizontal="right"/>
    </xf>
    <xf numFmtId="38" fontId="9" fillId="5" borderId="9" xfId="2" applyNumberFormat="1" applyFont="1" applyFill="1" applyBorder="1" applyProtection="1"/>
    <xf numFmtId="38" fontId="9" fillId="5" borderId="9" xfId="0" applyNumberFormat="1" applyFont="1" applyFill="1" applyBorder="1" applyProtection="1"/>
    <xf numFmtId="38" fontId="9" fillId="5" borderId="21" xfId="0" applyNumberFormat="1" applyFont="1" applyFill="1" applyBorder="1" applyProtection="1"/>
    <xf numFmtId="38" fontId="16" fillId="10" borderId="9" xfId="0" applyNumberFormat="1" applyFont="1" applyFill="1" applyBorder="1" applyProtection="1"/>
    <xf numFmtId="38" fontId="16" fillId="10" borderId="8" xfId="0" applyNumberFormat="1" applyFont="1" applyFill="1" applyBorder="1" applyProtection="1"/>
    <xf numFmtId="8" fontId="19" fillId="16" borderId="8" xfId="0" applyNumberFormat="1" applyFont="1" applyFill="1" applyBorder="1" applyProtection="1"/>
    <xf numFmtId="44" fontId="19" fillId="16" borderId="8" xfId="2" applyFont="1" applyFill="1" applyBorder="1" applyProtection="1"/>
    <xf numFmtId="0" fontId="0" fillId="7" borderId="4" xfId="0" applyFill="1" applyBorder="1" applyProtection="1"/>
    <xf numFmtId="38" fontId="9" fillId="7" borderId="9" xfId="0" applyNumberFormat="1" applyFont="1" applyFill="1" applyBorder="1" applyProtection="1"/>
    <xf numFmtId="40" fontId="11" fillId="8" borderId="2" xfId="0" applyNumberFormat="1" applyFont="1" applyFill="1" applyBorder="1" applyAlignment="1" applyProtection="1">
      <alignment horizontal="left"/>
    </xf>
    <xf numFmtId="0" fontId="0" fillId="8" borderId="2" xfId="0" applyFill="1" applyBorder="1" applyProtection="1"/>
    <xf numFmtId="38" fontId="11" fillId="8" borderId="2" xfId="0" applyNumberFormat="1" applyFont="1" applyFill="1" applyBorder="1" applyProtection="1"/>
    <xf numFmtId="38" fontId="11" fillId="8" borderId="8" xfId="0" applyNumberFormat="1" applyFont="1" applyFill="1" applyBorder="1" applyProtection="1"/>
    <xf numFmtId="38" fontId="9" fillId="7" borderId="9" xfId="0" applyNumberFormat="1" applyFont="1" applyFill="1" applyBorder="1" applyAlignment="1" applyProtection="1"/>
    <xf numFmtId="0" fontId="34" fillId="0" borderId="0" xfId="8" applyFont="1" applyFill="1"/>
    <xf numFmtId="0" fontId="4" fillId="14" borderId="28" xfId="8" applyFont="1" applyFill="1" applyBorder="1"/>
    <xf numFmtId="0" fontId="17" fillId="6" borderId="4" xfId="0" applyFont="1" applyFill="1" applyBorder="1" applyAlignment="1">
      <alignment horizontal="right"/>
    </xf>
    <xf numFmtId="164" fontId="17" fillId="6" borderId="5" xfId="0" applyNumberFormat="1" applyFont="1" applyFill="1" applyBorder="1" applyAlignment="1">
      <alignment horizontal="right"/>
    </xf>
    <xf numFmtId="164" fontId="0" fillId="6" borderId="7" xfId="0" applyNumberFormat="1" applyFill="1" applyBorder="1"/>
    <xf numFmtId="164" fontId="0" fillId="6" borderId="0" xfId="0" applyNumberFormat="1" applyFill="1" applyBorder="1"/>
    <xf numFmtId="164" fontId="0" fillId="6" borderId="9" xfId="0" applyNumberFormat="1" applyFill="1" applyBorder="1"/>
    <xf numFmtId="164" fontId="0" fillId="6" borderId="10" xfId="0" applyNumberFormat="1" applyFill="1" applyBorder="1"/>
    <xf numFmtId="164" fontId="0" fillId="6" borderId="8" xfId="0" applyNumberFormat="1" applyFill="1" applyBorder="1"/>
    <xf numFmtId="0" fontId="0" fillId="6" borderId="29" xfId="0" applyFill="1" applyBorder="1"/>
    <xf numFmtId="0" fontId="0" fillId="6" borderId="6" xfId="0" applyFill="1" applyBorder="1"/>
    <xf numFmtId="38" fontId="0" fillId="6" borderId="6" xfId="0" applyNumberFormat="1" applyFill="1" applyBorder="1"/>
    <xf numFmtId="0" fontId="0" fillId="6" borderId="19" xfId="0" applyFill="1" applyBorder="1"/>
    <xf numFmtId="0" fontId="9" fillId="16" borderId="3" xfId="0" applyFont="1" applyFill="1" applyBorder="1" applyAlignment="1" applyProtection="1">
      <alignment horizontal="left"/>
    </xf>
    <xf numFmtId="0" fontId="9" fillId="16" borderId="7" xfId="0" applyFont="1" applyFill="1" applyBorder="1" applyAlignment="1" applyProtection="1">
      <alignment horizontal="left"/>
    </xf>
    <xf numFmtId="0" fontId="9" fillId="16" borderId="10" xfId="0" applyFont="1" applyFill="1" applyBorder="1" applyAlignment="1" applyProtection="1">
      <alignment horizontal="left"/>
    </xf>
    <xf numFmtId="0" fontId="14" fillId="16" borderId="3" xfId="0" applyFont="1" applyFill="1" applyBorder="1" applyAlignment="1" applyProtection="1">
      <alignment horizontal="left"/>
    </xf>
    <xf numFmtId="0" fontId="14" fillId="16" borderId="10" xfId="0" applyFont="1" applyFill="1" applyBorder="1" applyAlignment="1" applyProtection="1">
      <alignment horizontal="left"/>
    </xf>
    <xf numFmtId="0" fontId="9" fillId="4" borderId="3" xfId="0" applyFont="1" applyFill="1" applyBorder="1" applyAlignment="1" applyProtection="1">
      <alignment horizontal="left"/>
    </xf>
    <xf numFmtId="0" fontId="9" fillId="4" borderId="7" xfId="0" applyFont="1" applyFill="1" applyBorder="1" applyAlignment="1" applyProtection="1">
      <alignment horizontal="left"/>
    </xf>
    <xf numFmtId="0" fontId="9" fillId="4" borderId="10" xfId="0" applyFont="1" applyFill="1" applyBorder="1" applyAlignment="1" applyProtection="1">
      <alignment horizontal="left"/>
    </xf>
    <xf numFmtId="0" fontId="14" fillId="4" borderId="3" xfId="0" applyFont="1" applyFill="1" applyBorder="1" applyAlignment="1" applyProtection="1">
      <alignment horizontal="left"/>
    </xf>
    <xf numFmtId="0" fontId="14" fillId="4" borderId="10" xfId="0" applyFont="1" applyFill="1" applyBorder="1" applyAlignment="1" applyProtection="1">
      <alignment horizontal="left"/>
    </xf>
    <xf numFmtId="40" fontId="9" fillId="5" borderId="3" xfId="0" applyNumberFormat="1" applyFont="1" applyFill="1" applyBorder="1" applyAlignment="1" applyProtection="1"/>
    <xf numFmtId="40" fontId="9" fillId="5" borderId="7" xfId="0" applyNumberFormat="1" applyFont="1" applyFill="1" applyBorder="1" applyAlignment="1" applyProtection="1"/>
    <xf numFmtId="40" fontId="9" fillId="5" borderId="7" xfId="0" applyNumberFormat="1" applyFont="1" applyFill="1" applyBorder="1" applyProtection="1"/>
    <xf numFmtId="0" fontId="9" fillId="5" borderId="10" xfId="0" applyFont="1" applyFill="1" applyBorder="1" applyAlignment="1" applyProtection="1">
      <alignment horizontal="left"/>
    </xf>
    <xf numFmtId="164" fontId="19" fillId="4" borderId="5" xfId="0" applyNumberFormat="1" applyFont="1" applyFill="1" applyBorder="1" applyProtection="1"/>
    <xf numFmtId="164" fontId="19" fillId="4" borderId="8" xfId="0" applyNumberFormat="1" applyFont="1" applyFill="1" applyBorder="1" applyProtection="1"/>
    <xf numFmtId="164" fontId="19" fillId="16" borderId="5" xfId="0" applyNumberFormat="1" applyFont="1" applyFill="1" applyBorder="1" applyProtection="1"/>
    <xf numFmtId="164" fontId="19" fillId="16" borderId="8" xfId="0" applyNumberFormat="1" applyFont="1" applyFill="1" applyBorder="1" applyProtection="1"/>
    <xf numFmtId="38" fontId="9" fillId="7" borderId="4" xfId="0" applyNumberFormat="1" applyFont="1" applyFill="1" applyBorder="1" applyProtection="1"/>
    <xf numFmtId="38" fontId="9" fillId="7" borderId="5" xfId="0" applyNumberFormat="1" applyFont="1" applyFill="1" applyBorder="1" applyProtection="1"/>
    <xf numFmtId="0" fontId="0" fillId="7" borderId="5" xfId="0" applyFill="1" applyBorder="1" applyProtection="1"/>
    <xf numFmtId="0" fontId="11" fillId="7" borderId="30" xfId="0" applyFont="1" applyFill="1" applyBorder="1" applyAlignment="1" applyProtection="1">
      <alignment horizontal="left"/>
    </xf>
    <xf numFmtId="0" fontId="9" fillId="7" borderId="7" xfId="0" applyFont="1" applyFill="1" applyBorder="1" applyAlignment="1" applyProtection="1">
      <alignment horizontal="left" indent="1"/>
    </xf>
    <xf numFmtId="0" fontId="11" fillId="8" borderId="10" xfId="0" applyFont="1" applyFill="1" applyBorder="1" applyAlignment="1" applyProtection="1">
      <alignment horizontal="left" indent="1"/>
    </xf>
    <xf numFmtId="38" fontId="9" fillId="7" borderId="7" xfId="0" applyNumberFormat="1" applyFont="1" applyFill="1" applyBorder="1" applyAlignment="1" applyProtection="1">
      <alignment horizontal="left" wrapText="1" indent="1"/>
    </xf>
    <xf numFmtId="38" fontId="9" fillId="7" borderId="7" xfId="0" applyNumberFormat="1" applyFont="1" applyFill="1" applyBorder="1" applyAlignment="1" applyProtection="1">
      <alignment horizontal="left" indent="1"/>
    </xf>
    <xf numFmtId="38" fontId="11" fillId="8" borderId="2" xfId="0" applyNumberFormat="1" applyFont="1" applyFill="1" applyBorder="1" applyAlignment="1" applyProtection="1"/>
    <xf numFmtId="38" fontId="11" fillId="8" borderId="8" xfId="0" applyNumberFormat="1" applyFont="1" applyFill="1" applyBorder="1" applyAlignment="1" applyProtection="1"/>
    <xf numFmtId="38" fontId="9" fillId="7" borderId="4" xfId="0" applyNumberFormat="1" applyFont="1" applyFill="1" applyBorder="1" applyAlignment="1" applyProtection="1"/>
    <xf numFmtId="38" fontId="9" fillId="7" borderId="5" xfId="0" applyNumberFormat="1" applyFont="1" applyFill="1" applyBorder="1" applyAlignment="1" applyProtection="1"/>
    <xf numFmtId="0" fontId="9" fillId="9" borderId="7" xfId="0" applyFont="1" applyFill="1" applyBorder="1" applyAlignment="1" applyProtection="1">
      <alignment horizontal="left" indent="1"/>
    </xf>
    <xf numFmtId="0" fontId="9" fillId="9" borderId="10" xfId="0" applyFont="1" applyFill="1" applyBorder="1" applyAlignment="1" applyProtection="1">
      <alignment horizontal="left" indent="1"/>
    </xf>
    <xf numFmtId="0" fontId="0" fillId="9" borderId="2" xfId="0" applyFill="1" applyBorder="1" applyProtection="1"/>
    <xf numFmtId="0" fontId="11" fillId="9" borderId="3" xfId="0" applyFont="1" applyFill="1" applyBorder="1" applyProtection="1"/>
    <xf numFmtId="0" fontId="0" fillId="9" borderId="4" xfId="0" applyFill="1" applyBorder="1" applyProtection="1"/>
    <xf numFmtId="0" fontId="0" fillId="9" borderId="5" xfId="0" applyFill="1" applyBorder="1" applyProtection="1"/>
    <xf numFmtId="40" fontId="9" fillId="9" borderId="2" xfId="0" applyNumberFormat="1" applyFont="1" applyFill="1" applyBorder="1" applyProtection="1"/>
    <xf numFmtId="40" fontId="9" fillId="9" borderId="8" xfId="0" applyNumberFormat="1" applyFont="1" applyFill="1" applyBorder="1" applyProtection="1"/>
    <xf numFmtId="38" fontId="9" fillId="9" borderId="4" xfId="0" applyNumberFormat="1" applyFont="1" applyFill="1" applyBorder="1" applyProtection="1"/>
    <xf numFmtId="38" fontId="9" fillId="9" borderId="5" xfId="0" applyNumberFormat="1" applyFont="1" applyFill="1" applyBorder="1" applyProtection="1"/>
    <xf numFmtId="0" fontId="0" fillId="4" borderId="31" xfId="0" applyFill="1" applyBorder="1" applyProtection="1"/>
    <xf numFmtId="0" fontId="9" fillId="4" borderId="32" xfId="0" applyFont="1" applyFill="1" applyBorder="1" applyProtection="1"/>
    <xf numFmtId="0" fontId="0" fillId="5" borderId="31" xfId="0" applyFill="1" applyBorder="1" applyProtection="1"/>
    <xf numFmtId="0" fontId="9" fillId="5" borderId="7" xfId="0" applyFont="1" applyFill="1" applyBorder="1" applyProtection="1"/>
    <xf numFmtId="0" fontId="9" fillId="5" borderId="32" xfId="0" applyFont="1" applyFill="1" applyBorder="1" applyProtection="1"/>
    <xf numFmtId="0" fontId="16" fillId="10" borderId="7" xfId="0" applyFont="1" applyFill="1" applyBorder="1" applyProtection="1"/>
    <xf numFmtId="0" fontId="16" fillId="10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2" borderId="33" xfId="6" applyFont="1" applyBorder="1" applyAlignment="1" applyProtection="1">
      <alignment horizontal="right" wrapText="1"/>
    </xf>
    <xf numFmtId="1" fontId="28" fillId="12" borderId="33" xfId="6" applyNumberFormat="1" applyFont="1" applyBorder="1" applyAlignment="1" applyProtection="1">
      <alignment horizontal="right" wrapText="1"/>
    </xf>
    <xf numFmtId="0" fontId="28" fillId="12" borderId="34" xfId="6" applyFont="1" applyBorder="1" applyAlignment="1" applyProtection="1">
      <alignment horizontal="right" wrapText="1"/>
    </xf>
    <xf numFmtId="0" fontId="28" fillId="12" borderId="29" xfId="6" applyFont="1" applyBorder="1" applyAlignment="1" applyProtection="1">
      <alignment wrapText="1"/>
    </xf>
    <xf numFmtId="0" fontId="28" fillId="12" borderId="6" xfId="6" applyFont="1" applyBorder="1" applyAlignment="1" applyProtection="1">
      <alignment wrapText="1"/>
    </xf>
    <xf numFmtId="0" fontId="28" fillId="12" borderId="35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7" borderId="3" xfId="0" applyFont="1" applyFill="1" applyBorder="1" applyAlignment="1">
      <alignment horizontal="center"/>
    </xf>
    <xf numFmtId="0" fontId="21" fillId="11" borderId="36" xfId="5" applyBorder="1" applyAlignment="1"/>
    <xf numFmtId="0" fontId="9" fillId="17" borderId="7" xfId="0" applyFont="1" applyFill="1" applyBorder="1" applyAlignment="1">
      <alignment horizontal="left" wrapText="1"/>
    </xf>
    <xf numFmtId="0" fontId="9" fillId="17" borderId="37" xfId="0" applyFont="1" applyFill="1" applyBorder="1" applyAlignment="1">
      <alignment horizontal="left" indent="1"/>
    </xf>
    <xf numFmtId="0" fontId="9" fillId="17" borderId="7" xfId="0" applyFont="1" applyFill="1" applyBorder="1" applyAlignment="1">
      <alignment horizontal="left" indent="1"/>
    </xf>
    <xf numFmtId="0" fontId="9" fillId="17" borderId="10" xfId="0" applyFont="1" applyFill="1" applyBorder="1" applyAlignment="1">
      <alignment horizontal="left" indent="1"/>
    </xf>
    <xf numFmtId="0" fontId="0" fillId="0" borderId="2" xfId="0" applyBorder="1"/>
    <xf numFmtId="169" fontId="9" fillId="17" borderId="38" xfId="0" applyNumberFormat="1" applyFont="1" applyFill="1" applyBorder="1" applyAlignment="1">
      <alignment horizontal="center"/>
    </xf>
    <xf numFmtId="0" fontId="20" fillId="0" borderId="0" xfId="0" applyFont="1"/>
    <xf numFmtId="2" fontId="37" fillId="0" borderId="0" xfId="0" applyNumberFormat="1" applyFont="1"/>
    <xf numFmtId="2" fontId="37" fillId="0" borderId="0" xfId="0" applyNumberFormat="1" applyFont="1" applyAlignment="1">
      <alignment wrapText="1"/>
    </xf>
    <xf numFmtId="2" fontId="37" fillId="0" borderId="0" xfId="0" applyNumberFormat="1" applyFont="1" applyAlignment="1">
      <alignment horizontal="right" wrapText="1"/>
    </xf>
    <xf numFmtId="2" fontId="38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Fill="1"/>
    <xf numFmtId="40" fontId="9" fillId="0" borderId="3" xfId="0" applyNumberFormat="1" applyFont="1" applyFill="1" applyBorder="1" applyProtection="1"/>
    <xf numFmtId="40" fontId="9" fillId="0" borderId="4" xfId="0" applyNumberFormat="1" applyFont="1" applyFill="1" applyBorder="1" applyProtection="1"/>
    <xf numFmtId="0" fontId="0" fillId="0" borderId="4" xfId="0" applyFill="1" applyBorder="1" applyProtection="1"/>
    <xf numFmtId="40" fontId="9" fillId="0" borderId="5" xfId="0" applyNumberFormat="1" applyFont="1" applyFill="1" applyBorder="1" applyAlignment="1" applyProtection="1">
      <alignment horizontal="center"/>
    </xf>
    <xf numFmtId="40" fontId="9" fillId="0" borderId="10" xfId="0" applyNumberFormat="1" applyFont="1" applyFill="1" applyBorder="1" applyProtection="1"/>
    <xf numFmtId="0" fontId="0" fillId="0" borderId="0" xfId="0" applyFill="1" applyBorder="1" applyProtection="1"/>
    <xf numFmtId="40" fontId="9" fillId="0" borderId="0" xfId="0" applyNumberFormat="1" applyFont="1" applyFill="1" applyBorder="1" applyAlignment="1" applyProtection="1">
      <alignment horizontal="center"/>
    </xf>
    <xf numFmtId="0" fontId="0" fillId="0" borderId="0" xfId="0" applyFill="1" applyProtection="1"/>
    <xf numFmtId="40" fontId="9" fillId="0" borderId="9" xfId="0" applyNumberFormat="1" applyFont="1" applyFill="1" applyBorder="1" applyAlignment="1" applyProtection="1">
      <alignment horizontal="center"/>
    </xf>
    <xf numFmtId="40" fontId="9" fillId="0" borderId="7" xfId="0" applyNumberFormat="1" applyFont="1" applyFill="1" applyBorder="1" applyAlignment="1" applyProtection="1">
      <alignment horizontal="left" indent="1"/>
    </xf>
    <xf numFmtId="40" fontId="9" fillId="0" borderId="0" xfId="0" applyNumberFormat="1" applyFont="1" applyFill="1" applyBorder="1" applyAlignment="1" applyProtection="1">
      <alignment horizontal="left" indent="1"/>
    </xf>
    <xf numFmtId="40" fontId="9" fillId="0" borderId="10" xfId="0" applyNumberFormat="1" applyFont="1" applyFill="1" applyBorder="1" applyAlignment="1" applyProtection="1">
      <alignment horizontal="left" indent="1"/>
    </xf>
    <xf numFmtId="40" fontId="9" fillId="0" borderId="2" xfId="0" applyNumberFormat="1" applyFont="1" applyFill="1" applyBorder="1" applyAlignment="1" applyProtection="1">
      <alignment horizontal="left" indent="1"/>
    </xf>
    <xf numFmtId="0" fontId="0" fillId="0" borderId="2" xfId="0" applyFill="1" applyBorder="1" applyProtection="1"/>
    <xf numFmtId="40" fontId="9" fillId="0" borderId="2" xfId="0" applyNumberFormat="1" applyFont="1" applyFill="1" applyBorder="1" applyAlignment="1" applyProtection="1">
      <alignment horizontal="center"/>
    </xf>
    <xf numFmtId="40" fontId="29" fillId="0" borderId="22" xfId="13" applyNumberFormat="1" applyFill="1" applyBorder="1" applyProtection="1"/>
    <xf numFmtId="0" fontId="9" fillId="0" borderId="3" xfId="0" applyFont="1" applyFill="1" applyBorder="1" applyAlignment="1" applyProtection="1">
      <alignment horizontal="center"/>
    </xf>
    <xf numFmtId="0" fontId="9" fillId="0" borderId="4" xfId="0" applyFont="1" applyFill="1" applyBorder="1" applyAlignment="1" applyProtection="1">
      <alignment horizontal="center"/>
    </xf>
    <xf numFmtId="0" fontId="9" fillId="0" borderId="31" xfId="0" applyFont="1" applyFill="1" applyBorder="1" applyAlignment="1" applyProtection="1">
      <alignment horizontal="center"/>
    </xf>
    <xf numFmtId="0" fontId="9" fillId="0" borderId="12" xfId="0" applyFont="1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right"/>
    </xf>
    <xf numFmtId="0" fontId="0" fillId="0" borderId="20" xfId="0" applyFill="1" applyBorder="1" applyAlignment="1" applyProtection="1">
      <alignment horizontal="right"/>
    </xf>
    <xf numFmtId="38" fontId="9" fillId="0" borderId="0" xfId="0" applyNumberFormat="1" applyFont="1" applyFill="1" applyBorder="1" applyAlignment="1" applyProtection="1">
      <alignment horizontal="center"/>
    </xf>
    <xf numFmtId="38" fontId="9" fillId="0" borderId="2" xfId="0" applyNumberFormat="1" applyFont="1" applyFill="1" applyBorder="1" applyAlignment="1" applyProtection="1">
      <alignment horizontal="center"/>
    </xf>
    <xf numFmtId="9" fontId="11" fillId="0" borderId="16" xfId="7" applyNumberFormat="1" applyFont="1" applyFill="1" applyAlignment="1" applyProtection="1">
      <alignment horizontal="right"/>
    </xf>
    <xf numFmtId="1" fontId="9" fillId="0" borderId="19" xfId="5" applyNumberFormat="1" applyFont="1" applyFill="1" applyBorder="1" applyAlignment="1"/>
    <xf numFmtId="40" fontId="9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Protection="1"/>
    <xf numFmtId="6" fontId="9" fillId="0" borderId="1" xfId="0" applyNumberFormat="1" applyFont="1" applyFill="1" applyBorder="1" applyAlignment="1" applyProtection="1">
      <alignment horizontal="center"/>
      <protection locked="0"/>
    </xf>
    <xf numFmtId="40" fontId="11" fillId="0" borderId="14" xfId="13" applyNumberFormat="1" applyFont="1" applyFill="1" applyBorder="1" applyProtection="1"/>
    <xf numFmtId="38" fontId="11" fillId="0" borderId="22" xfId="13" applyNumberFormat="1" applyFont="1" applyFill="1" applyBorder="1" applyProtection="1"/>
    <xf numFmtId="38" fontId="9" fillId="0" borderId="10" xfId="14" applyNumberFormat="1" applyFont="1" applyFill="1" applyBorder="1" applyAlignment="1" applyProtection="1">
      <alignment horizontal="center"/>
    </xf>
    <xf numFmtId="40" fontId="11" fillId="0" borderId="23" xfId="13" applyNumberFormat="1" applyFont="1" applyFill="1" applyBorder="1" applyProtection="1"/>
    <xf numFmtId="38" fontId="11" fillId="0" borderId="24" xfId="13" applyNumberFormat="1" applyFont="1" applyFill="1" applyBorder="1" applyProtection="1"/>
    <xf numFmtId="38" fontId="9" fillId="0" borderId="40" xfId="14" applyNumberFormat="1" applyFont="1" applyFill="1" applyBorder="1" applyAlignment="1" applyProtection="1">
      <alignment horizontal="center"/>
    </xf>
    <xf numFmtId="38" fontId="9" fillId="0" borderId="39" xfId="13" applyNumberFormat="1" applyFont="1" applyFill="1" applyBorder="1" applyAlignment="1" applyProtection="1">
      <alignment horizontal="center"/>
    </xf>
    <xf numFmtId="40" fontId="18" fillId="5" borderId="1" xfId="0" applyNumberFormat="1" applyFont="1" applyFill="1" applyBorder="1" applyAlignment="1" applyProtection="1">
      <alignment horizontal="center" vertical="center" wrapText="1"/>
    </xf>
    <xf numFmtId="0" fontId="2" fillId="0" borderId="0" xfId="8" applyFont="1"/>
    <xf numFmtId="38" fontId="0" fillId="4" borderId="9" xfId="0" applyNumberFormat="1" applyFill="1" applyBorder="1" applyProtection="1"/>
    <xf numFmtId="0" fontId="11" fillId="4" borderId="10" xfId="0" applyFont="1" applyFill="1" applyBorder="1" applyProtection="1"/>
    <xf numFmtId="0" fontId="11" fillId="4" borderId="2" xfId="0" applyFont="1" applyFill="1" applyBorder="1" applyProtection="1"/>
    <xf numFmtId="38" fontId="11" fillId="4" borderId="2" xfId="1" applyNumberFormat="1" applyFont="1" applyFill="1" applyBorder="1" applyAlignment="1" applyProtection="1">
      <alignment horizontal="right"/>
    </xf>
    <xf numFmtId="38" fontId="11" fillId="4" borderId="8" xfId="1" applyNumberFormat="1" applyFont="1" applyFill="1" applyBorder="1" applyAlignment="1" applyProtection="1">
      <alignment horizontal="right"/>
    </xf>
    <xf numFmtId="38" fontId="9" fillId="3" borderId="14" xfId="5" applyNumberFormat="1" applyFont="1" applyFill="1" applyAlignment="1" applyProtection="1">
      <alignment horizontal="right"/>
      <protection locked="0"/>
    </xf>
    <xf numFmtId="38" fontId="9" fillId="3" borderId="1" xfId="0" applyNumberFormat="1" applyFont="1" applyFill="1" applyBorder="1" applyAlignment="1" applyProtection="1">
      <alignment horizontal="right"/>
      <protection locked="0"/>
    </xf>
    <xf numFmtId="6" fontId="9" fillId="3" borderId="1" xfId="0" applyNumberFormat="1" applyFont="1" applyFill="1" applyBorder="1" applyAlignment="1" applyProtection="1">
      <alignment horizontal="right"/>
      <protection locked="0"/>
    </xf>
    <xf numFmtId="10" fontId="9" fillId="3" borderId="1" xfId="3" applyNumberFormat="1" applyFont="1" applyFill="1" applyBorder="1" applyAlignment="1" applyProtection="1">
      <alignment horizontal="right"/>
      <protection locked="0"/>
    </xf>
    <xf numFmtId="9" fontId="9" fillId="3" borderId="1" xfId="3" applyNumberFormat="1" applyFont="1" applyFill="1" applyBorder="1" applyAlignment="1" applyProtection="1">
      <alignment horizontal="right"/>
      <protection locked="0"/>
    </xf>
    <xf numFmtId="1" fontId="9" fillId="3" borderId="1" xfId="3" applyNumberFormat="1" applyFont="1" applyFill="1" applyBorder="1" applyAlignment="1" applyProtection="1">
      <alignment horizontal="right"/>
      <protection locked="0"/>
    </xf>
    <xf numFmtId="164" fontId="21" fillId="3" borderId="14" xfId="5" applyNumberFormat="1" applyFill="1" applyAlignment="1" applyProtection="1">
      <alignment horizontal="right"/>
      <protection locked="0"/>
    </xf>
    <xf numFmtId="164" fontId="21" fillId="3" borderId="14" xfId="5" applyNumberFormat="1" applyFill="1" applyAlignment="1" applyProtection="1">
      <alignment horizontal="right"/>
    </xf>
    <xf numFmtId="164" fontId="21" fillId="3" borderId="27" xfId="5" applyNumberFormat="1" applyFill="1" applyBorder="1" applyAlignment="1" applyProtection="1">
      <alignment horizontal="right"/>
      <protection locked="0"/>
    </xf>
    <xf numFmtId="164" fontId="21" fillId="3" borderId="26" xfId="5" applyNumberFormat="1" applyFill="1" applyBorder="1" applyAlignment="1" applyProtection="1">
      <alignment horizontal="right"/>
      <protection locked="0"/>
    </xf>
    <xf numFmtId="9" fontId="9" fillId="3" borderId="1" xfId="3" applyFont="1" applyFill="1" applyBorder="1" applyAlignment="1" applyProtection="1">
      <alignment horizontal="right"/>
      <protection locked="0"/>
    </xf>
    <xf numFmtId="38" fontId="9" fillId="3" borderId="25" xfId="5" applyNumberFormat="1" applyFont="1" applyFill="1" applyBorder="1" applyAlignment="1" applyProtection="1">
      <alignment horizontal="right"/>
      <protection locked="0"/>
    </xf>
    <xf numFmtId="38" fontId="9" fillId="3" borderId="26" xfId="5" applyNumberFormat="1" applyFont="1" applyFill="1" applyBorder="1" applyAlignment="1" applyProtection="1">
      <alignment horizontal="right"/>
      <protection locked="0"/>
    </xf>
    <xf numFmtId="8" fontId="9" fillId="3" borderId="1" xfId="0" applyNumberFormat="1" applyFont="1" applyFill="1" applyBorder="1" applyAlignment="1" applyProtection="1">
      <alignment horizontal="right"/>
      <protection locked="0"/>
    </xf>
    <xf numFmtId="1" fontId="9" fillId="0" borderId="0" xfId="5" applyNumberFormat="1" applyFont="1" applyFill="1" applyBorder="1" applyAlignment="1"/>
    <xf numFmtId="0" fontId="7" fillId="0" borderId="0" xfId="9" applyAlignment="1"/>
    <xf numFmtId="40" fontId="18" fillId="0" borderId="4" xfId="0" applyNumberFormat="1" applyFont="1" applyFill="1" applyBorder="1" applyAlignment="1" applyProtection="1">
      <alignment vertical="center" wrapText="1"/>
    </xf>
    <xf numFmtId="40" fontId="15" fillId="0" borderId="0" xfId="0" applyNumberFormat="1" applyFont="1" applyBorder="1" applyAlignment="1" applyProtection="1">
      <alignment horizontal="justify" vertical="top" wrapText="1"/>
    </xf>
    <xf numFmtId="0" fontId="0" fillId="0" borderId="6" xfId="0" applyFill="1" applyBorder="1" applyAlignment="1" applyProtection="1">
      <alignment horizontal="center"/>
    </xf>
    <xf numFmtId="0" fontId="0" fillId="0" borderId="19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14" fillId="0" borderId="0" xfId="0" applyFont="1" applyAlignment="1">
      <alignment horizontal="left" wrapText="1"/>
    </xf>
    <xf numFmtId="0" fontId="43" fillId="0" borderId="17" xfId="12" applyFont="1" applyFill="1" applyAlignment="1" applyProtection="1">
      <alignment horizontal="left" inden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44" fillId="0" borderId="0" xfId="0" applyFont="1" applyAlignment="1">
      <alignment horizontal="center"/>
    </xf>
    <xf numFmtId="170" fontId="44" fillId="0" borderId="0" xfId="0" applyNumberFormat="1" applyFont="1" applyAlignment="1">
      <alignment horizontal="center"/>
    </xf>
    <xf numFmtId="0" fontId="27" fillId="0" borderId="0" xfId="0" applyFont="1" applyAlignment="1">
      <alignment horizontal="right"/>
    </xf>
    <xf numFmtId="0" fontId="46" fillId="0" borderId="0" xfId="0" applyNumberFormat="1" applyFont="1" applyAlignment="1">
      <alignment horizontal="center"/>
    </xf>
    <xf numFmtId="0" fontId="45" fillId="0" borderId="0" xfId="0" applyFont="1" applyAlignment="1">
      <alignment horizontal="center"/>
    </xf>
    <xf numFmtId="0" fontId="45" fillId="0" borderId="0" xfId="0" applyFont="1" applyAlignment="1">
      <alignment horizontal="right"/>
    </xf>
    <xf numFmtId="0" fontId="27" fillId="0" borderId="0" xfId="0" applyNumberFormat="1" applyFont="1" applyAlignment="1">
      <alignment horizontal="right"/>
    </xf>
    <xf numFmtId="8" fontId="0" fillId="0" borderId="0" xfId="0" applyNumberFormat="1"/>
    <xf numFmtId="8" fontId="0" fillId="0" borderId="0" xfId="0" applyNumberFormat="1" applyAlignment="1">
      <alignment horizontal="left"/>
    </xf>
    <xf numFmtId="7" fontId="27" fillId="0" borderId="0" xfId="0" applyNumberFormat="1" applyFont="1" applyAlignment="1">
      <alignment horizontal="right"/>
    </xf>
    <xf numFmtId="38" fontId="27" fillId="0" borderId="0" xfId="0" applyNumberFormat="1" applyFont="1" applyAlignment="1">
      <alignment horizontal="right"/>
    </xf>
    <xf numFmtId="38" fontId="0" fillId="0" borderId="0" xfId="0" applyNumberFormat="1" applyAlignment="1">
      <alignment horizontal="left"/>
    </xf>
    <xf numFmtId="0" fontId="48" fillId="0" borderId="0" xfId="0" applyNumberFormat="1" applyFont="1" applyAlignment="1">
      <alignment horizontal="center"/>
    </xf>
    <xf numFmtId="0" fontId="47" fillId="0" borderId="0" xfId="0" applyFont="1" applyAlignment="1">
      <alignment horizontal="center"/>
    </xf>
    <xf numFmtId="170" fontId="27" fillId="0" borderId="0" xfId="0" applyNumberFormat="1" applyFont="1" applyAlignment="1">
      <alignment horizontal="right"/>
    </xf>
  </cellXfs>
  <cellStyles count="56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16"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90EE90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000000"/>
      </font>
      <fill>
        <patternFill>
          <bgColor rgb="FFFFD700"/>
        </patternFill>
      </fill>
    </dxf>
    <dxf>
      <fill>
        <patternFill>
          <bgColor rgb="FFFFD700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  <dxf>
      <font>
        <color rgb="FF000000"/>
      </font>
      <fill>
        <patternFill>
          <bgColor rgb="FFFFD700"/>
        </patternFill>
      </fill>
    </dxf>
    <dxf>
      <font>
        <color rgb="FFFFFFFF"/>
      </font>
      <fill>
        <patternFill>
          <bgColor rgb="FF0000FF"/>
        </patternFill>
      </fill>
    </dxf>
  </dxfs>
  <tableStyles count="0" defaultTableStyle="TableStyleMedium9" defaultPivotStyle="PivotStyleLight16"/>
  <colors>
    <mruColors>
      <color rgb="FFFFFF99"/>
      <color rgb="FFFFFF66"/>
      <color rgb="FFFFFF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31901754739604976"/>
          <c:y val="1.995267001114404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01"/>
          <c:y val="5.3330766986723802E-2"/>
          <c:w val="0.80564192526099665"/>
          <c:h val="0.73024847761814005"/>
        </c:manualLayout>
      </c:layout>
      <c:lineChart>
        <c:grouping val="standard"/>
        <c:varyColors val="0"/>
        <c:ser>
          <c:idx val="0"/>
          <c:order val="0"/>
          <c:tx>
            <c:strRef>
              <c:f>'Ranch Strategies'!$P$73</c:f>
              <c:strCache>
                <c:ptCount val="1"/>
                <c:pt idx="0">
                  <c:v>No Drought</c:v>
                </c:pt>
              </c:strCache>
            </c:strRef>
          </c:tx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549559.81341900001</c:v>
                </c:pt>
                <c:pt idx="2">
                  <c:v>607980.85223806789</c:v>
                </c:pt>
                <c:pt idx="3">
                  <c:v>666902.85146500939</c:v>
                </c:pt>
                <c:pt idx="4">
                  <c:v>726330.10683532176</c:v>
                </c:pt>
                <c:pt idx="5">
                  <c:v>786266.95092043467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2D-464E-8EE0-964347244BFB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548512.36201675935</c:v>
                </c:pt>
                <c:pt idx="2">
                  <c:v>580067.51894005318</c:v>
                </c:pt>
                <c:pt idx="3">
                  <c:v>638750.16133396409</c:v>
                </c:pt>
                <c:pt idx="4">
                  <c:v>697936.00738640281</c:v>
                </c:pt>
                <c:pt idx="5">
                  <c:v>757629.37206874124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02D-464E-8EE0-964347244BFB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487130.8665</c:v>
                </c:pt>
                <c:pt idx="2">
                  <c:v>489861.74525623501</c:v>
                </c:pt>
                <c:pt idx="3">
                  <c:v>547045.59389621054</c:v>
                </c:pt>
                <c:pt idx="4">
                  <c:v>605445.07328287058</c:v>
                </c:pt>
                <c:pt idx="5">
                  <c:v>664345.32820527116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02D-464E-8EE0-964347244BFB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454381.78649999999</c:v>
                </c:pt>
                <c:pt idx="2">
                  <c:v>454903.27177903499</c:v>
                </c:pt>
                <c:pt idx="3">
                  <c:v>510528.32208666217</c:v>
                </c:pt>
                <c:pt idx="4">
                  <c:v>568614.6658675553</c:v>
                </c:pt>
                <c:pt idx="5">
                  <c:v>627199.1000463696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02D-464E-8EE0-964347244BFB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577300.624419</c:v>
                </c:pt>
                <c:pt idx="2">
                  <c:v>578820.97727339296</c:v>
                </c:pt>
                <c:pt idx="3">
                  <c:v>637492.93057251233</c:v>
                </c:pt>
                <c:pt idx="4">
                  <c:v>696667.99587117159</c:v>
                </c:pt>
                <c:pt idx="5">
                  <c:v>756350.48735476681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02D-464E-8EE0-964347244BFB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Strategies'!$X$58:$X$63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500800.624419</c:v>
                </c:pt>
                <c:pt idx="2">
                  <c:v>501664.98977339291</c:v>
                </c:pt>
                <c:pt idx="3">
                  <c:v>502536.76706069976</c:v>
                </c:pt>
                <c:pt idx="4">
                  <c:v>503416.01983824524</c:v>
                </c:pt>
                <c:pt idx="5">
                  <c:v>504302.8122083582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02D-464E-8EE0-964347244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645376"/>
        <c:axId val="126646912"/>
      </c:lineChart>
      <c:catAx>
        <c:axId val="12664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anchor="t" anchorCtr="0"/>
          <a:lstStyle/>
          <a:p>
            <a:pPr>
              <a:defRPr/>
            </a:pPr>
            <a:endParaRPr lang="en-US"/>
          </a:p>
        </c:txPr>
        <c:crossAx val="126646912"/>
        <c:crosses val="autoZero"/>
        <c:auto val="1"/>
        <c:lblAlgn val="ctr"/>
        <c:lblOffset val="100"/>
        <c:noMultiLvlLbl val="0"/>
      </c:catAx>
      <c:valAx>
        <c:axId val="126646912"/>
        <c:scaling>
          <c:orientation val="minMax"/>
          <c:max val="750000"/>
          <c:min val="3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layout/>
          <c:overlay val="0"/>
        </c:title>
        <c:numFmt formatCode="#,##0_);[Red]\(#,##0\)" sourceLinked="1"/>
        <c:majorTickMark val="out"/>
        <c:minorTickMark val="none"/>
        <c:tickLblPos val="nextTo"/>
        <c:crossAx val="12664537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39782207661972341"/>
          <c:y val="4.29478111069522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393893239994581"/>
          <c:y val="0.11795381711332856"/>
          <c:w val="0.81573594512274883"/>
          <c:h val="0.73429493438219418"/>
        </c:manualLayout>
      </c:layout>
      <c:lineChart>
        <c:grouping val="standard"/>
        <c:varyColors val="0"/>
        <c:ser>
          <c:idx val="0"/>
          <c:order val="0"/>
          <c:tx>
            <c:strRef>
              <c:f>'Ranch Strategies'!$P$73</c:f>
              <c:strCache>
                <c:ptCount val="1"/>
                <c:pt idx="0">
                  <c:v>No Drought</c:v>
                </c:pt>
              </c:strCache>
            </c:strRef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57667.366500000004</c:v>
                </c:pt>
                <c:pt idx="2">
                  <c:v>85161.864167737498</c:v>
                </c:pt>
                <c:pt idx="3">
                  <c:v>85892.127152975852</c:v>
                </c:pt>
                <c:pt idx="4">
                  <c:v>86628.652143312618</c:v>
                </c:pt>
                <c:pt idx="5">
                  <c:v>87371.492835441531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59-407E-A6CC-8FCE01BE1F5E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56140.469412185717</c:v>
                </c:pt>
                <c:pt idx="2">
                  <c:v>45998.771025209498</c:v>
                </c:pt>
                <c:pt idx="3">
                  <c:v>85543.210486750671</c:v>
                </c:pt>
                <c:pt idx="4">
                  <c:v>86276.743516674556</c:v>
                </c:pt>
                <c:pt idx="5">
                  <c:v>87016.56659233004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159-407E-A6CC-8FCE01BE1F5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-22869.133499999996</c:v>
                </c:pt>
                <c:pt idx="2">
                  <c:v>3980.8728225000041</c:v>
                </c:pt>
                <c:pt idx="3">
                  <c:v>83358.379941655279</c:v>
                </c:pt>
                <c:pt idx="4">
                  <c:v>85130.436423702631</c:v>
                </c:pt>
                <c:pt idx="5">
                  <c:v>85860.429916035879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159-407E-A6CC-8FCE01BE1F5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-55618.213500000013</c:v>
                </c:pt>
                <c:pt idx="2">
                  <c:v>760.18262250000271</c:v>
                </c:pt>
                <c:pt idx="3">
                  <c:v>81086.079165637275</c:v>
                </c:pt>
                <c:pt idx="4">
                  <c:v>84673.970526083285</c:v>
                </c:pt>
                <c:pt idx="5">
                  <c:v>85400.049823344452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159-407E-A6CC-8FCE01BE1F5E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98105.866500000004</c:v>
                </c:pt>
                <c:pt idx="2">
                  <c:v>2216.2578052375002</c:v>
                </c:pt>
                <c:pt idx="3">
                  <c:v>85527.62871591741</c:v>
                </c:pt>
                <c:pt idx="4">
                  <c:v>86261.028132156411</c:v>
                </c:pt>
                <c:pt idx="5">
                  <c:v>87000.716448389649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159-407E-A6CC-8FCE01BE1F5E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Strategies'!$X$86:$X$91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57667.366500000004</c:v>
                </c:pt>
                <c:pt idx="1">
                  <c:v>98105.866500000004</c:v>
                </c:pt>
                <c:pt idx="2">
                  <c:v>1260.0078052375002</c:v>
                </c:pt>
                <c:pt idx="3">
                  <c:v>1270.8123721674119</c:v>
                </c:pt>
                <c:pt idx="4">
                  <c:v>1281.7095882587473</c:v>
                </c:pt>
                <c:pt idx="5">
                  <c:v>1292.7002479780658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159-407E-A6CC-8FCE01BE1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50944"/>
        <c:axId val="126852480"/>
      </c:lineChart>
      <c:catAx>
        <c:axId val="1268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26852480"/>
        <c:crosses val="autoZero"/>
        <c:auto val="1"/>
        <c:lblAlgn val="ctr"/>
        <c:lblOffset val="100"/>
        <c:noMultiLvlLbl val="0"/>
      </c:catAx>
      <c:valAx>
        <c:axId val="126852480"/>
        <c:scaling>
          <c:orientation val="minMax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1.6548463356973998E-2"/>
              <c:y val="0.2815907461537610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12685094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</xdr:colOff>
      <xdr:row>55</xdr:row>
      <xdr:rowOff>31751</xdr:rowOff>
    </xdr:from>
    <xdr:to>
      <xdr:col>31</xdr:col>
      <xdr:colOff>497416</xdr:colOff>
      <xdr:row>76</xdr:row>
      <xdr:rowOff>100014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483430</xdr:colOff>
      <xdr:row>76</xdr:row>
      <xdr:rowOff>130175</xdr:rowOff>
    </xdr:from>
    <xdr:to>
      <xdr:col>31</xdr:col>
      <xdr:colOff>521758</xdr:colOff>
      <xdr:row>98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228410</xdr:colOff>
      <xdr:row>14</xdr:row>
      <xdr:rowOff>156845</xdr:rowOff>
    </xdr:from>
    <xdr:to>
      <xdr:col>5</xdr:col>
      <xdr:colOff>127</xdr:colOff>
      <xdr:row>14</xdr:row>
      <xdr:rowOff>156845</xdr:rowOff>
    </xdr:to>
    <xdr:cxnSp macro="_xll.PtreeEvent_ObjectClick">
      <xdr:nvCxnSpPr>
        <xdr:cNvPr id="62" name="PTObj_DBranchHLine_1_11"/>
        <xdr:cNvCxnSpPr/>
      </xdr:nvCxnSpPr>
      <xdr:spPr>
        <a:xfrm>
          <a:off x="5248085" y="2423795"/>
          <a:ext cx="112426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12</xdr:row>
      <xdr:rowOff>151766</xdr:rowOff>
    </xdr:from>
    <xdr:to>
      <xdr:col>4</xdr:col>
      <xdr:colOff>228410</xdr:colOff>
      <xdr:row>14</xdr:row>
      <xdr:rowOff>156845</xdr:rowOff>
    </xdr:to>
    <xdr:cxnSp macro="_xll.PtreeEvent_ObjectClick">
      <xdr:nvCxnSpPr>
        <xdr:cNvPr id="61" name="PTObj_DBranchDLine_1_11"/>
        <xdr:cNvCxnSpPr/>
      </xdr:nvCxnSpPr>
      <xdr:spPr>
        <a:xfrm>
          <a:off x="5095685" y="2094866"/>
          <a:ext cx="152400" cy="3289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228410</xdr:colOff>
      <xdr:row>10</xdr:row>
      <xdr:rowOff>156845</xdr:rowOff>
    </xdr:from>
    <xdr:to>
      <xdr:col>5</xdr:col>
      <xdr:colOff>127</xdr:colOff>
      <xdr:row>10</xdr:row>
      <xdr:rowOff>156845</xdr:rowOff>
    </xdr:to>
    <xdr:cxnSp macro="_xll.PtreeEvent_ObjectClick">
      <xdr:nvCxnSpPr>
        <xdr:cNvPr id="58" name="PTObj_DBranchHLine_1_10"/>
        <xdr:cNvCxnSpPr/>
      </xdr:nvCxnSpPr>
      <xdr:spPr>
        <a:xfrm>
          <a:off x="5248085" y="1776095"/>
          <a:ext cx="886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76010</xdr:colOff>
      <xdr:row>10</xdr:row>
      <xdr:rowOff>156845</xdr:rowOff>
    </xdr:from>
    <xdr:to>
      <xdr:col>4</xdr:col>
      <xdr:colOff>228410</xdr:colOff>
      <xdr:row>12</xdr:row>
      <xdr:rowOff>151766</xdr:rowOff>
    </xdr:to>
    <xdr:cxnSp macro="_xll.PtreeEvent_ObjectClick">
      <xdr:nvCxnSpPr>
        <xdr:cNvPr id="57" name="PTObj_DBranchDLine_1_10"/>
        <xdr:cNvCxnSpPr/>
      </xdr:nvCxnSpPr>
      <xdr:spPr>
        <a:xfrm flipV="1">
          <a:off x="5095685" y="177609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12</xdr:row>
      <xdr:rowOff>156845</xdr:rowOff>
    </xdr:from>
    <xdr:to>
      <xdr:col>4</xdr:col>
      <xdr:colOff>127</xdr:colOff>
      <xdr:row>12</xdr:row>
      <xdr:rowOff>156845</xdr:rowOff>
    </xdr:to>
    <xdr:cxnSp macro="_xll.PtreeEvent_ObjectClick">
      <xdr:nvCxnSpPr>
        <xdr:cNvPr id="54" name="PTObj_DBranchHLine_1_4"/>
        <xdr:cNvCxnSpPr/>
      </xdr:nvCxnSpPr>
      <xdr:spPr>
        <a:xfrm>
          <a:off x="3752660" y="17760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12</xdr:row>
      <xdr:rowOff>156845</xdr:rowOff>
    </xdr:from>
    <xdr:to>
      <xdr:col>3</xdr:col>
      <xdr:colOff>228410</xdr:colOff>
      <xdr:row>16</xdr:row>
      <xdr:rowOff>151766</xdr:rowOff>
    </xdr:to>
    <xdr:cxnSp macro="_xll.PtreeEvent_ObjectClick">
      <xdr:nvCxnSpPr>
        <xdr:cNvPr id="53" name="PTObj_DBranchDLine_1_4"/>
        <xdr:cNvCxnSpPr/>
      </xdr:nvCxnSpPr>
      <xdr:spPr>
        <a:xfrm flipV="1">
          <a:off x="3600260" y="177609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30</xdr:row>
      <xdr:rowOff>156845</xdr:rowOff>
    </xdr:from>
    <xdr:to>
      <xdr:col>4</xdr:col>
      <xdr:colOff>127</xdr:colOff>
      <xdr:row>30</xdr:row>
      <xdr:rowOff>156845</xdr:rowOff>
    </xdr:to>
    <xdr:cxnSp macro="_xll.PtreeEvent_ObjectClick">
      <xdr:nvCxnSpPr>
        <xdr:cNvPr id="50" name="PTObj_DBranchHLine_1_9"/>
        <xdr:cNvCxnSpPr/>
      </xdr:nvCxnSpPr>
      <xdr:spPr>
        <a:xfrm>
          <a:off x="3752660" y="43668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26</xdr:row>
      <xdr:rowOff>151766</xdr:rowOff>
    </xdr:from>
    <xdr:to>
      <xdr:col>3</xdr:col>
      <xdr:colOff>228410</xdr:colOff>
      <xdr:row>30</xdr:row>
      <xdr:rowOff>156845</xdr:rowOff>
    </xdr:to>
    <xdr:cxnSp macro="_xll.PtreeEvent_ObjectClick">
      <xdr:nvCxnSpPr>
        <xdr:cNvPr id="49" name="PTObj_DBranchDLine_1_9"/>
        <xdr:cNvCxnSpPr/>
      </xdr:nvCxnSpPr>
      <xdr:spPr>
        <a:xfrm>
          <a:off x="3600260" y="3714116"/>
          <a:ext cx="152400" cy="6527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28</xdr:row>
      <xdr:rowOff>156845</xdr:rowOff>
    </xdr:from>
    <xdr:to>
      <xdr:col>4</xdr:col>
      <xdr:colOff>127</xdr:colOff>
      <xdr:row>28</xdr:row>
      <xdr:rowOff>156845</xdr:rowOff>
    </xdr:to>
    <xdr:cxnSp macro="_xll.PtreeEvent_ObjectClick">
      <xdr:nvCxnSpPr>
        <xdr:cNvPr id="46" name="PTObj_DBranchHLine_1_8"/>
        <xdr:cNvCxnSpPr/>
      </xdr:nvCxnSpPr>
      <xdr:spPr>
        <a:xfrm>
          <a:off x="3752660" y="404304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26</xdr:row>
      <xdr:rowOff>151766</xdr:rowOff>
    </xdr:from>
    <xdr:to>
      <xdr:col>3</xdr:col>
      <xdr:colOff>228410</xdr:colOff>
      <xdr:row>28</xdr:row>
      <xdr:rowOff>156845</xdr:rowOff>
    </xdr:to>
    <xdr:cxnSp macro="_xll.PtreeEvent_ObjectClick">
      <xdr:nvCxnSpPr>
        <xdr:cNvPr id="45" name="PTObj_DBranchDLine_1_8"/>
        <xdr:cNvCxnSpPr/>
      </xdr:nvCxnSpPr>
      <xdr:spPr>
        <a:xfrm>
          <a:off x="3600260" y="3714116"/>
          <a:ext cx="152400" cy="3289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24</xdr:row>
      <xdr:rowOff>156845</xdr:rowOff>
    </xdr:from>
    <xdr:to>
      <xdr:col>4</xdr:col>
      <xdr:colOff>127</xdr:colOff>
      <xdr:row>24</xdr:row>
      <xdr:rowOff>156845</xdr:rowOff>
    </xdr:to>
    <xdr:cxnSp macro="_xll.PtreeEvent_ObjectClick">
      <xdr:nvCxnSpPr>
        <xdr:cNvPr id="42" name="PTObj_DBranchHLine_1_7"/>
        <xdr:cNvCxnSpPr/>
      </xdr:nvCxnSpPr>
      <xdr:spPr>
        <a:xfrm>
          <a:off x="3752660" y="339534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24</xdr:row>
      <xdr:rowOff>156845</xdr:rowOff>
    </xdr:from>
    <xdr:to>
      <xdr:col>3</xdr:col>
      <xdr:colOff>228410</xdr:colOff>
      <xdr:row>26</xdr:row>
      <xdr:rowOff>151766</xdr:rowOff>
    </xdr:to>
    <xdr:cxnSp macro="_xll.PtreeEvent_ObjectClick">
      <xdr:nvCxnSpPr>
        <xdr:cNvPr id="41" name="PTObj_DBranchDLine_1_7"/>
        <xdr:cNvCxnSpPr/>
      </xdr:nvCxnSpPr>
      <xdr:spPr>
        <a:xfrm flipV="1">
          <a:off x="3600260" y="339534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228410</xdr:colOff>
      <xdr:row>26</xdr:row>
      <xdr:rowOff>156845</xdr:rowOff>
    </xdr:from>
    <xdr:to>
      <xdr:col>3</xdr:col>
      <xdr:colOff>127</xdr:colOff>
      <xdr:row>26</xdr:row>
      <xdr:rowOff>156845</xdr:rowOff>
    </xdr:to>
    <xdr:cxnSp macro="_xll.PtreeEvent_ObjectClick">
      <xdr:nvCxnSpPr>
        <xdr:cNvPr id="38" name="PTObj_DBranchHLine_1_3"/>
        <xdr:cNvCxnSpPr/>
      </xdr:nvCxnSpPr>
      <xdr:spPr>
        <a:xfrm>
          <a:off x="2257235" y="37191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76010</xdr:colOff>
      <xdr:row>22</xdr:row>
      <xdr:rowOff>151766</xdr:rowOff>
    </xdr:from>
    <xdr:to>
      <xdr:col>2</xdr:col>
      <xdr:colOff>228410</xdr:colOff>
      <xdr:row>26</xdr:row>
      <xdr:rowOff>156845</xdr:rowOff>
    </xdr:to>
    <xdr:cxnSp macro="_xll.PtreeEvent_ObjectClick">
      <xdr:nvCxnSpPr>
        <xdr:cNvPr id="37" name="PTObj_DBranchDLine_1_3"/>
        <xdr:cNvCxnSpPr/>
      </xdr:nvCxnSpPr>
      <xdr:spPr>
        <a:xfrm>
          <a:off x="2104835" y="3066416"/>
          <a:ext cx="152400" cy="6527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20</xdr:row>
      <xdr:rowOff>156845</xdr:rowOff>
    </xdr:from>
    <xdr:to>
      <xdr:col>4</xdr:col>
      <xdr:colOff>127</xdr:colOff>
      <xdr:row>20</xdr:row>
      <xdr:rowOff>156845</xdr:rowOff>
    </xdr:to>
    <xdr:cxnSp macro="_xll.PtreeEvent_ObjectClick">
      <xdr:nvCxnSpPr>
        <xdr:cNvPr id="30" name="PTObj_DBranchHLine_1_6"/>
        <xdr:cNvCxnSpPr/>
      </xdr:nvCxnSpPr>
      <xdr:spPr>
        <a:xfrm>
          <a:off x="3752660" y="274764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16</xdr:row>
      <xdr:rowOff>151766</xdr:rowOff>
    </xdr:from>
    <xdr:to>
      <xdr:col>3</xdr:col>
      <xdr:colOff>228410</xdr:colOff>
      <xdr:row>20</xdr:row>
      <xdr:rowOff>156845</xdr:rowOff>
    </xdr:to>
    <xdr:cxnSp macro="_xll.PtreeEvent_ObjectClick">
      <xdr:nvCxnSpPr>
        <xdr:cNvPr id="29" name="PTObj_DBranchDLine_1_6"/>
        <xdr:cNvCxnSpPr/>
      </xdr:nvCxnSpPr>
      <xdr:spPr>
        <a:xfrm>
          <a:off x="3600260" y="2094866"/>
          <a:ext cx="152400" cy="6527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228410</xdr:colOff>
      <xdr:row>18</xdr:row>
      <xdr:rowOff>156845</xdr:rowOff>
    </xdr:from>
    <xdr:to>
      <xdr:col>4</xdr:col>
      <xdr:colOff>127</xdr:colOff>
      <xdr:row>18</xdr:row>
      <xdr:rowOff>156845</xdr:rowOff>
    </xdr:to>
    <xdr:cxnSp macro="_xll.PtreeEvent_ObjectClick">
      <xdr:nvCxnSpPr>
        <xdr:cNvPr id="26" name="PTObj_DBranchHLine_1_5"/>
        <xdr:cNvCxnSpPr/>
      </xdr:nvCxnSpPr>
      <xdr:spPr>
        <a:xfrm>
          <a:off x="3752660" y="2423795"/>
          <a:ext cx="112426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76010</xdr:colOff>
      <xdr:row>16</xdr:row>
      <xdr:rowOff>151766</xdr:rowOff>
    </xdr:from>
    <xdr:to>
      <xdr:col>3</xdr:col>
      <xdr:colOff>228410</xdr:colOff>
      <xdr:row>18</xdr:row>
      <xdr:rowOff>156845</xdr:rowOff>
    </xdr:to>
    <xdr:cxnSp macro="_xll.PtreeEvent_ObjectClick">
      <xdr:nvCxnSpPr>
        <xdr:cNvPr id="25" name="PTObj_DBranchDLine_1_5"/>
        <xdr:cNvCxnSpPr/>
      </xdr:nvCxnSpPr>
      <xdr:spPr>
        <a:xfrm>
          <a:off x="3600260" y="2094866"/>
          <a:ext cx="152400" cy="3289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228410</xdr:colOff>
      <xdr:row>16</xdr:row>
      <xdr:rowOff>156845</xdr:rowOff>
    </xdr:from>
    <xdr:to>
      <xdr:col>3</xdr:col>
      <xdr:colOff>127</xdr:colOff>
      <xdr:row>16</xdr:row>
      <xdr:rowOff>156845</xdr:rowOff>
    </xdr:to>
    <xdr:cxnSp macro="_xll.PtreeEvent_ObjectClick">
      <xdr:nvCxnSpPr>
        <xdr:cNvPr id="18" name="PTObj_DBranchHLine_1_2"/>
        <xdr:cNvCxnSpPr/>
      </xdr:nvCxnSpPr>
      <xdr:spPr>
        <a:xfrm>
          <a:off x="2257235" y="1776095"/>
          <a:ext cx="12671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76010</xdr:colOff>
      <xdr:row>16</xdr:row>
      <xdr:rowOff>156845</xdr:rowOff>
    </xdr:from>
    <xdr:to>
      <xdr:col>2</xdr:col>
      <xdr:colOff>228410</xdr:colOff>
      <xdr:row>22</xdr:row>
      <xdr:rowOff>151766</xdr:rowOff>
    </xdr:to>
    <xdr:cxnSp macro="_xll.PtreeEvent_ObjectClick">
      <xdr:nvCxnSpPr>
        <xdr:cNvPr id="17" name="PTObj_DBranchDLine_1_2"/>
        <xdr:cNvCxnSpPr/>
      </xdr:nvCxnSpPr>
      <xdr:spPr>
        <a:xfrm flipV="1">
          <a:off x="2104835" y="1776095"/>
          <a:ext cx="152400" cy="3187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22</xdr:row>
      <xdr:rowOff>156845</xdr:rowOff>
    </xdr:from>
    <xdr:to>
      <xdr:col>2</xdr:col>
      <xdr:colOff>127</xdr:colOff>
      <xdr:row>22</xdr:row>
      <xdr:rowOff>156845</xdr:rowOff>
    </xdr:to>
    <xdr:cxnSp macro="_xll.PtreeEvent_ObjectClick">
      <xdr:nvCxnSpPr>
        <xdr:cNvPr id="6" name="PTObj_DBranchHLine_1_1"/>
        <xdr:cNvCxnSpPr/>
      </xdr:nvCxnSpPr>
      <xdr:spPr>
        <a:xfrm>
          <a:off x="787400" y="1776095"/>
          <a:ext cx="12320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127</xdr:colOff>
      <xdr:row>22</xdr:row>
      <xdr:rowOff>75883</xdr:rowOff>
    </xdr:from>
    <xdr:to>
      <xdr:col>2</xdr:col>
      <xdr:colOff>162052</xdr:colOff>
      <xdr:row>23</xdr:row>
      <xdr:rowOff>75883</xdr:rowOff>
    </xdr:to>
    <xdr:sp macro="_xll.PtreeEvent_ObjectClick" textlink="">
      <xdr:nvSpPr>
        <xdr:cNvPr id="5" name="PTObj_DNode_1_1"/>
        <xdr:cNvSpPr/>
      </xdr:nvSpPr>
      <xdr:spPr>
        <a:xfrm>
          <a:off x="2019427" y="1695133"/>
          <a:ext cx="161925" cy="16192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215900</xdr:colOff>
      <xdr:row>22</xdr:row>
      <xdr:rowOff>66532</xdr:rowOff>
    </xdr:from>
    <xdr:ext cx="774891" cy="180627"/>
    <xdr:sp macro="_xll.PtreeEvent_ObjectClick" textlink="">
      <xdr:nvSpPr>
        <xdr:cNvPr id="7" name="PTObj_DBranchName_1_1"/>
        <xdr:cNvSpPr txBox="1"/>
      </xdr:nvSpPr>
      <xdr:spPr>
        <a:xfrm>
          <a:off x="825500" y="1685782"/>
          <a:ext cx="77489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Decision</a:t>
          </a:r>
        </a:p>
      </xdr:txBody>
    </xdr:sp>
    <xdr:clientData/>
  </xdr:oneCellAnchor>
  <xdr:twoCellAnchor editAs="oneCell">
    <xdr:from>
      <xdr:col>3</xdr:col>
      <xdr:colOff>127</xdr:colOff>
      <xdr:row>16</xdr:row>
      <xdr:rowOff>75883</xdr:rowOff>
    </xdr:from>
    <xdr:to>
      <xdr:col>3</xdr:col>
      <xdr:colOff>162052</xdr:colOff>
      <xdr:row>17</xdr:row>
      <xdr:rowOff>75883</xdr:rowOff>
    </xdr:to>
    <xdr:sp macro="_xll.PtreeEvent_ObjectClick" textlink="">
      <xdr:nvSpPr>
        <xdr:cNvPr id="16" name="PTObj_DNode_1_2"/>
        <xdr:cNvSpPr/>
      </xdr:nvSpPr>
      <xdr:spPr>
        <a:xfrm>
          <a:off x="3524377" y="1695133"/>
          <a:ext cx="161925" cy="16192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266510</xdr:colOff>
      <xdr:row>16</xdr:row>
      <xdr:rowOff>66532</xdr:rowOff>
    </xdr:from>
    <xdr:ext cx="606063" cy="180627"/>
    <xdr:sp macro="_xll.PtreeEvent_ObjectClick" textlink="">
      <xdr:nvSpPr>
        <xdr:cNvPr id="19" name="PTObj_DBranchName_1_2"/>
        <xdr:cNvSpPr txBox="1"/>
      </xdr:nvSpPr>
      <xdr:spPr>
        <a:xfrm>
          <a:off x="2295335" y="1685782"/>
          <a:ext cx="6060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Insurance</a:t>
          </a:r>
        </a:p>
      </xdr:txBody>
    </xdr:sp>
    <xdr:clientData/>
  </xdr:oneCellAnchor>
  <xdr:twoCellAnchor editAs="oneCell">
    <xdr:from>
      <xdr:col>4</xdr:col>
      <xdr:colOff>127</xdr:colOff>
      <xdr:row>18</xdr:row>
      <xdr:rowOff>75883</xdr:rowOff>
    </xdr:from>
    <xdr:to>
      <xdr:col>4</xdr:col>
      <xdr:colOff>162052</xdr:colOff>
      <xdr:row>19</xdr:row>
      <xdr:rowOff>75883</xdr:rowOff>
    </xdr:to>
    <xdr:sp macro="_xll.PtreeEvent_ObjectClick" textlink="">
      <xdr:nvSpPr>
        <xdr:cNvPr id="24" name="PTObj_DNode_1_5"/>
        <xdr:cNvSpPr/>
      </xdr:nvSpPr>
      <xdr:spPr>
        <a:xfrm rot="-5400000">
          <a:off x="4876927" y="234283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18</xdr:row>
      <xdr:rowOff>66532</xdr:rowOff>
    </xdr:from>
    <xdr:ext cx="437876" cy="180627"/>
    <xdr:sp macro="_xll.PtreeEvent_ObjectClick" textlink="">
      <xdr:nvSpPr>
        <xdr:cNvPr id="27" name="PTObj_DBranchName_1_5"/>
        <xdr:cNvSpPr txBox="1"/>
      </xdr:nvSpPr>
      <xdr:spPr>
        <a:xfrm>
          <a:off x="3790760" y="2333482"/>
          <a:ext cx="4378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Buy Feed</a:t>
          </a:r>
        </a:p>
      </xdr:txBody>
    </xdr:sp>
    <xdr:clientData/>
  </xdr:oneCellAnchor>
  <xdr:twoCellAnchor editAs="oneCell">
    <xdr:from>
      <xdr:col>4</xdr:col>
      <xdr:colOff>127</xdr:colOff>
      <xdr:row>20</xdr:row>
      <xdr:rowOff>75883</xdr:rowOff>
    </xdr:from>
    <xdr:to>
      <xdr:col>4</xdr:col>
      <xdr:colOff>162052</xdr:colOff>
      <xdr:row>21</xdr:row>
      <xdr:rowOff>75883</xdr:rowOff>
    </xdr:to>
    <xdr:sp macro="_xll.PtreeEvent_ObjectClick" textlink="">
      <xdr:nvSpPr>
        <xdr:cNvPr id="28" name="PTObj_DNode_1_6"/>
        <xdr:cNvSpPr/>
      </xdr:nvSpPr>
      <xdr:spPr>
        <a:xfrm rot="-5400000">
          <a:off x="5019802" y="266668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20</xdr:row>
      <xdr:rowOff>66532</xdr:rowOff>
    </xdr:from>
    <xdr:ext cx="591059" cy="180627"/>
    <xdr:sp macro="_xll.PtreeEvent_ObjectClick" textlink="">
      <xdr:nvSpPr>
        <xdr:cNvPr id="31" name="PTObj_DBranchName_1_6"/>
        <xdr:cNvSpPr txBox="1"/>
      </xdr:nvSpPr>
      <xdr:spPr>
        <a:xfrm>
          <a:off x="3790760" y="2657332"/>
          <a:ext cx="591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Rent Pasture</a:t>
          </a:r>
        </a:p>
      </xdr:txBody>
    </xdr:sp>
    <xdr:clientData/>
  </xdr:oneCellAnchor>
  <xdr:twoCellAnchor editAs="oneCell">
    <xdr:from>
      <xdr:col>3</xdr:col>
      <xdr:colOff>127</xdr:colOff>
      <xdr:row>26</xdr:row>
      <xdr:rowOff>75883</xdr:rowOff>
    </xdr:from>
    <xdr:to>
      <xdr:col>3</xdr:col>
      <xdr:colOff>162052</xdr:colOff>
      <xdr:row>27</xdr:row>
      <xdr:rowOff>75883</xdr:rowOff>
    </xdr:to>
    <xdr:sp macro="_xll.PtreeEvent_ObjectClick" textlink="">
      <xdr:nvSpPr>
        <xdr:cNvPr id="36" name="PTObj_DNode_1_3"/>
        <xdr:cNvSpPr/>
      </xdr:nvSpPr>
      <xdr:spPr>
        <a:xfrm>
          <a:off x="3524377" y="3638233"/>
          <a:ext cx="161925" cy="16192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266510</xdr:colOff>
      <xdr:row>26</xdr:row>
      <xdr:rowOff>66532</xdr:rowOff>
    </xdr:from>
    <xdr:ext cx="462498" cy="180627"/>
    <xdr:sp macro="_xll.PtreeEvent_ObjectClick" textlink="">
      <xdr:nvSpPr>
        <xdr:cNvPr id="39" name="PTObj_DBranchName_1_3"/>
        <xdr:cNvSpPr txBox="1"/>
      </xdr:nvSpPr>
      <xdr:spPr>
        <a:xfrm>
          <a:off x="2295335" y="3628882"/>
          <a:ext cx="462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Insurance</a:t>
          </a:r>
        </a:p>
      </xdr:txBody>
    </xdr:sp>
    <xdr:clientData/>
  </xdr:oneCellAnchor>
  <xdr:twoCellAnchor editAs="oneCell">
    <xdr:from>
      <xdr:col>4</xdr:col>
      <xdr:colOff>127</xdr:colOff>
      <xdr:row>24</xdr:row>
      <xdr:rowOff>75883</xdr:rowOff>
    </xdr:from>
    <xdr:to>
      <xdr:col>4</xdr:col>
      <xdr:colOff>162052</xdr:colOff>
      <xdr:row>25</xdr:row>
      <xdr:rowOff>75883</xdr:rowOff>
    </xdr:to>
    <xdr:sp macro="_xll.PtreeEvent_ObjectClick" textlink="">
      <xdr:nvSpPr>
        <xdr:cNvPr id="40" name="PTObj_DNode_1_7"/>
        <xdr:cNvSpPr/>
      </xdr:nvSpPr>
      <xdr:spPr>
        <a:xfrm rot="-5400000">
          <a:off x="5019802" y="331438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24</xdr:row>
      <xdr:rowOff>66532</xdr:rowOff>
    </xdr:from>
    <xdr:ext cx="533351" cy="180627"/>
    <xdr:sp macro="_xll.PtreeEvent_ObjectClick" textlink="">
      <xdr:nvSpPr>
        <xdr:cNvPr id="43" name="PTObj_DBranchName_1_7"/>
        <xdr:cNvSpPr txBox="1"/>
      </xdr:nvSpPr>
      <xdr:spPr>
        <a:xfrm>
          <a:off x="3790760" y="3305032"/>
          <a:ext cx="533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Nothing</a:t>
          </a:r>
        </a:p>
      </xdr:txBody>
    </xdr:sp>
    <xdr:clientData/>
  </xdr:oneCellAnchor>
  <xdr:twoCellAnchor editAs="oneCell">
    <xdr:from>
      <xdr:col>4</xdr:col>
      <xdr:colOff>127</xdr:colOff>
      <xdr:row>28</xdr:row>
      <xdr:rowOff>75883</xdr:rowOff>
    </xdr:from>
    <xdr:to>
      <xdr:col>4</xdr:col>
      <xdr:colOff>162052</xdr:colOff>
      <xdr:row>29</xdr:row>
      <xdr:rowOff>75883</xdr:rowOff>
    </xdr:to>
    <xdr:sp macro="_xll.PtreeEvent_ObjectClick" textlink="">
      <xdr:nvSpPr>
        <xdr:cNvPr id="44" name="PTObj_DNode_1_8"/>
        <xdr:cNvSpPr/>
      </xdr:nvSpPr>
      <xdr:spPr>
        <a:xfrm rot="-5400000">
          <a:off x="5019802" y="396208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28</xdr:row>
      <xdr:rowOff>66532</xdr:rowOff>
    </xdr:from>
    <xdr:ext cx="437876" cy="180627"/>
    <xdr:sp macro="_xll.PtreeEvent_ObjectClick" textlink="">
      <xdr:nvSpPr>
        <xdr:cNvPr id="47" name="PTObj_DBranchName_1_8"/>
        <xdr:cNvSpPr txBox="1"/>
      </xdr:nvSpPr>
      <xdr:spPr>
        <a:xfrm>
          <a:off x="3790760" y="3952732"/>
          <a:ext cx="4378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Buy Feed</a:t>
          </a:r>
        </a:p>
      </xdr:txBody>
    </xdr:sp>
    <xdr:clientData/>
  </xdr:oneCellAnchor>
  <xdr:twoCellAnchor editAs="oneCell">
    <xdr:from>
      <xdr:col>4</xdr:col>
      <xdr:colOff>127</xdr:colOff>
      <xdr:row>30</xdr:row>
      <xdr:rowOff>75883</xdr:rowOff>
    </xdr:from>
    <xdr:to>
      <xdr:col>4</xdr:col>
      <xdr:colOff>162052</xdr:colOff>
      <xdr:row>31</xdr:row>
      <xdr:rowOff>75883</xdr:rowOff>
    </xdr:to>
    <xdr:sp macro="_xll.PtreeEvent_ObjectClick" textlink="">
      <xdr:nvSpPr>
        <xdr:cNvPr id="48" name="PTObj_DNode_1_9"/>
        <xdr:cNvSpPr/>
      </xdr:nvSpPr>
      <xdr:spPr>
        <a:xfrm rot="-5400000">
          <a:off x="5019802" y="428593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30</xdr:row>
      <xdr:rowOff>66532</xdr:rowOff>
    </xdr:from>
    <xdr:ext cx="591059" cy="180627"/>
    <xdr:sp macro="_xll.PtreeEvent_ObjectClick" textlink="">
      <xdr:nvSpPr>
        <xdr:cNvPr id="51" name="PTObj_DBranchName_1_9"/>
        <xdr:cNvSpPr txBox="1"/>
      </xdr:nvSpPr>
      <xdr:spPr>
        <a:xfrm>
          <a:off x="3790760" y="4276582"/>
          <a:ext cx="591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Rent Pasture</a:t>
          </a:r>
        </a:p>
      </xdr:txBody>
    </xdr:sp>
    <xdr:clientData/>
  </xdr:oneCellAnchor>
  <xdr:twoCellAnchor editAs="oneCell">
    <xdr:from>
      <xdr:col>4</xdr:col>
      <xdr:colOff>127</xdr:colOff>
      <xdr:row>12</xdr:row>
      <xdr:rowOff>75883</xdr:rowOff>
    </xdr:from>
    <xdr:to>
      <xdr:col>4</xdr:col>
      <xdr:colOff>162052</xdr:colOff>
      <xdr:row>13</xdr:row>
      <xdr:rowOff>75883</xdr:rowOff>
    </xdr:to>
    <xdr:sp macro="_xll.PtreeEvent_ObjectClick" textlink="">
      <xdr:nvSpPr>
        <xdr:cNvPr id="52" name="PTObj_DNode_1_4"/>
        <xdr:cNvSpPr/>
      </xdr:nvSpPr>
      <xdr:spPr>
        <a:xfrm>
          <a:off x="5019802" y="1695133"/>
          <a:ext cx="161925" cy="16192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266510</xdr:colOff>
      <xdr:row>12</xdr:row>
      <xdr:rowOff>66532</xdr:rowOff>
    </xdr:from>
    <xdr:ext cx="533351" cy="180627"/>
    <xdr:sp macro="_xll.PtreeEvent_ObjectClick" textlink="">
      <xdr:nvSpPr>
        <xdr:cNvPr id="55" name="PTObj_DBranchName_1_4"/>
        <xdr:cNvSpPr txBox="1"/>
      </xdr:nvSpPr>
      <xdr:spPr>
        <a:xfrm>
          <a:off x="3790760" y="1685782"/>
          <a:ext cx="533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Nothing</a:t>
          </a:r>
        </a:p>
      </xdr:txBody>
    </xdr:sp>
    <xdr:clientData/>
  </xdr:oneCellAnchor>
  <xdr:twoCellAnchor editAs="oneCell">
    <xdr:from>
      <xdr:col>5</xdr:col>
      <xdr:colOff>127</xdr:colOff>
      <xdr:row>10</xdr:row>
      <xdr:rowOff>75883</xdr:rowOff>
    </xdr:from>
    <xdr:to>
      <xdr:col>5</xdr:col>
      <xdr:colOff>162052</xdr:colOff>
      <xdr:row>11</xdr:row>
      <xdr:rowOff>75883</xdr:rowOff>
    </xdr:to>
    <xdr:sp macro="_xll.PtreeEvent_ObjectClick" textlink="">
      <xdr:nvSpPr>
        <xdr:cNvPr id="56" name="PTObj_DNode_1_10"/>
        <xdr:cNvSpPr/>
      </xdr:nvSpPr>
      <xdr:spPr>
        <a:xfrm rot="-5400000">
          <a:off x="6134227" y="169513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10</xdr:row>
      <xdr:rowOff>66532</xdr:rowOff>
    </xdr:from>
    <xdr:ext cx="710066" cy="180627"/>
    <xdr:sp macro="_xll.PtreeEvent_ObjectClick" textlink="">
      <xdr:nvSpPr>
        <xdr:cNvPr id="59" name="PTObj_DBranchName_1_10"/>
        <xdr:cNvSpPr txBox="1"/>
      </xdr:nvSpPr>
      <xdr:spPr>
        <a:xfrm>
          <a:off x="5286185" y="1685782"/>
          <a:ext cx="71006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Abates</a:t>
          </a:r>
        </a:p>
      </xdr:txBody>
    </xdr:sp>
    <xdr:clientData/>
  </xdr:oneCellAnchor>
  <xdr:twoCellAnchor editAs="oneCell">
    <xdr:from>
      <xdr:col>5</xdr:col>
      <xdr:colOff>127</xdr:colOff>
      <xdr:row>14</xdr:row>
      <xdr:rowOff>75883</xdr:rowOff>
    </xdr:from>
    <xdr:to>
      <xdr:col>5</xdr:col>
      <xdr:colOff>162052</xdr:colOff>
      <xdr:row>15</xdr:row>
      <xdr:rowOff>75883</xdr:rowOff>
    </xdr:to>
    <xdr:sp macro="_xll.PtreeEvent_ObjectClick" textlink="">
      <xdr:nvSpPr>
        <xdr:cNvPr id="60" name="PTObj_DNode_1_11"/>
        <xdr:cNvSpPr/>
      </xdr:nvSpPr>
      <xdr:spPr>
        <a:xfrm rot="-5400000">
          <a:off x="6372352" y="2342833"/>
          <a:ext cx="161925" cy="1619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266510</xdr:colOff>
      <xdr:row>14</xdr:row>
      <xdr:rowOff>66532</xdr:rowOff>
    </xdr:from>
    <xdr:ext cx="841769" cy="180627"/>
    <xdr:sp macro="_xll.PtreeEvent_ObjectClick" textlink="">
      <xdr:nvSpPr>
        <xdr:cNvPr id="63" name="PTObj_DBranchName_1_11"/>
        <xdr:cNvSpPr txBox="1"/>
      </xdr:nvSpPr>
      <xdr:spPr>
        <a:xfrm>
          <a:off x="5286185" y="2333482"/>
          <a:ext cx="84176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Drought Continues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5"/>
  <sheetViews>
    <sheetView workbookViewId="0"/>
  </sheetViews>
  <sheetFormatPr defaultColWidth="8.85546875" defaultRowHeight="12.75" x14ac:dyDescent="0.2"/>
  <cols>
    <col min="1" max="26" width="18.7109375" customWidth="1"/>
  </cols>
  <sheetData>
    <row r="1" spans="1:85" x14ac:dyDescent="0.2">
      <c r="A1" t="s">
        <v>121</v>
      </c>
      <c r="B1" t="s">
        <v>128</v>
      </c>
      <c r="C1" t="s">
        <v>125</v>
      </c>
      <c r="D1" t="s">
        <v>126</v>
      </c>
      <c r="E1" t="s">
        <v>123</v>
      </c>
      <c r="F1" t="s">
        <v>124</v>
      </c>
      <c r="G1" t="s">
        <v>140</v>
      </c>
      <c r="H1" t="s">
        <v>131</v>
      </c>
      <c r="I1" t="s">
        <v>132</v>
      </c>
      <c r="J1" t="s">
        <v>133</v>
      </c>
      <c r="K1" t="s">
        <v>134</v>
      </c>
      <c r="L1" t="s">
        <v>129</v>
      </c>
      <c r="M1" t="s">
        <v>135</v>
      </c>
      <c r="N1" t="s">
        <v>137</v>
      </c>
      <c r="O1" t="s">
        <v>141</v>
      </c>
      <c r="P1" t="s">
        <v>143</v>
      </c>
      <c r="Q1" t="s">
        <v>142</v>
      </c>
      <c r="R1" t="s">
        <v>122</v>
      </c>
      <c r="S1" t="s">
        <v>127</v>
      </c>
      <c r="Y1" t="s">
        <v>136</v>
      </c>
      <c r="Z1" t="s">
        <v>138</v>
      </c>
      <c r="AA1" t="s">
        <v>130</v>
      </c>
      <c r="AB1" t="s">
        <v>139</v>
      </c>
    </row>
    <row r="2" spans="1:85" x14ac:dyDescent="0.2">
      <c r="E2" s="120">
        <f ca="1">'Ranch Strategies'!$Q$150</f>
        <v>757629.37206874124</v>
      </c>
      <c r="S2">
        <v>1</v>
      </c>
    </row>
    <row r="3" spans="1:85" x14ac:dyDescent="0.2">
      <c r="A3" t="s">
        <v>119</v>
      </c>
      <c r="B3">
        <v>1</v>
      </c>
      <c r="C3" t="s">
        <v>120</v>
      </c>
    </row>
    <row r="4" spans="1:85" x14ac:dyDescent="0.2">
      <c r="A4" t="s">
        <v>121</v>
      </c>
      <c r="B4" t="s">
        <v>128</v>
      </c>
      <c r="C4" t="s">
        <v>125</v>
      </c>
      <c r="D4" t="s">
        <v>126</v>
      </c>
      <c r="E4" t="s">
        <v>123</v>
      </c>
      <c r="F4" t="s">
        <v>124</v>
      </c>
      <c r="G4" t="s">
        <v>140</v>
      </c>
      <c r="H4" t="s">
        <v>131</v>
      </c>
      <c r="I4" t="s">
        <v>132</v>
      </c>
      <c r="J4" t="s">
        <v>133</v>
      </c>
      <c r="K4" t="s">
        <v>134</v>
      </c>
      <c r="L4" t="s">
        <v>129</v>
      </c>
      <c r="M4" t="s">
        <v>135</v>
      </c>
      <c r="N4" t="s">
        <v>137</v>
      </c>
      <c r="O4" t="s">
        <v>141</v>
      </c>
      <c r="P4" t="s">
        <v>143</v>
      </c>
      <c r="Q4" t="s">
        <v>142</v>
      </c>
      <c r="R4" t="s">
        <v>122</v>
      </c>
      <c r="S4" t="s">
        <v>127</v>
      </c>
      <c r="Y4" t="s">
        <v>136</v>
      </c>
      <c r="Z4" t="s">
        <v>138</v>
      </c>
      <c r="AA4" t="s">
        <v>130</v>
      </c>
      <c r="AB4" t="s">
        <v>139</v>
      </c>
    </row>
    <row r="5" spans="1:85" x14ac:dyDescent="0.2">
      <c r="A5">
        <v>1</v>
      </c>
      <c r="B5" t="b">
        <v>1</v>
      </c>
      <c r="C5">
        <v>0</v>
      </c>
      <c r="D5" t="s">
        <v>145</v>
      </c>
      <c r="E5" s="130">
        <f ca="1">'Ranch Strategies'!$I$13</f>
        <v>0.70889512875856031</v>
      </c>
      <c r="F5" t="s">
        <v>144</v>
      </c>
      <c r="G5" t="s">
        <v>151</v>
      </c>
      <c r="H5" s="131" t="s">
        <v>149</v>
      </c>
      <c r="I5" s="131" t="s">
        <v>150</v>
      </c>
      <c r="J5" s="131" t="s">
        <v>147</v>
      </c>
      <c r="K5" s="131" t="s">
        <v>147</v>
      </c>
      <c r="L5" s="131" t="s">
        <v>146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109</v>
      </c>
      <c r="U5" s="131" t="s">
        <v>146</v>
      </c>
      <c r="W5">
        <v>0</v>
      </c>
      <c r="X5">
        <v>0</v>
      </c>
      <c r="Y5">
        <v>0</v>
      </c>
      <c r="Z5">
        <v>1</v>
      </c>
      <c r="AA5" t="b">
        <v>1</v>
      </c>
      <c r="AC5" s="131" t="s">
        <v>152</v>
      </c>
      <c r="AD5" s="131" t="s">
        <v>153</v>
      </c>
      <c r="AE5" s="131" t="s">
        <v>154</v>
      </c>
      <c r="AF5" s="131" t="s">
        <v>148</v>
      </c>
      <c r="AG5" s="131" t="s">
        <v>155</v>
      </c>
      <c r="AH5" s="131" t="s">
        <v>156</v>
      </c>
      <c r="AI5" s="131" t="s">
        <v>157</v>
      </c>
      <c r="BB5" s="131" t="s">
        <v>158</v>
      </c>
      <c r="BC5" s="131" t="s">
        <v>159</v>
      </c>
      <c r="BD5" s="131" t="s">
        <v>160</v>
      </c>
      <c r="BE5" s="131" t="s">
        <v>146</v>
      </c>
      <c r="BF5" s="131" t="s">
        <v>161</v>
      </c>
      <c r="BG5" s="131" t="s">
        <v>162</v>
      </c>
      <c r="BH5" s="131" t="s">
        <v>163</v>
      </c>
      <c r="CA5" t="s">
        <v>164</v>
      </c>
      <c r="CB5" t="s">
        <v>165</v>
      </c>
      <c r="CC5" t="s">
        <v>166</v>
      </c>
      <c r="CD5" t="s">
        <v>167</v>
      </c>
      <c r="CE5" t="s">
        <v>168</v>
      </c>
      <c r="CF5" t="s">
        <v>169</v>
      </c>
      <c r="CG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8"/>
  <sheetViews>
    <sheetView topLeftCell="B1" workbookViewId="0">
      <selection activeCell="B9" sqref="B9"/>
    </sheetView>
  </sheetViews>
  <sheetFormatPr defaultColWidth="9.140625" defaultRowHeight="15" x14ac:dyDescent="0.25"/>
  <cols>
    <col min="1" max="1" width="13.42578125" style="141" customWidth="1"/>
    <col min="2" max="4" width="9.140625" style="141"/>
    <col min="5" max="5" width="9.140625" style="141" customWidth="1"/>
    <col min="6" max="8" width="9.140625" style="141"/>
    <col min="9" max="10" width="9.140625" style="141" customWidth="1"/>
    <col min="11" max="16384" width="9.140625" style="141"/>
  </cols>
  <sheetData>
    <row r="1" spans="1:24" ht="15.75" thickBot="1" x14ac:dyDescent="0.3">
      <c r="A1"/>
      <c r="B1"/>
      <c r="C1"/>
      <c r="D1"/>
      <c r="P1"/>
    </row>
    <row r="2" spans="1:24" ht="15.75" thickBot="1" x14ac:dyDescent="0.3">
      <c r="A2"/>
      <c r="B2"/>
      <c r="C2"/>
      <c r="D2" t="s">
        <v>262</v>
      </c>
      <c r="E2" s="191" t="s">
        <v>253</v>
      </c>
      <c r="F2" s="222" t="s">
        <v>254</v>
      </c>
      <c r="G2" s="191" t="s">
        <v>255</v>
      </c>
      <c r="H2" s="191"/>
      <c r="K2" s="141">
        <v>2002</v>
      </c>
      <c r="L2" s="141">
        <v>2003</v>
      </c>
      <c r="M2" s="141">
        <v>2004</v>
      </c>
      <c r="N2" s="141">
        <v>2005</v>
      </c>
      <c r="O2" s="141">
        <v>2006</v>
      </c>
      <c r="P2" s="141">
        <v>2007</v>
      </c>
      <c r="Q2" s="141">
        <v>2008</v>
      </c>
      <c r="R2" s="141">
        <v>2009</v>
      </c>
      <c r="S2" s="141">
        <v>2010</v>
      </c>
      <c r="T2" s="141">
        <v>2011</v>
      </c>
      <c r="U2" s="141">
        <v>2012</v>
      </c>
    </row>
    <row r="3" spans="1:24" x14ac:dyDescent="0.25">
      <c r="A3" s="143" t="s">
        <v>186</v>
      </c>
      <c r="B3"/>
      <c r="C3"/>
      <c r="D3">
        <f ca="1">SUM(D16:O16)</f>
        <v>0.52236121052680584</v>
      </c>
      <c r="E3" s="141">
        <f ca="1">SUM(D17:O17)</f>
        <v>0.69608894391079501</v>
      </c>
      <c r="F3" s="141">
        <f ca="1">SUM(D18:O18)</f>
        <v>0.70889512875856031</v>
      </c>
      <c r="G3" s="141">
        <f ca="1">SUM(D19:O19)</f>
        <v>0.7869009834157159</v>
      </c>
      <c r="P3"/>
    </row>
    <row r="4" spans="1:24" x14ac:dyDescent="0.25">
      <c r="P4"/>
    </row>
    <row r="5" spans="1:24" x14ac:dyDescent="0.25">
      <c r="A5" s="221"/>
      <c r="P5"/>
    </row>
    <row r="6" spans="1:24" x14ac:dyDescent="0.25">
      <c r="B6"/>
      <c r="C6"/>
      <c r="D6" s="150" t="s">
        <v>173</v>
      </c>
      <c r="E6" s="150" t="s">
        <v>174</v>
      </c>
      <c r="F6" s="150" t="s">
        <v>175</v>
      </c>
      <c r="G6" s="150" t="s">
        <v>176</v>
      </c>
      <c r="H6" s="150" t="s">
        <v>177</v>
      </c>
      <c r="I6" s="150" t="s">
        <v>178</v>
      </c>
      <c r="J6" s="150" t="s">
        <v>179</v>
      </c>
      <c r="K6" s="150" t="s">
        <v>180</v>
      </c>
      <c r="L6" s="150" t="s">
        <v>181</v>
      </c>
      <c r="M6" s="150" t="s">
        <v>182</v>
      </c>
      <c r="N6" s="150" t="s">
        <v>183</v>
      </c>
      <c r="O6" s="150" t="s">
        <v>184</v>
      </c>
      <c r="P6"/>
    </row>
    <row r="7" spans="1:24" x14ac:dyDescent="0.25">
      <c r="A7" s="191" t="s">
        <v>248</v>
      </c>
      <c r="D7" s="193">
        <v>1</v>
      </c>
      <c r="E7" s="193">
        <v>2</v>
      </c>
      <c r="F7" s="193">
        <v>3</v>
      </c>
      <c r="G7" s="193">
        <v>4</v>
      </c>
      <c r="H7" s="193">
        <v>5</v>
      </c>
      <c r="I7" s="193">
        <v>6</v>
      </c>
      <c r="J7" s="193">
        <v>7</v>
      </c>
      <c r="K7" s="193">
        <v>8</v>
      </c>
      <c r="L7" s="193">
        <v>9</v>
      </c>
      <c r="M7" s="193">
        <v>10</v>
      </c>
      <c r="N7" s="193">
        <v>11</v>
      </c>
      <c r="O7" s="193">
        <v>12</v>
      </c>
      <c r="P7"/>
      <c r="X7"/>
    </row>
    <row r="8" spans="1:24" x14ac:dyDescent="0.25">
      <c r="A8" s="191" t="s">
        <v>185</v>
      </c>
      <c r="D8" s="142">
        <f>'CPER Precip'!B81</f>
        <v>0.29934210526315791</v>
      </c>
      <c r="E8" s="142">
        <f>'CPER Precip'!C81</f>
        <v>0.27960526315789486</v>
      </c>
      <c r="F8" s="142">
        <f>'CPER Precip'!D81</f>
        <v>0.72394736842105234</v>
      </c>
      <c r="G8" s="142">
        <f>'CPER Precip'!E81</f>
        <v>1.2507894736842105</v>
      </c>
      <c r="H8" s="142">
        <f>'CPER Precip'!F81</f>
        <v>2.2273684210526317</v>
      </c>
      <c r="I8" s="142">
        <f>'CPER Precip'!G81</f>
        <v>2.2528947368421059</v>
      </c>
      <c r="J8" s="142">
        <f>'CPER Precip'!H81</f>
        <v>2.0469736842105264</v>
      </c>
      <c r="K8" s="142">
        <f>'CPER Precip'!I81</f>
        <v>1.6693421052631578</v>
      </c>
      <c r="L8" s="142">
        <f>'CPER Precip'!J81</f>
        <v>1.2435064935064939</v>
      </c>
      <c r="M8" s="142">
        <f>'CPER Precip'!K81</f>
        <v>0.78220779220779235</v>
      </c>
      <c r="N8" s="142">
        <f>'CPER Precip'!L81</f>
        <v>0.39155844155844155</v>
      </c>
      <c r="O8" s="142">
        <f>'CPER Precip'!M81</f>
        <v>0.27376623376623377</v>
      </c>
      <c r="P8"/>
      <c r="Q8" s="291" t="s">
        <v>264</v>
      </c>
      <c r="X8"/>
    </row>
    <row r="9" spans="1:24" x14ac:dyDescent="0.25">
      <c r="A9" s="191" t="s">
        <v>172</v>
      </c>
      <c r="B9" s="192">
        <f ca="1">_xll.RiskSimtable(K2:U2)</f>
        <v>2002</v>
      </c>
      <c r="C9" s="192">
        <f>'Ranch Strategies'!I21</f>
        <v>6</v>
      </c>
      <c r="D9" s="141">
        <f ca="1">(VLOOKUP($B$9, 'CPER Precip'!$A$2:$M$81,D7+1))</f>
        <v>0.23</v>
      </c>
      <c r="E9" s="141">
        <f ca="1">(VLOOKUP($B$9, 'CPER Precip'!$A$2:$M$81,E7+1))</f>
        <v>0.26</v>
      </c>
      <c r="F9" s="141">
        <f ca="1">(VLOOKUP($B$9, 'CPER Precip'!$A$2:$M$81,F7+1))</f>
        <v>0.69</v>
      </c>
      <c r="G9" s="141">
        <f ca="1">(VLOOKUP($B$9, 'CPER Precip'!$A$2:$M$81,G7+1))</f>
        <v>0.32</v>
      </c>
      <c r="H9" s="141">
        <f ca="1">(VLOOKUP($B$9, 'CPER Precip'!$A$2:$M$81,H7+1))</f>
        <v>1.27</v>
      </c>
      <c r="I9" s="141">
        <f ca="1">(VLOOKUP($B$9, 'CPER Precip'!$A$2:$M$81,I7+1))</f>
        <v>1.1200000000000001</v>
      </c>
      <c r="J9" s="141">
        <f ca="1">(VLOOKUP($B$9, 'CPER Precip'!$A$2:$M$81,J7+1))</f>
        <v>1.75</v>
      </c>
      <c r="K9" s="141">
        <f ca="1">(VLOOKUP($B$9, 'CPER Precip'!$A$2:$M$81,K7+1))</f>
        <v>1.28</v>
      </c>
      <c r="L9" s="141">
        <f ca="1">(VLOOKUP($B$9, 'CPER Precip'!$A$2:$M$81,L7+1))</f>
        <v>1.46</v>
      </c>
      <c r="M9" s="141">
        <f ca="1">(VLOOKUP($B$9, 'CPER Precip'!$A$2:$M$81,M7+1))</f>
        <v>0.7</v>
      </c>
      <c r="N9" s="141">
        <f ca="1">(VLOOKUP($B$9, 'CPER Precip'!$A$2:$M$81,N7+1))</f>
        <v>0.45</v>
      </c>
      <c r="O9" s="141">
        <f ca="1">(VLOOKUP($B$9, 'CPER Precip'!$A$2:$M$81,O7+1))</f>
        <v>0.03</v>
      </c>
      <c r="P9"/>
      <c r="Q9" s="192"/>
      <c r="X9"/>
    </row>
    <row r="10" spans="1:24" x14ac:dyDescent="0.25">
      <c r="A10" s="191" t="s">
        <v>203</v>
      </c>
      <c r="D10" s="141">
        <f ca="1">D9/D8</f>
        <v>0.76835164835164838</v>
      </c>
      <c r="E10" s="141">
        <f t="shared" ref="E10:O10" ca="1" si="0">E9/E8</f>
        <v>0.92988235294117605</v>
      </c>
      <c r="F10" s="141">
        <f t="shared" ca="1" si="0"/>
        <v>0.9531079607415488</v>
      </c>
      <c r="G10" s="141">
        <f t="shared" ca="1" si="0"/>
        <v>0.25583841784136335</v>
      </c>
      <c r="H10" s="141">
        <f t="shared" ca="1" si="0"/>
        <v>0.57017958412098302</v>
      </c>
      <c r="I10" s="141">
        <f t="shared" ca="1" si="0"/>
        <v>0.49713818479149624</v>
      </c>
      <c r="J10" s="141">
        <f t="shared" ca="1" si="0"/>
        <v>0.85492061451436652</v>
      </c>
      <c r="K10" s="141">
        <f t="shared" ca="1" si="0"/>
        <v>0.76676913375896594</v>
      </c>
      <c r="L10" s="141">
        <f t="shared" ca="1" si="0"/>
        <v>1.1740992167101825</v>
      </c>
      <c r="M10" s="141">
        <f t="shared" ca="1" si="0"/>
        <v>0.89490287232276255</v>
      </c>
      <c r="N10" s="141">
        <f t="shared" ca="1" si="0"/>
        <v>1.1492537313432836</v>
      </c>
      <c r="O10" s="141">
        <f t="shared" ca="1" si="0"/>
        <v>0.10958254269449715</v>
      </c>
      <c r="P10"/>
      <c r="X10"/>
    </row>
    <row r="11" spans="1:24" x14ac:dyDescent="0.25">
      <c r="A11" s="191" t="s">
        <v>249</v>
      </c>
      <c r="D11" s="291">
        <v>0.158</v>
      </c>
      <c r="E11" s="291">
        <v>0</v>
      </c>
      <c r="F11" s="291">
        <v>0.13800000000000001</v>
      </c>
      <c r="G11" s="291">
        <v>0.39800000000000002</v>
      </c>
      <c r="H11" s="291">
        <v>0.21199999999999999</v>
      </c>
      <c r="I11" s="291">
        <v>9.4E-2</v>
      </c>
      <c r="J11" s="291">
        <v>0</v>
      </c>
      <c r="K11" s="291">
        <v>0</v>
      </c>
      <c r="L11" s="291">
        <v>0</v>
      </c>
      <c r="M11" s="291">
        <v>0</v>
      </c>
      <c r="N11" s="291">
        <v>0</v>
      </c>
      <c r="O11" s="291">
        <v>0</v>
      </c>
      <c r="P11"/>
      <c r="X11"/>
    </row>
    <row r="12" spans="1:24" x14ac:dyDescent="0.25">
      <c r="A12" s="191" t="s">
        <v>250</v>
      </c>
      <c r="D12" s="301">
        <v>0.01</v>
      </c>
      <c r="E12" s="301">
        <v>0.01</v>
      </c>
      <c r="F12" s="301">
        <v>4.0476937558832769E-2</v>
      </c>
      <c r="G12" s="301">
        <v>0.11</v>
      </c>
      <c r="H12" s="301">
        <v>0.16</v>
      </c>
      <c r="I12" s="301">
        <v>0.21</v>
      </c>
      <c r="J12" s="301">
        <v>0.16</v>
      </c>
      <c r="K12" s="301">
        <v>9.6015061186068409E-2</v>
      </c>
      <c r="L12" s="301">
        <v>0.105</v>
      </c>
      <c r="M12" s="301">
        <v>7.8757452149356769E-2</v>
      </c>
      <c r="N12" s="301">
        <v>0.01</v>
      </c>
      <c r="O12" s="301">
        <v>0.01</v>
      </c>
      <c r="P12"/>
      <c r="X12"/>
    </row>
    <row r="13" spans="1:24" x14ac:dyDescent="0.25">
      <c r="A13" s="191" t="s">
        <v>251</v>
      </c>
      <c r="D13" s="302">
        <v>0.01</v>
      </c>
      <c r="E13" s="303">
        <v>0.01</v>
      </c>
      <c r="F13" s="303">
        <v>4.4999999999999998E-2</v>
      </c>
      <c r="G13" s="303">
        <v>0.08</v>
      </c>
      <c r="H13" s="303">
        <v>0.17</v>
      </c>
      <c r="I13" s="303">
        <v>0.21</v>
      </c>
      <c r="J13" s="303">
        <v>0.16500000000000001</v>
      </c>
      <c r="K13" s="303">
        <v>0.13</v>
      </c>
      <c r="L13" s="303">
        <v>0.11</v>
      </c>
      <c r="M13" s="303">
        <v>0.05</v>
      </c>
      <c r="N13" s="303">
        <v>0.01</v>
      </c>
      <c r="O13" s="303">
        <v>0.01</v>
      </c>
      <c r="X13"/>
    </row>
    <row r="14" spans="1:24" x14ac:dyDescent="0.25">
      <c r="A14" s="191" t="s">
        <v>252</v>
      </c>
      <c r="D14" s="304">
        <v>0.01</v>
      </c>
      <c r="E14" s="304">
        <v>0.01</v>
      </c>
      <c r="F14" s="304">
        <v>3.7970000000000004E-2</v>
      </c>
      <c r="G14" s="304">
        <v>4.2050000000000004E-2</v>
      </c>
      <c r="H14" s="304">
        <v>7.4999999999999997E-2</v>
      </c>
      <c r="I14" s="304">
        <v>0.12</v>
      </c>
      <c r="J14" s="304">
        <v>0.25</v>
      </c>
      <c r="K14" s="304">
        <v>0.24</v>
      </c>
      <c r="L14" s="304">
        <v>0.12797</v>
      </c>
      <c r="M14" s="304">
        <v>6.7000000000000004E-2</v>
      </c>
      <c r="N14" s="304">
        <v>0.01</v>
      </c>
      <c r="O14" s="304">
        <v>0.01</v>
      </c>
      <c r="X14"/>
    </row>
    <row r="15" spans="1:24" ht="15.75" x14ac:dyDescent="0.25">
      <c r="A15" s="191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X15"/>
    </row>
    <row r="16" spans="1:24" x14ac:dyDescent="0.25">
      <c r="A16" s="347" t="s">
        <v>274</v>
      </c>
      <c r="D16" s="141">
        <f ca="1">D11*D$10</f>
        <v>0.12139956043956045</v>
      </c>
      <c r="E16" s="141">
        <f t="shared" ref="E16:O16" ca="1" si="1">E11*E$10</f>
        <v>0</v>
      </c>
      <c r="F16" s="141">
        <f t="shared" ca="1" si="1"/>
        <v>0.13152889858233374</v>
      </c>
      <c r="G16" s="141">
        <f t="shared" ca="1" si="1"/>
        <v>0.10182369030086262</v>
      </c>
      <c r="H16" s="141">
        <f t="shared" ca="1" si="1"/>
        <v>0.12087807183364839</v>
      </c>
      <c r="I16" s="141">
        <f t="shared" ca="1" si="1"/>
        <v>4.6730989370400648E-2</v>
      </c>
      <c r="J16" s="141">
        <f t="shared" ca="1" si="1"/>
        <v>0</v>
      </c>
      <c r="K16" s="141">
        <f t="shared" ca="1" si="1"/>
        <v>0</v>
      </c>
      <c r="L16" s="141">
        <f t="shared" ca="1" si="1"/>
        <v>0</v>
      </c>
      <c r="M16" s="141">
        <f t="shared" ca="1" si="1"/>
        <v>0</v>
      </c>
      <c r="N16" s="141">
        <f t="shared" ca="1" si="1"/>
        <v>0</v>
      </c>
      <c r="O16" s="141">
        <f t="shared" ca="1" si="1"/>
        <v>0</v>
      </c>
      <c r="X16"/>
    </row>
    <row r="17" spans="1:24" x14ac:dyDescent="0.25">
      <c r="A17" s="347" t="s">
        <v>275</v>
      </c>
      <c r="D17" s="141">
        <f ca="1">D12*D$10</f>
        <v>7.6835164835164843E-3</v>
      </c>
      <c r="E17" s="141">
        <f t="shared" ref="E17:O17" ca="1" si="2">E12*E$10</f>
        <v>9.2988235294117604E-3</v>
      </c>
      <c r="F17" s="141">
        <f t="shared" ca="1" si="2"/>
        <v>3.8578891413762105E-2</v>
      </c>
      <c r="G17" s="141">
        <f t="shared" ca="1" si="2"/>
        <v>2.814222596254997E-2</v>
      </c>
      <c r="H17" s="141">
        <f t="shared" ca="1" si="2"/>
        <v>9.1228733459357281E-2</v>
      </c>
      <c r="I17" s="141">
        <f t="shared" ca="1" si="2"/>
        <v>0.1043990188062142</v>
      </c>
      <c r="J17" s="141">
        <f t="shared" ca="1" si="2"/>
        <v>0.13678729832229863</v>
      </c>
      <c r="K17" s="141">
        <f t="shared" ca="1" si="2"/>
        <v>7.3621385293455785E-2</v>
      </c>
      <c r="L17" s="141">
        <f t="shared" ca="1" si="2"/>
        <v>0.12328041775456916</v>
      </c>
      <c r="M17" s="141">
        <f t="shared" ca="1" si="2"/>
        <v>7.0480270145281895E-2</v>
      </c>
      <c r="N17" s="141">
        <f t="shared" ca="1" si="2"/>
        <v>1.1492537313432836E-2</v>
      </c>
      <c r="O17" s="141">
        <f t="shared" ca="1" si="2"/>
        <v>1.0958254269449715E-3</v>
      </c>
      <c r="X17"/>
    </row>
    <row r="18" spans="1:24" x14ac:dyDescent="0.25">
      <c r="A18" s="347" t="s">
        <v>276</v>
      </c>
      <c r="D18" s="141">
        <f ca="1">D13*D$10</f>
        <v>7.6835164835164843E-3</v>
      </c>
      <c r="E18" s="141">
        <f t="shared" ref="E18:O18" ca="1" si="3">E13*E$10</f>
        <v>9.2988235294117604E-3</v>
      </c>
      <c r="F18" s="141">
        <f t="shared" ca="1" si="3"/>
        <v>4.2889858233369695E-2</v>
      </c>
      <c r="G18" s="141">
        <f t="shared" ca="1" si="3"/>
        <v>2.0467073427309069E-2</v>
      </c>
      <c r="H18" s="141">
        <f t="shared" ca="1" si="3"/>
        <v>9.6930529300567114E-2</v>
      </c>
      <c r="I18" s="141">
        <f t="shared" ca="1" si="3"/>
        <v>0.1043990188062142</v>
      </c>
      <c r="J18" s="141">
        <f t="shared" ca="1" si="3"/>
        <v>0.14106190139487049</v>
      </c>
      <c r="K18" s="141">
        <f t="shared" ca="1" si="3"/>
        <v>9.967998738866557E-2</v>
      </c>
      <c r="L18" s="141">
        <f t="shared" ca="1" si="3"/>
        <v>0.12915091383812008</v>
      </c>
      <c r="M18" s="141">
        <f t="shared" ca="1" si="3"/>
        <v>4.4745143616138128E-2</v>
      </c>
      <c r="N18" s="141">
        <f t="shared" ca="1" si="3"/>
        <v>1.1492537313432836E-2</v>
      </c>
      <c r="O18" s="141">
        <f t="shared" ca="1" si="3"/>
        <v>1.0958254269449715E-3</v>
      </c>
      <c r="X18"/>
    </row>
    <row r="19" spans="1:24" x14ac:dyDescent="0.25">
      <c r="A19" s="347" t="s">
        <v>277</v>
      </c>
      <c r="D19" s="141">
        <f ca="1">D14*D$10</f>
        <v>7.6835164835164843E-3</v>
      </c>
      <c r="E19" s="141">
        <f t="shared" ref="E19:O19" ca="1" si="4">E14*E$10</f>
        <v>9.2988235294117604E-3</v>
      </c>
      <c r="F19" s="141">
        <f t="shared" ca="1" si="4"/>
        <v>3.6189509269356608E-2</v>
      </c>
      <c r="G19" s="141">
        <f t="shared" ca="1" si="4"/>
        <v>1.075800547022933E-2</v>
      </c>
      <c r="H19" s="141">
        <f t="shared" ca="1" si="4"/>
        <v>4.2763468809073724E-2</v>
      </c>
      <c r="I19" s="141">
        <f t="shared" ca="1" si="4"/>
        <v>5.9656582174979544E-2</v>
      </c>
      <c r="J19" s="141">
        <f t="shared" ca="1" si="4"/>
        <v>0.21373015362859163</v>
      </c>
      <c r="K19" s="141">
        <f t="shared" ca="1" si="4"/>
        <v>0.18402459210215183</v>
      </c>
      <c r="L19" s="141">
        <f t="shared" ca="1" si="4"/>
        <v>0.15024947676240205</v>
      </c>
      <c r="M19" s="141">
        <f t="shared" ca="1" si="4"/>
        <v>5.9958492445625095E-2</v>
      </c>
      <c r="N19" s="141">
        <f t="shared" ca="1" si="4"/>
        <v>1.1492537313432836E-2</v>
      </c>
      <c r="O19" s="141">
        <f t="shared" ca="1" si="4"/>
        <v>1.0958254269449715E-3</v>
      </c>
      <c r="X19"/>
    </row>
    <row r="20" spans="1:24" x14ac:dyDescent="0.25">
      <c r="X20"/>
    </row>
    <row r="21" spans="1: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conditionalFormatting sqref="B9">
    <cfRule type="expression" dxfId="14" priority="1" stopIfTrue="1">
      <formula>RiskIsInput</formula>
    </cfRule>
  </conditionalFormatting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83"/>
  <sheetViews>
    <sheetView topLeftCell="A64" zoomScale="125" zoomScaleNormal="125" zoomScalePageLayoutView="125" workbookViewId="0">
      <selection activeCell="D76" sqref="D76"/>
    </sheetView>
  </sheetViews>
  <sheetFormatPr defaultColWidth="9.140625" defaultRowHeight="12.75" x14ac:dyDescent="0.2"/>
  <cols>
    <col min="1" max="1" width="12.42578125" style="144" customWidth="1"/>
    <col min="2" max="13" width="5.7109375" style="144" customWidth="1"/>
    <col min="14" max="14" width="6.42578125" style="144" customWidth="1"/>
    <col min="15" max="16384" width="9.140625" style="144"/>
  </cols>
  <sheetData>
    <row r="1" spans="1:16" x14ac:dyDescent="0.2">
      <c r="A1" s="144" t="s">
        <v>187</v>
      </c>
      <c r="B1" s="368"/>
      <c r="C1" s="368"/>
      <c r="D1" s="368"/>
      <c r="E1" s="368"/>
      <c r="F1" s="368"/>
      <c r="G1" s="368"/>
      <c r="H1" s="368"/>
      <c r="I1" s="368"/>
      <c r="J1" s="368"/>
    </row>
    <row r="2" spans="1:16" x14ac:dyDescent="0.2">
      <c r="A2" s="144" t="s">
        <v>172</v>
      </c>
      <c r="B2" s="145" t="s">
        <v>188</v>
      </c>
      <c r="C2" s="145" t="s">
        <v>189</v>
      </c>
      <c r="D2" s="145" t="s">
        <v>190</v>
      </c>
      <c r="E2" s="145" t="s">
        <v>191</v>
      </c>
      <c r="F2" s="145" t="s">
        <v>192</v>
      </c>
      <c r="G2" s="145" t="s">
        <v>193</v>
      </c>
      <c r="H2" s="145" t="s">
        <v>194</v>
      </c>
      <c r="I2" s="145" t="s">
        <v>195</v>
      </c>
      <c r="J2" s="145" t="s">
        <v>196</v>
      </c>
      <c r="K2" s="145" t="s">
        <v>197</v>
      </c>
      <c r="L2" s="145" t="s">
        <v>198</v>
      </c>
      <c r="M2" s="145" t="s">
        <v>199</v>
      </c>
      <c r="N2" s="144" t="s">
        <v>57</v>
      </c>
    </row>
    <row r="3" spans="1:16" x14ac:dyDescent="0.2">
      <c r="A3" s="144">
        <v>1939</v>
      </c>
      <c r="B3" s="146">
        <v>0.15</v>
      </c>
      <c r="C3" s="146">
        <v>0.37</v>
      </c>
      <c r="D3" s="146">
        <v>1.1599999999999999</v>
      </c>
      <c r="E3" s="146">
        <v>0.54</v>
      </c>
      <c r="F3" s="146">
        <v>1.17</v>
      </c>
      <c r="G3" s="146">
        <v>0.66</v>
      </c>
      <c r="H3" s="146">
        <v>0.44</v>
      </c>
      <c r="I3" s="146">
        <v>0.48</v>
      </c>
      <c r="J3" s="146">
        <v>0.16</v>
      </c>
      <c r="K3" s="146">
        <v>0</v>
      </c>
      <c r="L3" s="146">
        <v>0</v>
      </c>
      <c r="M3" s="146">
        <v>7.0000000000000007E-2</v>
      </c>
      <c r="N3" s="146">
        <f>SUM(B3:M3)</f>
        <v>5.2000000000000011</v>
      </c>
    </row>
    <row r="4" spans="1:16" x14ac:dyDescent="0.2">
      <c r="A4" s="144">
        <v>1940</v>
      </c>
      <c r="B4" s="146">
        <v>1.05</v>
      </c>
      <c r="C4" s="146">
        <v>0.25</v>
      </c>
      <c r="D4" s="146">
        <v>0.46</v>
      </c>
      <c r="E4" s="146">
        <v>0.73</v>
      </c>
      <c r="F4" s="146">
        <v>2.65</v>
      </c>
      <c r="G4" s="146">
        <v>0.86</v>
      </c>
      <c r="H4" s="146">
        <v>2.77</v>
      </c>
      <c r="I4" s="146">
        <v>0.93</v>
      </c>
      <c r="J4" s="146">
        <v>4.54</v>
      </c>
      <c r="K4" s="146">
        <v>0.24</v>
      </c>
      <c r="L4" s="146">
        <v>0.27</v>
      </c>
      <c r="M4" s="146">
        <v>0.06</v>
      </c>
      <c r="N4" s="146">
        <f t="shared" ref="N4:N67" si="0">SUM(B4:M4)</f>
        <v>14.810000000000002</v>
      </c>
    </row>
    <row r="5" spans="1:16" x14ac:dyDescent="0.2">
      <c r="A5" s="144">
        <v>1941</v>
      </c>
      <c r="B5" s="146">
        <v>0.21</v>
      </c>
      <c r="C5" s="146">
        <v>0.05</v>
      </c>
      <c r="D5" s="146">
        <v>0.65</v>
      </c>
      <c r="E5" s="146">
        <v>2.8</v>
      </c>
      <c r="F5" s="146">
        <v>1.73</v>
      </c>
      <c r="G5" s="146">
        <v>5.42</v>
      </c>
      <c r="H5" s="146">
        <v>3.78</v>
      </c>
      <c r="I5" s="146">
        <v>2.71</v>
      </c>
      <c r="J5" s="146">
        <v>1.35</v>
      </c>
      <c r="K5" s="146">
        <v>0.83</v>
      </c>
      <c r="L5" s="146">
        <v>0.22</v>
      </c>
      <c r="M5" s="146">
        <v>0.06</v>
      </c>
      <c r="N5" s="146">
        <f t="shared" si="0"/>
        <v>19.809999999999995</v>
      </c>
    </row>
    <row r="6" spans="1:16" x14ac:dyDescent="0.2">
      <c r="A6" s="144">
        <v>1942</v>
      </c>
      <c r="B6" s="146">
        <v>0.23</v>
      </c>
      <c r="C6" s="146">
        <v>0.46</v>
      </c>
      <c r="D6" s="146">
        <v>0</v>
      </c>
      <c r="E6" s="146">
        <v>1.6</v>
      </c>
      <c r="F6" s="146">
        <v>2.2599999999999998</v>
      </c>
      <c r="G6" s="146">
        <v>2.38</v>
      </c>
      <c r="H6" s="146">
        <v>0.94</v>
      </c>
      <c r="I6" s="146">
        <v>0.15</v>
      </c>
      <c r="J6" s="146">
        <v>0.38</v>
      </c>
      <c r="K6" s="146">
        <v>2.96</v>
      </c>
      <c r="L6" s="146">
        <v>0.33</v>
      </c>
      <c r="M6" s="146">
        <v>0</v>
      </c>
      <c r="N6" s="146">
        <f t="shared" si="0"/>
        <v>11.69</v>
      </c>
    </row>
    <row r="7" spans="1:16" x14ac:dyDescent="0.2">
      <c r="A7" s="144">
        <v>1943</v>
      </c>
      <c r="B7" s="146">
        <v>0</v>
      </c>
      <c r="C7" s="146">
        <v>0.5</v>
      </c>
      <c r="D7" s="146">
        <v>0.42</v>
      </c>
      <c r="E7" s="146">
        <v>0.95</v>
      </c>
      <c r="F7" s="146">
        <v>2.73</v>
      </c>
      <c r="G7" s="146">
        <v>1.61</v>
      </c>
      <c r="H7" s="146">
        <v>0.45</v>
      </c>
      <c r="I7" s="146">
        <v>0.49</v>
      </c>
      <c r="J7" s="146">
        <v>0.15</v>
      </c>
      <c r="K7" s="146">
        <v>0.09</v>
      </c>
      <c r="L7" s="146">
        <v>0.04</v>
      </c>
      <c r="M7" s="146">
        <v>0.02</v>
      </c>
      <c r="N7" s="146">
        <f t="shared" si="0"/>
        <v>7.45</v>
      </c>
      <c r="O7" s="144" t="s">
        <v>200</v>
      </c>
      <c r="P7" s="147"/>
    </row>
    <row r="8" spans="1:16" x14ac:dyDescent="0.2">
      <c r="A8" s="144">
        <v>1944</v>
      </c>
      <c r="B8" s="146">
        <v>0.25</v>
      </c>
      <c r="C8" s="146">
        <v>0.19</v>
      </c>
      <c r="D8" s="146">
        <v>1.1499999999999999</v>
      </c>
      <c r="E8" s="146">
        <v>2.17</v>
      </c>
      <c r="F8" s="146">
        <v>0.89</v>
      </c>
      <c r="G8" s="146">
        <v>0.72</v>
      </c>
      <c r="H8" s="146">
        <v>2.15</v>
      </c>
      <c r="I8" s="146">
        <v>0.35</v>
      </c>
      <c r="J8" s="146">
        <v>0.3</v>
      </c>
      <c r="K8" s="146">
        <v>0</v>
      </c>
      <c r="L8" s="146">
        <v>0</v>
      </c>
      <c r="M8" s="146">
        <v>0</v>
      </c>
      <c r="N8" s="146">
        <f t="shared" si="0"/>
        <v>8.17</v>
      </c>
    </row>
    <row r="9" spans="1:16" x14ac:dyDescent="0.2">
      <c r="A9" s="144">
        <v>1945</v>
      </c>
      <c r="B9" s="146">
        <v>0.63</v>
      </c>
      <c r="C9" s="146">
        <v>0.08</v>
      </c>
      <c r="D9" s="146">
        <v>0.3</v>
      </c>
      <c r="E9" s="146">
        <v>1.62</v>
      </c>
      <c r="F9" s="146">
        <v>1.08</v>
      </c>
      <c r="G9" s="146">
        <v>2.94</v>
      </c>
      <c r="H9" s="146">
        <v>0.84</v>
      </c>
      <c r="I9" s="146">
        <v>2.5299999999999998</v>
      </c>
      <c r="J9" s="146">
        <v>1.49</v>
      </c>
      <c r="K9" s="146">
        <v>0.59</v>
      </c>
      <c r="L9" s="146">
        <v>0.15</v>
      </c>
      <c r="M9" s="146">
        <v>0.02</v>
      </c>
      <c r="N9" s="146">
        <f t="shared" si="0"/>
        <v>12.27</v>
      </c>
    </row>
    <row r="10" spans="1:16" x14ac:dyDescent="0.2">
      <c r="A10" s="144">
        <v>1946</v>
      </c>
      <c r="B10" s="146">
        <v>0</v>
      </c>
      <c r="C10" s="146">
        <v>7.0000000000000007E-2</v>
      </c>
      <c r="D10" s="146">
        <v>0.66</v>
      </c>
      <c r="E10" s="146">
        <v>0.09</v>
      </c>
      <c r="F10" s="146">
        <v>2.4</v>
      </c>
      <c r="G10" s="146">
        <v>0.86</v>
      </c>
      <c r="H10" s="146">
        <v>2.19</v>
      </c>
      <c r="I10" s="146">
        <v>2.72</v>
      </c>
      <c r="J10" s="146">
        <v>0.16</v>
      </c>
      <c r="K10" s="146">
        <v>2.25</v>
      </c>
      <c r="L10" s="146">
        <v>0.39</v>
      </c>
      <c r="M10" s="146">
        <v>0</v>
      </c>
      <c r="N10" s="146">
        <f t="shared" si="0"/>
        <v>11.790000000000001</v>
      </c>
    </row>
    <row r="11" spans="1:16" x14ac:dyDescent="0.2">
      <c r="A11" s="144">
        <v>1947</v>
      </c>
      <c r="B11" s="146">
        <v>0.22</v>
      </c>
      <c r="C11" s="146">
        <v>0.5</v>
      </c>
      <c r="D11" s="146">
        <v>0.83</v>
      </c>
      <c r="E11" s="146">
        <v>0.79</v>
      </c>
      <c r="F11" s="146">
        <v>1.94</v>
      </c>
      <c r="G11" s="146">
        <v>4</v>
      </c>
      <c r="H11" s="146">
        <v>3.14</v>
      </c>
      <c r="I11" s="146">
        <v>1.02</v>
      </c>
      <c r="J11" s="146">
        <v>0.96</v>
      </c>
      <c r="K11" s="146">
        <v>1.6</v>
      </c>
      <c r="L11" s="146">
        <v>0.28999999999999998</v>
      </c>
      <c r="M11" s="146">
        <v>0.14000000000000001</v>
      </c>
      <c r="N11" s="146">
        <f t="shared" si="0"/>
        <v>15.429999999999998</v>
      </c>
    </row>
    <row r="12" spans="1:16" x14ac:dyDescent="0.2">
      <c r="A12" s="144">
        <v>1948</v>
      </c>
      <c r="B12" s="146">
        <v>0.19</v>
      </c>
      <c r="C12" s="146">
        <v>0.32</v>
      </c>
      <c r="D12" s="146">
        <v>0.33</v>
      </c>
      <c r="E12" s="146">
        <v>0.35</v>
      </c>
      <c r="F12" s="146">
        <v>0.54</v>
      </c>
      <c r="G12" s="146">
        <v>2.04</v>
      </c>
      <c r="H12" s="146">
        <v>1.36</v>
      </c>
      <c r="I12" s="146">
        <v>1.66</v>
      </c>
      <c r="J12" s="146">
        <v>0.22</v>
      </c>
      <c r="K12" s="146">
        <v>0.28999999999999998</v>
      </c>
      <c r="L12" s="146">
        <v>0.17</v>
      </c>
      <c r="M12" s="146">
        <v>0.45</v>
      </c>
      <c r="N12" s="146">
        <f t="shared" si="0"/>
        <v>7.92</v>
      </c>
    </row>
    <row r="13" spans="1:16" x14ac:dyDescent="0.2">
      <c r="A13" s="144">
        <v>1949</v>
      </c>
      <c r="B13" s="146">
        <v>1.1100000000000001</v>
      </c>
      <c r="C13" s="146">
        <v>0</v>
      </c>
      <c r="D13" s="146">
        <v>0.77</v>
      </c>
      <c r="E13" s="146">
        <v>0.81</v>
      </c>
      <c r="F13" s="146">
        <v>3.67</v>
      </c>
      <c r="G13" s="146">
        <v>3.72</v>
      </c>
      <c r="H13" s="146">
        <v>1.33</v>
      </c>
      <c r="I13" s="146">
        <v>1.1100000000000001</v>
      </c>
      <c r="J13" s="146">
        <v>0.22</v>
      </c>
      <c r="K13" s="146">
        <v>0.68</v>
      </c>
      <c r="L13" s="146">
        <v>0.1</v>
      </c>
      <c r="M13" s="146">
        <v>0</v>
      </c>
      <c r="N13" s="146">
        <f t="shared" si="0"/>
        <v>13.52</v>
      </c>
    </row>
    <row r="14" spans="1:16" x14ac:dyDescent="0.2">
      <c r="A14" s="144">
        <v>1950</v>
      </c>
      <c r="B14" s="146">
        <v>0.32</v>
      </c>
      <c r="C14" s="146">
        <v>0.14000000000000001</v>
      </c>
      <c r="D14" s="146">
        <v>0.17</v>
      </c>
      <c r="E14" s="146">
        <v>0.96</v>
      </c>
      <c r="F14" s="146">
        <v>1.8</v>
      </c>
      <c r="G14" s="146">
        <v>1.19</v>
      </c>
      <c r="H14" s="146">
        <v>3.63</v>
      </c>
      <c r="I14" s="146">
        <v>0.7</v>
      </c>
      <c r="J14" s="146">
        <v>2.4700000000000002</v>
      </c>
      <c r="K14" s="146">
        <v>0.23</v>
      </c>
      <c r="L14" s="146">
        <v>0.39</v>
      </c>
      <c r="M14" s="146">
        <v>0</v>
      </c>
      <c r="N14" s="146">
        <f t="shared" si="0"/>
        <v>12.000000000000002</v>
      </c>
    </row>
    <row r="15" spans="1:16" x14ac:dyDescent="0.2">
      <c r="A15" s="144">
        <v>1951</v>
      </c>
      <c r="B15" s="146">
        <v>0.3</v>
      </c>
      <c r="C15" s="146">
        <v>0.24</v>
      </c>
      <c r="D15" s="146">
        <v>0.19</v>
      </c>
      <c r="E15" s="146">
        <v>0.93</v>
      </c>
      <c r="F15" s="146">
        <v>3.14</v>
      </c>
      <c r="G15" s="146">
        <v>1.67</v>
      </c>
      <c r="H15" s="146">
        <v>1.27</v>
      </c>
      <c r="I15" s="146">
        <v>2.38</v>
      </c>
      <c r="J15" s="146">
        <v>0.64</v>
      </c>
      <c r="K15" s="146">
        <v>1.91</v>
      </c>
      <c r="L15" s="146">
        <v>0.24</v>
      </c>
      <c r="M15" s="146">
        <v>0.2</v>
      </c>
      <c r="N15" s="146">
        <f t="shared" si="0"/>
        <v>13.110000000000001</v>
      </c>
    </row>
    <row r="16" spans="1:16" x14ac:dyDescent="0.2">
      <c r="A16" s="144">
        <v>1952</v>
      </c>
      <c r="B16" s="146">
        <v>0</v>
      </c>
      <c r="C16" s="146">
        <v>0.05</v>
      </c>
      <c r="D16" s="146">
        <v>1.1200000000000001</v>
      </c>
      <c r="E16" s="146">
        <v>0.91</v>
      </c>
      <c r="F16" s="146">
        <v>2.99</v>
      </c>
      <c r="G16" s="146">
        <v>2.91</v>
      </c>
      <c r="H16" s="146">
        <v>1.35</v>
      </c>
      <c r="I16" s="146">
        <v>4.04</v>
      </c>
      <c r="J16" s="146">
        <v>0.28000000000000003</v>
      </c>
      <c r="K16" s="146">
        <v>0.08</v>
      </c>
      <c r="L16" s="146">
        <v>0.26</v>
      </c>
      <c r="M16" s="146">
        <v>0.04</v>
      </c>
      <c r="N16" s="146">
        <f t="shared" si="0"/>
        <v>14.03</v>
      </c>
    </row>
    <row r="17" spans="1:14" x14ac:dyDescent="0.2">
      <c r="A17" s="144">
        <v>1953</v>
      </c>
      <c r="B17" s="146">
        <v>0.04</v>
      </c>
      <c r="C17" s="146">
        <v>0.22</v>
      </c>
      <c r="D17" s="146">
        <v>0.53</v>
      </c>
      <c r="E17" s="146">
        <v>1.1499999999999999</v>
      </c>
      <c r="F17" s="146">
        <v>1.67</v>
      </c>
      <c r="G17" s="146">
        <v>1.87</v>
      </c>
      <c r="H17" s="146">
        <v>2.2999999999999998</v>
      </c>
      <c r="I17" s="146">
        <v>3.26</v>
      </c>
      <c r="J17" s="146">
        <v>0.26</v>
      </c>
      <c r="K17" s="146">
        <v>0.21</v>
      </c>
      <c r="L17" s="146">
        <v>0.39</v>
      </c>
      <c r="M17" s="146">
        <v>0.06</v>
      </c>
      <c r="N17" s="146">
        <f t="shared" si="0"/>
        <v>11.96</v>
      </c>
    </row>
    <row r="18" spans="1:14" x14ac:dyDescent="0.2">
      <c r="A18" s="144">
        <v>1954</v>
      </c>
      <c r="B18" s="146">
        <v>0.08</v>
      </c>
      <c r="C18" s="146">
        <v>0</v>
      </c>
      <c r="D18" s="146">
        <v>0.65</v>
      </c>
      <c r="E18" s="146">
        <v>0.12</v>
      </c>
      <c r="F18" s="146">
        <v>0.63</v>
      </c>
      <c r="G18" s="146">
        <v>0.78</v>
      </c>
      <c r="H18" s="146">
        <v>0.54</v>
      </c>
      <c r="I18" s="146">
        <v>1.1499999999999999</v>
      </c>
      <c r="J18" s="146">
        <v>0.38</v>
      </c>
      <c r="K18" s="146">
        <v>0.04</v>
      </c>
      <c r="L18" s="146">
        <v>0.33</v>
      </c>
      <c r="M18" s="146">
        <v>0.21</v>
      </c>
      <c r="N18" s="146">
        <f t="shared" si="0"/>
        <v>4.91</v>
      </c>
    </row>
    <row r="19" spans="1:14" x14ac:dyDescent="0.2">
      <c r="A19" s="144">
        <v>1955</v>
      </c>
      <c r="B19" s="146">
        <v>0.44</v>
      </c>
      <c r="C19" s="146">
        <v>0.42</v>
      </c>
      <c r="D19" s="146">
        <v>0.39</v>
      </c>
      <c r="E19" s="146">
        <v>0.74</v>
      </c>
      <c r="F19" s="146">
        <v>1.48</v>
      </c>
      <c r="G19" s="146">
        <v>2.5499999999999998</v>
      </c>
      <c r="H19" s="146">
        <v>0.66</v>
      </c>
      <c r="I19" s="146">
        <v>2.96</v>
      </c>
      <c r="J19" s="146">
        <v>2.0299999999999998</v>
      </c>
      <c r="K19" s="146">
        <v>0.16</v>
      </c>
      <c r="L19" s="146">
        <v>1.05</v>
      </c>
      <c r="M19" s="146">
        <v>0.2</v>
      </c>
      <c r="N19" s="146">
        <f t="shared" si="0"/>
        <v>13.08</v>
      </c>
    </row>
    <row r="20" spans="1:14" x14ac:dyDescent="0.2">
      <c r="A20" s="144">
        <v>1956</v>
      </c>
      <c r="B20" s="146">
        <v>0.37</v>
      </c>
      <c r="C20" s="146">
        <v>0.06</v>
      </c>
      <c r="D20" s="146">
        <v>0.3</v>
      </c>
      <c r="E20" s="146">
        <v>0.86</v>
      </c>
      <c r="F20" s="146">
        <v>1.58</v>
      </c>
      <c r="G20" s="146">
        <v>1.79</v>
      </c>
      <c r="H20" s="146">
        <v>1.5</v>
      </c>
      <c r="I20" s="146">
        <v>2.3199999999999998</v>
      </c>
      <c r="J20" s="146">
        <v>0.02</v>
      </c>
      <c r="K20" s="146">
        <v>0</v>
      </c>
      <c r="L20" s="146">
        <v>0.45</v>
      </c>
      <c r="M20" s="146">
        <v>0.47</v>
      </c>
      <c r="N20" s="146">
        <f t="shared" si="0"/>
        <v>9.7199999999999989</v>
      </c>
    </row>
    <row r="21" spans="1:14" x14ac:dyDescent="0.2">
      <c r="A21" s="144">
        <v>1957</v>
      </c>
      <c r="B21" s="146">
        <v>0.27</v>
      </c>
      <c r="C21" s="146">
        <v>0</v>
      </c>
      <c r="D21" s="146">
        <v>0.44</v>
      </c>
      <c r="E21" s="146">
        <v>1.99</v>
      </c>
      <c r="F21" s="146">
        <v>5.88</v>
      </c>
      <c r="G21" s="146">
        <v>1.89</v>
      </c>
      <c r="H21" s="146">
        <v>1.4</v>
      </c>
      <c r="I21" s="146">
        <v>2.1800000000000002</v>
      </c>
      <c r="J21" s="146">
        <v>0.64</v>
      </c>
      <c r="K21" s="146">
        <v>1.45</v>
      </c>
      <c r="L21" s="146">
        <v>0.43</v>
      </c>
      <c r="M21" s="146">
        <v>0</v>
      </c>
      <c r="N21" s="146">
        <f t="shared" si="0"/>
        <v>16.57</v>
      </c>
    </row>
    <row r="22" spans="1:14" x14ac:dyDescent="0.2">
      <c r="A22" s="144">
        <v>1958</v>
      </c>
      <c r="B22" s="146">
        <v>0</v>
      </c>
      <c r="C22" s="146">
        <v>0.51</v>
      </c>
      <c r="D22" s="146">
        <v>1.25</v>
      </c>
      <c r="E22" s="146">
        <v>1.1200000000000001</v>
      </c>
      <c r="F22" s="146">
        <v>3.1</v>
      </c>
      <c r="G22" s="146">
        <v>1.45</v>
      </c>
      <c r="H22" s="146">
        <v>3.52</v>
      </c>
      <c r="I22" s="146">
        <v>0.23</v>
      </c>
      <c r="J22" s="146">
        <v>0.51</v>
      </c>
      <c r="K22" s="146">
        <v>0.26</v>
      </c>
      <c r="L22" s="146">
        <v>0.17</v>
      </c>
      <c r="M22" s="146">
        <v>1.1499999999999999</v>
      </c>
      <c r="N22" s="146">
        <f t="shared" si="0"/>
        <v>13.270000000000001</v>
      </c>
    </row>
    <row r="23" spans="1:14" x14ac:dyDescent="0.2">
      <c r="A23" s="144">
        <v>1959</v>
      </c>
      <c r="B23" s="146">
        <v>0.35</v>
      </c>
      <c r="C23" s="146">
        <v>0.32</v>
      </c>
      <c r="D23" s="146">
        <v>0.9</v>
      </c>
      <c r="E23" s="146">
        <v>1.59</v>
      </c>
      <c r="F23" s="146">
        <v>2.2599999999999998</v>
      </c>
      <c r="G23" s="146">
        <v>2.38</v>
      </c>
      <c r="H23" s="146">
        <v>1.1399999999999999</v>
      </c>
      <c r="I23" s="146">
        <v>0.38</v>
      </c>
      <c r="J23" s="146">
        <v>1.05</v>
      </c>
      <c r="K23" s="146">
        <v>1.85</v>
      </c>
      <c r="L23" s="146">
        <v>0.02</v>
      </c>
      <c r="M23" s="146">
        <v>0</v>
      </c>
      <c r="N23" s="146">
        <f t="shared" si="0"/>
        <v>12.24</v>
      </c>
    </row>
    <row r="24" spans="1:14" x14ac:dyDescent="0.2">
      <c r="A24" s="144">
        <v>1960</v>
      </c>
      <c r="B24" s="146">
        <v>0.19</v>
      </c>
      <c r="C24" s="146">
        <v>0.27</v>
      </c>
      <c r="D24" s="146">
        <v>0.26</v>
      </c>
      <c r="E24" s="146">
        <v>0.6</v>
      </c>
      <c r="F24" s="146">
        <v>1.1100000000000001</v>
      </c>
      <c r="G24" s="146">
        <v>1.34</v>
      </c>
      <c r="H24" s="146">
        <v>0.8</v>
      </c>
      <c r="I24" s="146">
        <v>0.3</v>
      </c>
      <c r="J24" s="146">
        <v>0.65</v>
      </c>
      <c r="K24" s="146">
        <v>1.23</v>
      </c>
      <c r="L24" s="146">
        <v>0.2</v>
      </c>
      <c r="M24" s="146">
        <v>0.15</v>
      </c>
      <c r="N24" s="146">
        <f t="shared" si="0"/>
        <v>7.1000000000000005</v>
      </c>
    </row>
    <row r="25" spans="1:14" x14ac:dyDescent="0.2">
      <c r="A25" s="144">
        <v>1961</v>
      </c>
      <c r="B25" s="146">
        <v>0.18</v>
      </c>
      <c r="C25" s="146">
        <v>0.14000000000000001</v>
      </c>
      <c r="D25" s="146">
        <v>1.89</v>
      </c>
      <c r="E25" s="146">
        <v>0.32</v>
      </c>
      <c r="F25" s="146">
        <v>3.28</v>
      </c>
      <c r="G25" s="146">
        <v>4.2300000000000004</v>
      </c>
      <c r="H25" s="146">
        <v>2.08</v>
      </c>
      <c r="I25" s="146">
        <v>0.73</v>
      </c>
      <c r="J25" s="146">
        <v>2.64</v>
      </c>
      <c r="K25" s="146">
        <v>0.15</v>
      </c>
      <c r="L25" s="146">
        <v>0.41</v>
      </c>
      <c r="M25" s="146">
        <v>0.04</v>
      </c>
      <c r="N25" s="146">
        <f t="shared" si="0"/>
        <v>16.09</v>
      </c>
    </row>
    <row r="26" spans="1:14" x14ac:dyDescent="0.2">
      <c r="A26" s="144">
        <v>1962</v>
      </c>
      <c r="B26" s="146">
        <v>0.8</v>
      </c>
      <c r="C26" s="146">
        <v>0.5</v>
      </c>
      <c r="D26" s="146">
        <v>0.19</v>
      </c>
      <c r="E26" s="146">
        <v>0.14000000000000001</v>
      </c>
      <c r="F26" s="146">
        <v>2.88</v>
      </c>
      <c r="G26" s="146">
        <v>3.76</v>
      </c>
      <c r="H26" s="146">
        <v>4.7300000000000004</v>
      </c>
      <c r="I26" s="146">
        <v>0.73</v>
      </c>
      <c r="J26" s="146">
        <v>0.44</v>
      </c>
      <c r="K26" s="146">
        <v>1.19</v>
      </c>
      <c r="L26" s="146">
        <v>0.44</v>
      </c>
      <c r="M26" s="146">
        <v>0.08</v>
      </c>
      <c r="N26" s="146">
        <f t="shared" si="0"/>
        <v>15.879999999999999</v>
      </c>
    </row>
    <row r="27" spans="1:14" x14ac:dyDescent="0.2">
      <c r="A27" s="144">
        <v>1963</v>
      </c>
      <c r="B27" s="146">
        <v>0.24</v>
      </c>
      <c r="C27" s="146">
        <v>0.03</v>
      </c>
      <c r="D27" s="146">
        <v>0.45</v>
      </c>
      <c r="E27" s="146">
        <v>0.33</v>
      </c>
      <c r="F27" s="146">
        <v>1.52</v>
      </c>
      <c r="G27" s="146">
        <v>2.99</v>
      </c>
      <c r="H27" s="146">
        <v>1.47</v>
      </c>
      <c r="I27" s="146">
        <v>3.45</v>
      </c>
      <c r="J27" s="146">
        <v>1.83</v>
      </c>
      <c r="K27" s="146">
        <v>0.77</v>
      </c>
      <c r="L27" s="146">
        <v>0</v>
      </c>
      <c r="M27" s="146">
        <v>0.36</v>
      </c>
      <c r="N27" s="146">
        <f t="shared" si="0"/>
        <v>13.44</v>
      </c>
    </row>
    <row r="28" spans="1:14" x14ac:dyDescent="0.2">
      <c r="A28" s="144">
        <v>1964</v>
      </c>
      <c r="B28" s="146">
        <v>0.03</v>
      </c>
      <c r="C28" s="146">
        <v>0.04</v>
      </c>
      <c r="D28" s="146">
        <v>0.36</v>
      </c>
      <c r="E28" s="146">
        <v>1.0900000000000001</v>
      </c>
      <c r="F28" s="146">
        <v>0.65</v>
      </c>
      <c r="G28" s="146">
        <v>0.76</v>
      </c>
      <c r="H28" s="146">
        <v>0.43</v>
      </c>
      <c r="I28" s="146">
        <v>0.41</v>
      </c>
      <c r="J28" s="146">
        <v>0.36</v>
      </c>
      <c r="K28" s="146">
        <v>0</v>
      </c>
      <c r="L28" s="146">
        <v>0.04</v>
      </c>
      <c r="M28" s="146">
        <v>0.14000000000000001</v>
      </c>
      <c r="N28" s="146">
        <f t="shared" si="0"/>
        <v>4.3099999999999996</v>
      </c>
    </row>
    <row r="29" spans="1:14" x14ac:dyDescent="0.2">
      <c r="A29" s="144">
        <v>1965</v>
      </c>
      <c r="B29" s="146">
        <v>0.37</v>
      </c>
      <c r="C29" s="146">
        <v>0.21</v>
      </c>
      <c r="D29" s="146">
        <v>0.5</v>
      </c>
      <c r="E29" s="146">
        <v>1.02</v>
      </c>
      <c r="F29" s="146">
        <v>1.62</v>
      </c>
      <c r="G29" s="146">
        <v>4.96</v>
      </c>
      <c r="H29" s="146">
        <v>3.29</v>
      </c>
      <c r="I29" s="146">
        <v>0.41</v>
      </c>
      <c r="J29" s="146">
        <v>2.34</v>
      </c>
      <c r="K29" s="146">
        <v>0</v>
      </c>
      <c r="L29" s="146">
        <v>0</v>
      </c>
      <c r="M29" s="146">
        <v>0.12</v>
      </c>
      <c r="N29" s="146">
        <f t="shared" si="0"/>
        <v>14.839999999999998</v>
      </c>
    </row>
    <row r="30" spans="1:14" x14ac:dyDescent="0.2">
      <c r="A30" s="144">
        <v>1966</v>
      </c>
      <c r="B30" s="146">
        <v>0.05</v>
      </c>
      <c r="C30" s="146">
        <v>0.17</v>
      </c>
      <c r="D30" s="146">
        <v>0</v>
      </c>
      <c r="E30" s="146">
        <v>0.94</v>
      </c>
      <c r="F30" s="146">
        <v>7.0000000000000007E-2</v>
      </c>
      <c r="G30" s="146">
        <v>2.25</v>
      </c>
      <c r="H30" s="146">
        <v>1.08</v>
      </c>
      <c r="I30" s="146">
        <v>3.39</v>
      </c>
      <c r="J30" s="146">
        <v>2.42</v>
      </c>
      <c r="K30" s="146">
        <v>0.25</v>
      </c>
      <c r="L30" s="146">
        <v>0.33</v>
      </c>
      <c r="M30" s="146">
        <v>0.09</v>
      </c>
      <c r="N30" s="146">
        <f t="shared" si="0"/>
        <v>11.040000000000001</v>
      </c>
    </row>
    <row r="31" spans="1:14" x14ac:dyDescent="0.2">
      <c r="A31" s="144">
        <v>1967</v>
      </c>
      <c r="B31" s="146">
        <v>0.47</v>
      </c>
      <c r="C31" s="146">
        <v>0.38</v>
      </c>
      <c r="D31" s="146">
        <v>0.55000000000000004</v>
      </c>
      <c r="E31" s="146">
        <v>2.2200000000000002</v>
      </c>
      <c r="F31" s="146">
        <v>4.97</v>
      </c>
      <c r="G31" s="146">
        <v>6.52</v>
      </c>
      <c r="H31" s="146">
        <v>4.1500000000000004</v>
      </c>
      <c r="I31" s="146">
        <v>1.1499999999999999</v>
      </c>
      <c r="J31" s="146">
        <v>1.26</v>
      </c>
      <c r="K31" s="146">
        <v>0.28000000000000003</v>
      </c>
      <c r="L31" s="146">
        <v>0.38</v>
      </c>
      <c r="M31" s="146">
        <v>0.55000000000000004</v>
      </c>
      <c r="N31" s="146">
        <f t="shared" si="0"/>
        <v>22.88</v>
      </c>
    </row>
    <row r="32" spans="1:14" x14ac:dyDescent="0.2">
      <c r="A32" s="144">
        <v>1968</v>
      </c>
      <c r="B32" s="146">
        <v>0.02</v>
      </c>
      <c r="C32" s="146">
        <v>0.21</v>
      </c>
      <c r="D32" s="146">
        <v>0.36</v>
      </c>
      <c r="E32" s="146">
        <v>1.04</v>
      </c>
      <c r="F32" s="146">
        <v>3.65</v>
      </c>
      <c r="G32" s="146">
        <v>2.27</v>
      </c>
      <c r="H32" s="146">
        <v>1.62</v>
      </c>
      <c r="I32" s="146">
        <v>1.7</v>
      </c>
      <c r="J32" s="146">
        <v>0.4</v>
      </c>
      <c r="K32" s="146">
        <v>0.96</v>
      </c>
      <c r="L32" s="146">
        <v>0.68</v>
      </c>
      <c r="M32" s="146">
        <v>0.21</v>
      </c>
      <c r="N32" s="146">
        <f t="shared" si="0"/>
        <v>13.119999999999997</v>
      </c>
    </row>
    <row r="33" spans="1:14" x14ac:dyDescent="0.2">
      <c r="A33" s="144">
        <v>1969</v>
      </c>
      <c r="B33" s="146">
        <v>0.12</v>
      </c>
      <c r="C33" s="146">
        <v>0.26</v>
      </c>
      <c r="D33" s="146">
        <v>0.24</v>
      </c>
      <c r="E33" s="146">
        <v>1.57</v>
      </c>
      <c r="F33" s="146">
        <v>2.2599999999999998</v>
      </c>
      <c r="G33" s="146">
        <v>4.6399999999999997</v>
      </c>
      <c r="H33" s="146">
        <v>1.75</v>
      </c>
      <c r="I33" s="146">
        <v>1.39</v>
      </c>
      <c r="J33" s="146">
        <v>1.23</v>
      </c>
      <c r="K33" s="146">
        <v>2.81</v>
      </c>
      <c r="L33" s="146">
        <v>0.1</v>
      </c>
      <c r="M33" s="146">
        <v>0</v>
      </c>
      <c r="N33" s="146">
        <f t="shared" si="0"/>
        <v>16.37</v>
      </c>
    </row>
    <row r="34" spans="1:14" x14ac:dyDescent="0.2">
      <c r="A34" s="144">
        <v>1970</v>
      </c>
      <c r="B34" s="146">
        <v>0.05</v>
      </c>
      <c r="C34" s="146">
        <v>0.05</v>
      </c>
      <c r="D34" s="146">
        <v>1.31</v>
      </c>
      <c r="E34" s="146">
        <v>1.34</v>
      </c>
      <c r="F34" s="146">
        <v>0.84</v>
      </c>
      <c r="G34" s="146">
        <v>1.1399999999999999</v>
      </c>
      <c r="H34" s="146">
        <v>1.56</v>
      </c>
      <c r="I34" s="146">
        <v>0.24</v>
      </c>
      <c r="J34" s="146">
        <v>1.48</v>
      </c>
      <c r="K34" s="146">
        <v>1.1499999999999999</v>
      </c>
      <c r="L34" s="146">
        <v>0.15</v>
      </c>
      <c r="M34" s="146">
        <v>0.23</v>
      </c>
      <c r="N34" s="146">
        <f t="shared" si="0"/>
        <v>9.5400000000000009</v>
      </c>
    </row>
    <row r="35" spans="1:14" x14ac:dyDescent="0.2">
      <c r="A35" s="144">
        <v>1971</v>
      </c>
      <c r="B35" s="146">
        <v>0.45</v>
      </c>
      <c r="C35" s="146">
        <v>0.3</v>
      </c>
      <c r="D35" s="146">
        <v>0.89</v>
      </c>
      <c r="E35" s="146">
        <v>2.82</v>
      </c>
      <c r="F35" s="146">
        <v>1.67</v>
      </c>
      <c r="G35" s="146">
        <v>1.23</v>
      </c>
      <c r="H35" s="146">
        <v>0.61</v>
      </c>
      <c r="I35" s="146">
        <v>0.36</v>
      </c>
      <c r="J35" s="146">
        <v>2.14</v>
      </c>
      <c r="K35" s="146">
        <v>0.15</v>
      </c>
      <c r="L35" s="146">
        <v>0.02</v>
      </c>
      <c r="M35" s="146">
        <v>0</v>
      </c>
      <c r="N35" s="146">
        <f t="shared" si="0"/>
        <v>10.64</v>
      </c>
    </row>
    <row r="36" spans="1:14" x14ac:dyDescent="0.2">
      <c r="A36" s="144">
        <v>1972</v>
      </c>
      <c r="B36" s="146">
        <v>0.37</v>
      </c>
      <c r="C36" s="146">
        <v>0</v>
      </c>
      <c r="D36" s="146">
        <v>0.41</v>
      </c>
      <c r="E36" s="146">
        <v>0.57999999999999996</v>
      </c>
      <c r="F36" s="146">
        <v>1.22</v>
      </c>
      <c r="G36" s="146">
        <v>3.28</v>
      </c>
      <c r="H36" s="146">
        <v>1.78</v>
      </c>
      <c r="I36" s="146">
        <v>3.81</v>
      </c>
      <c r="J36" s="146">
        <v>1.7</v>
      </c>
      <c r="K36" s="146">
        <v>0.56000000000000005</v>
      </c>
      <c r="L36" s="146">
        <v>0.62</v>
      </c>
      <c r="M36" s="146">
        <v>0.39</v>
      </c>
      <c r="N36" s="146">
        <f t="shared" si="0"/>
        <v>14.719999999999999</v>
      </c>
    </row>
    <row r="37" spans="1:14" x14ac:dyDescent="0.2">
      <c r="A37" s="144">
        <v>1973</v>
      </c>
      <c r="B37" s="146">
        <v>0.13</v>
      </c>
      <c r="C37" s="146">
        <v>0</v>
      </c>
      <c r="D37" s="146">
        <v>0.81</v>
      </c>
      <c r="E37" s="146">
        <v>1.36</v>
      </c>
      <c r="F37" s="146">
        <v>0.6</v>
      </c>
      <c r="G37" s="146">
        <v>0.9</v>
      </c>
      <c r="H37" s="146">
        <v>2.67</v>
      </c>
      <c r="I37" s="146">
        <v>0.6</v>
      </c>
      <c r="J37" s="146">
        <v>2.2799999999999998</v>
      </c>
      <c r="K37" s="146">
        <v>0</v>
      </c>
      <c r="L37" s="146">
        <v>0.96</v>
      </c>
      <c r="M37" s="146">
        <v>0.52</v>
      </c>
      <c r="N37" s="146">
        <f t="shared" si="0"/>
        <v>10.829999999999998</v>
      </c>
    </row>
    <row r="38" spans="1:14" x14ac:dyDescent="0.2">
      <c r="A38" s="144">
        <v>1974</v>
      </c>
      <c r="B38" s="146">
        <v>0.37</v>
      </c>
      <c r="C38" s="146">
        <v>0</v>
      </c>
      <c r="D38" s="146">
        <v>0.88</v>
      </c>
      <c r="E38" s="146">
        <v>0.45</v>
      </c>
      <c r="F38" s="146">
        <v>0.89</v>
      </c>
      <c r="G38" s="146">
        <v>4.0199999999999996</v>
      </c>
      <c r="H38" s="146">
        <v>1.34</v>
      </c>
      <c r="I38" s="146">
        <v>0.8</v>
      </c>
      <c r="J38" s="146">
        <v>0.57999999999999996</v>
      </c>
      <c r="K38" s="146">
        <v>0.84</v>
      </c>
      <c r="L38" s="146">
        <v>0.39</v>
      </c>
      <c r="M38" s="146">
        <v>0</v>
      </c>
      <c r="N38" s="146">
        <f t="shared" si="0"/>
        <v>10.56</v>
      </c>
    </row>
    <row r="39" spans="1:14" x14ac:dyDescent="0.2">
      <c r="A39" s="144">
        <v>1975</v>
      </c>
      <c r="B39" s="146">
        <v>0.14000000000000001</v>
      </c>
      <c r="C39" s="146">
        <v>0.21</v>
      </c>
      <c r="D39" s="146">
        <v>0.9</v>
      </c>
      <c r="E39" s="146">
        <v>0.83</v>
      </c>
      <c r="F39" s="146">
        <v>3.12</v>
      </c>
      <c r="G39" s="146">
        <v>2.02</v>
      </c>
      <c r="H39" s="146">
        <v>1.61</v>
      </c>
      <c r="I39" s="146">
        <v>0.83</v>
      </c>
      <c r="J39" s="146">
        <v>0.49</v>
      </c>
      <c r="K39" s="146">
        <v>0.52</v>
      </c>
      <c r="L39" s="146">
        <v>0.38</v>
      </c>
      <c r="M39" s="146">
        <v>0.99</v>
      </c>
      <c r="N39" s="146">
        <f t="shared" si="0"/>
        <v>12.040000000000001</v>
      </c>
    </row>
    <row r="40" spans="1:14" x14ac:dyDescent="0.2">
      <c r="A40" s="144">
        <v>1976</v>
      </c>
      <c r="B40" s="146">
        <v>0.05</v>
      </c>
      <c r="C40" s="146">
        <v>0.2</v>
      </c>
      <c r="D40" s="146">
        <v>0.35</v>
      </c>
      <c r="E40" s="146">
        <v>1.31</v>
      </c>
      <c r="F40" s="146">
        <v>2.31</v>
      </c>
      <c r="G40" s="146">
        <v>1.08</v>
      </c>
      <c r="H40" s="146">
        <v>1.73</v>
      </c>
      <c r="I40" s="146">
        <v>1.43</v>
      </c>
      <c r="J40" s="146">
        <v>1.6</v>
      </c>
      <c r="K40" s="146">
        <v>0.13</v>
      </c>
      <c r="L40" s="146">
        <v>7.0000000000000007E-2</v>
      </c>
      <c r="M40" s="146">
        <v>0</v>
      </c>
      <c r="N40" s="146">
        <f t="shared" si="0"/>
        <v>10.260000000000002</v>
      </c>
    </row>
    <row r="41" spans="1:14" x14ac:dyDescent="0.2">
      <c r="A41" s="144">
        <v>1977</v>
      </c>
      <c r="B41" s="146">
        <v>0.09</v>
      </c>
      <c r="C41" s="146">
        <v>0</v>
      </c>
      <c r="D41" s="146">
        <v>0.82</v>
      </c>
      <c r="E41" s="146">
        <v>1.92</v>
      </c>
      <c r="F41" s="146">
        <v>2.63</v>
      </c>
      <c r="G41" s="146">
        <v>1.53</v>
      </c>
      <c r="H41" s="146">
        <v>1.69</v>
      </c>
      <c r="I41" s="146">
        <v>0.37</v>
      </c>
      <c r="J41" s="146">
        <v>0.22</v>
      </c>
      <c r="K41" s="146">
        <v>0.04</v>
      </c>
      <c r="L41" s="146">
        <v>0.3</v>
      </c>
      <c r="M41" s="146">
        <v>0.15</v>
      </c>
      <c r="N41" s="146">
        <f t="shared" si="0"/>
        <v>9.76</v>
      </c>
    </row>
    <row r="42" spans="1:14" x14ac:dyDescent="0.2">
      <c r="A42" s="144">
        <v>1978</v>
      </c>
      <c r="B42" s="146">
        <v>0.48</v>
      </c>
      <c r="C42" s="146">
        <v>0.41</v>
      </c>
      <c r="D42" s="146">
        <v>0.4</v>
      </c>
      <c r="E42" s="146">
        <v>0.4</v>
      </c>
      <c r="F42" s="146">
        <v>4.24</v>
      </c>
      <c r="G42" s="146">
        <v>1.94</v>
      </c>
      <c r="H42" s="146">
        <v>0.64</v>
      </c>
      <c r="I42" s="146">
        <v>1.2</v>
      </c>
      <c r="J42" s="146">
        <v>0</v>
      </c>
      <c r="K42" s="146">
        <v>0.94</v>
      </c>
      <c r="L42" s="146">
        <v>0.38</v>
      </c>
      <c r="M42" s="146">
        <v>0.48</v>
      </c>
      <c r="N42" s="146">
        <f t="shared" si="0"/>
        <v>11.51</v>
      </c>
    </row>
    <row r="43" spans="1:14" x14ac:dyDescent="0.2">
      <c r="A43" s="144">
        <v>1979</v>
      </c>
      <c r="B43" s="146">
        <v>0.28000000000000003</v>
      </c>
      <c r="C43" s="146">
        <v>0.09</v>
      </c>
      <c r="D43" s="146">
        <v>0.8</v>
      </c>
      <c r="E43" s="146">
        <v>0.39</v>
      </c>
      <c r="F43" s="146">
        <v>4.5199999999999996</v>
      </c>
      <c r="G43" s="146">
        <v>3.55</v>
      </c>
      <c r="H43" s="146">
        <v>0.94</v>
      </c>
      <c r="I43" s="146">
        <v>5.01</v>
      </c>
      <c r="J43" s="146">
        <v>1.22</v>
      </c>
      <c r="K43" s="146">
        <v>0.53</v>
      </c>
      <c r="L43" s="146">
        <v>1.1100000000000001</v>
      </c>
      <c r="M43" s="146">
        <v>0.99</v>
      </c>
      <c r="N43" s="146">
        <f t="shared" si="0"/>
        <v>19.429999999999996</v>
      </c>
    </row>
    <row r="44" spans="1:14" x14ac:dyDescent="0.2">
      <c r="A44" s="144">
        <v>1980</v>
      </c>
      <c r="B44" s="146">
        <v>0.98</v>
      </c>
      <c r="C44" s="146">
        <v>0.47</v>
      </c>
      <c r="D44" s="146">
        <v>1.7</v>
      </c>
      <c r="E44" s="146">
        <v>0.97</v>
      </c>
      <c r="F44" s="146">
        <v>3.13</v>
      </c>
      <c r="G44" s="146">
        <v>0.46</v>
      </c>
      <c r="H44" s="146">
        <v>3.52</v>
      </c>
      <c r="I44" s="146">
        <v>1.39</v>
      </c>
      <c r="J44" s="146">
        <v>0.89</v>
      </c>
      <c r="K44" s="146">
        <v>0.42</v>
      </c>
      <c r="L44" s="146">
        <v>0.25</v>
      </c>
      <c r="M44" s="146">
        <v>0</v>
      </c>
      <c r="N44" s="146">
        <f t="shared" si="0"/>
        <v>14.180000000000001</v>
      </c>
    </row>
    <row r="45" spans="1:14" x14ac:dyDescent="0.2">
      <c r="A45" s="144">
        <v>1981</v>
      </c>
      <c r="B45" s="146">
        <v>0.2</v>
      </c>
      <c r="C45" s="146">
        <v>0.21</v>
      </c>
      <c r="D45" s="146">
        <v>0.75</v>
      </c>
      <c r="E45" s="146">
        <v>1.35</v>
      </c>
      <c r="F45" s="146">
        <v>3.76</v>
      </c>
      <c r="G45" s="146">
        <v>0.79</v>
      </c>
      <c r="H45" s="146">
        <v>4.0199999999999996</v>
      </c>
      <c r="I45" s="146">
        <v>2.87</v>
      </c>
      <c r="J45" s="146">
        <v>0.35</v>
      </c>
      <c r="K45" s="146">
        <v>1.05</v>
      </c>
      <c r="L45" s="146">
        <v>0</v>
      </c>
      <c r="M45" s="146">
        <v>0.28000000000000003</v>
      </c>
      <c r="N45" s="146">
        <f t="shared" si="0"/>
        <v>15.629999999999999</v>
      </c>
    </row>
    <row r="46" spans="1:14" x14ac:dyDescent="0.2">
      <c r="A46" s="144">
        <v>1982</v>
      </c>
      <c r="B46" s="146">
        <v>0.23</v>
      </c>
      <c r="C46" s="146">
        <v>0.03</v>
      </c>
      <c r="D46" s="146">
        <v>0.37</v>
      </c>
      <c r="E46" s="146">
        <v>0.22</v>
      </c>
      <c r="F46" s="146">
        <v>1.88</v>
      </c>
      <c r="G46" s="146">
        <v>4.6399999999999997</v>
      </c>
      <c r="H46" s="146">
        <v>6.16</v>
      </c>
      <c r="I46" s="146">
        <v>1.36</v>
      </c>
      <c r="J46" s="146">
        <v>2.39</v>
      </c>
      <c r="K46" s="146">
        <v>0.76</v>
      </c>
      <c r="L46" s="146">
        <v>0.36</v>
      </c>
      <c r="M46" s="146">
        <v>0.28999999999999998</v>
      </c>
      <c r="N46" s="146">
        <f t="shared" si="0"/>
        <v>18.689999999999998</v>
      </c>
    </row>
    <row r="47" spans="1:14" x14ac:dyDescent="0.2">
      <c r="A47" s="144">
        <v>1983</v>
      </c>
      <c r="B47" s="146">
        <v>0</v>
      </c>
      <c r="C47" s="146">
        <v>0</v>
      </c>
      <c r="D47" s="146">
        <v>1.72</v>
      </c>
      <c r="E47" s="146">
        <v>4.0599999999999996</v>
      </c>
      <c r="F47" s="146">
        <v>1.85</v>
      </c>
      <c r="G47" s="146">
        <v>2.62</v>
      </c>
      <c r="H47" s="146">
        <v>1.48</v>
      </c>
      <c r="I47" s="146">
        <v>3.1</v>
      </c>
      <c r="J47" s="146">
        <v>0.46</v>
      </c>
      <c r="K47" s="146">
        <v>0</v>
      </c>
      <c r="L47" s="146">
        <v>1.2</v>
      </c>
      <c r="M47" s="146">
        <v>0.38</v>
      </c>
      <c r="N47" s="146">
        <f t="shared" si="0"/>
        <v>16.87</v>
      </c>
    </row>
    <row r="48" spans="1:14" x14ac:dyDescent="0.2">
      <c r="A48" s="144">
        <v>1984</v>
      </c>
      <c r="B48" s="146">
        <v>0.38</v>
      </c>
      <c r="C48" s="146">
        <v>0.67</v>
      </c>
      <c r="D48" s="146">
        <v>0.8</v>
      </c>
      <c r="E48" s="146">
        <v>2.73</v>
      </c>
      <c r="F48" s="146">
        <v>0.99</v>
      </c>
      <c r="G48" s="146">
        <v>2.41</v>
      </c>
      <c r="H48" s="146">
        <v>3.26</v>
      </c>
      <c r="I48" s="146">
        <v>4.33</v>
      </c>
      <c r="J48" s="146">
        <v>0.55000000000000004</v>
      </c>
      <c r="K48" s="146">
        <v>2.4900000000000002</v>
      </c>
      <c r="L48" s="146">
        <v>0.04</v>
      </c>
      <c r="M48" s="146">
        <v>0.27</v>
      </c>
      <c r="N48" s="146">
        <f t="shared" si="0"/>
        <v>18.919999999999998</v>
      </c>
    </row>
    <row r="49" spans="1:14" x14ac:dyDescent="0.2">
      <c r="A49" s="144">
        <v>1985</v>
      </c>
      <c r="B49" s="146">
        <v>0.7</v>
      </c>
      <c r="C49" s="146">
        <v>0.05</v>
      </c>
      <c r="D49" s="146">
        <v>0.16</v>
      </c>
      <c r="E49" s="146">
        <v>1.44</v>
      </c>
      <c r="F49" s="146">
        <v>0.94</v>
      </c>
      <c r="G49" s="146">
        <v>0.91</v>
      </c>
      <c r="H49" s="146">
        <v>3.58</v>
      </c>
      <c r="I49" s="146">
        <v>0.43</v>
      </c>
      <c r="J49" s="146">
        <v>1.57</v>
      </c>
      <c r="K49" s="146">
        <v>0.75</v>
      </c>
      <c r="L49" s="146">
        <v>1.22</v>
      </c>
      <c r="M49" s="146">
        <v>0.38</v>
      </c>
      <c r="N49" s="146">
        <f t="shared" si="0"/>
        <v>12.130000000000003</v>
      </c>
    </row>
    <row r="50" spans="1:14" x14ac:dyDescent="0.2">
      <c r="A50" s="144">
        <v>1986</v>
      </c>
      <c r="B50" s="146">
        <v>0.12</v>
      </c>
      <c r="C50" s="146">
        <v>0.3</v>
      </c>
      <c r="D50" s="146">
        <v>0.46</v>
      </c>
      <c r="E50" s="146">
        <v>1.8</v>
      </c>
      <c r="F50" s="146">
        <v>1.26</v>
      </c>
      <c r="G50" s="146">
        <v>1.1499999999999999</v>
      </c>
      <c r="H50" s="146">
        <v>1.37</v>
      </c>
      <c r="I50" s="146">
        <v>0.32</v>
      </c>
      <c r="J50" s="146">
        <v>1.28</v>
      </c>
      <c r="K50" s="146">
        <v>1.0900000000000001</v>
      </c>
      <c r="L50" s="146">
        <v>0.88</v>
      </c>
      <c r="M50" s="146">
        <v>0.23</v>
      </c>
      <c r="N50" s="146">
        <f t="shared" si="0"/>
        <v>10.260000000000002</v>
      </c>
    </row>
    <row r="51" spans="1:14" x14ac:dyDescent="0.2">
      <c r="A51" s="144">
        <v>1987</v>
      </c>
      <c r="B51" s="146">
        <v>0.17</v>
      </c>
      <c r="C51" s="146">
        <v>1.01</v>
      </c>
      <c r="D51" s="146">
        <v>0.67</v>
      </c>
      <c r="E51" s="146">
        <v>0.52</v>
      </c>
      <c r="F51" s="146">
        <v>3.73</v>
      </c>
      <c r="G51" s="146">
        <v>2.61</v>
      </c>
      <c r="H51" s="146">
        <v>1.3</v>
      </c>
      <c r="I51" s="146">
        <v>3.47</v>
      </c>
      <c r="J51" s="146">
        <v>2.1</v>
      </c>
      <c r="K51" s="146">
        <v>0.37</v>
      </c>
      <c r="L51" s="146">
        <v>0.97</v>
      </c>
      <c r="M51" s="146">
        <v>0.52</v>
      </c>
      <c r="N51" s="146">
        <f t="shared" si="0"/>
        <v>17.439999999999998</v>
      </c>
    </row>
    <row r="52" spans="1:14" x14ac:dyDescent="0.2">
      <c r="A52" s="144">
        <v>1988</v>
      </c>
      <c r="B52" s="146">
        <v>0.49</v>
      </c>
      <c r="C52" s="146">
        <v>0.56999999999999995</v>
      </c>
      <c r="D52" s="146">
        <v>1.42</v>
      </c>
      <c r="E52" s="146">
        <v>1.36</v>
      </c>
      <c r="F52" s="146">
        <v>2.16</v>
      </c>
      <c r="G52" s="146">
        <v>1.06</v>
      </c>
      <c r="H52" s="146">
        <v>1.17</v>
      </c>
      <c r="I52" s="146">
        <v>0.82</v>
      </c>
      <c r="J52" s="146">
        <v>1.1100000000000001</v>
      </c>
      <c r="K52" s="146">
        <v>0.04</v>
      </c>
      <c r="L52" s="146">
        <v>0.14000000000000001</v>
      </c>
      <c r="M52" s="146">
        <v>0.62</v>
      </c>
      <c r="N52" s="146">
        <f t="shared" si="0"/>
        <v>10.959999999999999</v>
      </c>
    </row>
    <row r="53" spans="1:14" x14ac:dyDescent="0.2">
      <c r="A53" s="144">
        <v>1989</v>
      </c>
      <c r="B53" s="146">
        <v>0.33</v>
      </c>
      <c r="C53" s="146">
        <v>1.04</v>
      </c>
      <c r="D53" s="146">
        <v>0.49</v>
      </c>
      <c r="E53" s="146">
        <v>0.85</v>
      </c>
      <c r="F53" s="146">
        <v>1.56</v>
      </c>
      <c r="G53" s="146">
        <v>2.4</v>
      </c>
      <c r="H53" s="146">
        <v>2.2999999999999998</v>
      </c>
      <c r="I53" s="146">
        <v>0.63</v>
      </c>
      <c r="J53" s="146">
        <v>4.07</v>
      </c>
      <c r="K53" s="146">
        <v>0.28999999999999998</v>
      </c>
      <c r="L53" s="146">
        <v>0.04</v>
      </c>
      <c r="M53" s="146">
        <v>0.42</v>
      </c>
      <c r="N53" s="146">
        <f t="shared" si="0"/>
        <v>14.419999999999998</v>
      </c>
    </row>
    <row r="54" spans="1:14" x14ac:dyDescent="0.2">
      <c r="A54" s="144">
        <v>1990</v>
      </c>
      <c r="B54" s="146">
        <v>0.43</v>
      </c>
      <c r="C54" s="146">
        <v>0.46</v>
      </c>
      <c r="D54" s="146">
        <v>4.0999999999999996</v>
      </c>
      <c r="E54" s="146">
        <v>0.77</v>
      </c>
      <c r="F54" s="146">
        <v>2.82</v>
      </c>
      <c r="G54" s="146">
        <v>0.45</v>
      </c>
      <c r="H54" s="146">
        <v>1.9</v>
      </c>
      <c r="I54" s="146">
        <v>1.43</v>
      </c>
      <c r="J54" s="146">
        <v>1.45</v>
      </c>
      <c r="K54" s="146">
        <v>0.96</v>
      </c>
      <c r="L54" s="146">
        <v>0.65</v>
      </c>
      <c r="M54" s="146">
        <v>0.25</v>
      </c>
      <c r="N54" s="146">
        <f t="shared" si="0"/>
        <v>15.67</v>
      </c>
    </row>
    <row r="55" spans="1:14" x14ac:dyDescent="0.2">
      <c r="A55" s="144">
        <v>1991</v>
      </c>
      <c r="B55" s="146">
        <v>0.21</v>
      </c>
      <c r="C55" s="146">
        <v>0.01</v>
      </c>
      <c r="D55" s="146">
        <v>0.37</v>
      </c>
      <c r="E55" s="146">
        <v>1.22</v>
      </c>
      <c r="F55" s="146">
        <v>1.76</v>
      </c>
      <c r="G55" s="146">
        <v>3.86</v>
      </c>
      <c r="H55" s="146">
        <v>3.48</v>
      </c>
      <c r="I55" s="146">
        <v>1.63</v>
      </c>
      <c r="J55" s="146">
        <v>2.13</v>
      </c>
      <c r="K55" s="146">
        <v>0.67</v>
      </c>
      <c r="L55" s="146">
        <v>1.28</v>
      </c>
      <c r="M55" s="146">
        <v>7.0000000000000007E-2</v>
      </c>
      <c r="N55" s="146">
        <f t="shared" si="0"/>
        <v>16.689999999999998</v>
      </c>
    </row>
    <row r="56" spans="1:14" x14ac:dyDescent="0.2">
      <c r="A56" s="144">
        <v>1992</v>
      </c>
      <c r="B56" s="146">
        <v>0.71</v>
      </c>
      <c r="C56" s="146">
        <v>0</v>
      </c>
      <c r="D56" s="146">
        <v>1.71</v>
      </c>
      <c r="E56" s="146">
        <v>0.28000000000000003</v>
      </c>
      <c r="F56" s="146">
        <v>1.42</v>
      </c>
      <c r="G56" s="146">
        <v>3.27</v>
      </c>
      <c r="H56" s="146">
        <v>4.75</v>
      </c>
      <c r="I56" s="146">
        <v>2.13</v>
      </c>
      <c r="J56" s="146">
        <v>0.14000000000000001</v>
      </c>
      <c r="K56" s="146">
        <v>0.34</v>
      </c>
      <c r="L56" s="146">
        <v>0.84</v>
      </c>
      <c r="M56" s="146">
        <v>0.27</v>
      </c>
      <c r="N56" s="146">
        <f t="shared" si="0"/>
        <v>15.86</v>
      </c>
    </row>
    <row r="57" spans="1:14" x14ac:dyDescent="0.2">
      <c r="A57" s="144">
        <v>1993</v>
      </c>
      <c r="B57" s="146">
        <v>0.37</v>
      </c>
      <c r="C57" s="146">
        <v>0.38</v>
      </c>
      <c r="D57" s="146">
        <v>1.05</v>
      </c>
      <c r="E57" s="146">
        <v>2.68</v>
      </c>
      <c r="F57" s="146">
        <v>1.24</v>
      </c>
      <c r="G57" s="146">
        <v>2.4500000000000002</v>
      </c>
      <c r="H57" s="146">
        <v>1.03</v>
      </c>
      <c r="I57" s="146">
        <v>2.15</v>
      </c>
      <c r="J57" s="146">
        <v>2.36</v>
      </c>
      <c r="K57" s="146">
        <v>2.2400000000000002</v>
      </c>
      <c r="L57" s="146">
        <v>0.84</v>
      </c>
      <c r="M57" s="146">
        <v>0.17</v>
      </c>
      <c r="N57" s="146">
        <f t="shared" si="0"/>
        <v>16.960000000000004</v>
      </c>
    </row>
    <row r="58" spans="1:14" x14ac:dyDescent="0.2">
      <c r="A58" s="144">
        <v>1994</v>
      </c>
      <c r="B58" s="146">
        <v>0.33</v>
      </c>
      <c r="C58" s="146">
        <v>0.39</v>
      </c>
      <c r="D58" s="146">
        <v>0.37</v>
      </c>
      <c r="E58" s="146">
        <v>1.56</v>
      </c>
      <c r="F58" s="146">
        <v>1.01</v>
      </c>
      <c r="G58" s="146">
        <v>2.0299999999999998</v>
      </c>
      <c r="H58" s="146">
        <v>0.91</v>
      </c>
      <c r="I58" s="146">
        <v>2.5499999999999998</v>
      </c>
      <c r="J58" s="146">
        <v>0.33</v>
      </c>
      <c r="K58" s="146">
        <v>1.64</v>
      </c>
      <c r="L58" s="146">
        <v>0.36</v>
      </c>
      <c r="M58" s="146">
        <v>0.5</v>
      </c>
      <c r="N58" s="146">
        <f t="shared" si="0"/>
        <v>11.979999999999999</v>
      </c>
    </row>
    <row r="59" spans="1:14" x14ac:dyDescent="0.2">
      <c r="A59" s="144">
        <v>1995</v>
      </c>
      <c r="B59" s="146">
        <v>0.03</v>
      </c>
      <c r="C59" s="146">
        <v>0.62</v>
      </c>
      <c r="D59" s="146">
        <v>0.26</v>
      </c>
      <c r="E59" s="146">
        <v>0.91</v>
      </c>
      <c r="F59" s="146">
        <v>6.69</v>
      </c>
      <c r="G59" s="146">
        <v>5.05</v>
      </c>
      <c r="H59" s="146">
        <v>1.25</v>
      </c>
      <c r="I59" s="146">
        <v>0.42</v>
      </c>
      <c r="J59" s="146">
        <v>2.29</v>
      </c>
      <c r="K59" s="146">
        <v>0.53</v>
      </c>
      <c r="L59" s="146">
        <v>0.39</v>
      </c>
      <c r="M59" s="146">
        <v>0.11</v>
      </c>
      <c r="N59" s="146">
        <f t="shared" si="0"/>
        <v>18.55</v>
      </c>
    </row>
    <row r="60" spans="1:14" x14ac:dyDescent="0.2">
      <c r="A60" s="144">
        <v>1996</v>
      </c>
      <c r="B60" s="146">
        <v>0.67</v>
      </c>
      <c r="C60" s="146">
        <v>0.14000000000000001</v>
      </c>
      <c r="D60" s="146">
        <v>1.43</v>
      </c>
      <c r="E60" s="146">
        <v>0.73</v>
      </c>
      <c r="F60" s="146">
        <v>2.66</v>
      </c>
      <c r="G60" s="146">
        <v>2.99</v>
      </c>
      <c r="H60" s="146">
        <v>2.95</v>
      </c>
      <c r="I60" s="146">
        <v>1.6</v>
      </c>
      <c r="J60" s="146">
        <v>1.39</v>
      </c>
      <c r="K60" s="146">
        <v>0.21</v>
      </c>
      <c r="L60" s="146">
        <v>0.47</v>
      </c>
      <c r="M60" s="146">
        <v>0</v>
      </c>
      <c r="N60" s="146">
        <f t="shared" si="0"/>
        <v>15.240000000000002</v>
      </c>
    </row>
    <row r="61" spans="1:14" x14ac:dyDescent="0.2">
      <c r="A61" s="144">
        <v>1997</v>
      </c>
      <c r="B61" s="146">
        <v>0.8</v>
      </c>
      <c r="C61" s="146">
        <v>0.47</v>
      </c>
      <c r="D61" s="146">
        <v>0.5</v>
      </c>
      <c r="E61" s="146">
        <v>1.57</v>
      </c>
      <c r="F61" s="146">
        <v>2.23</v>
      </c>
      <c r="G61" s="146">
        <v>3.68</v>
      </c>
      <c r="H61" s="146">
        <v>3.59</v>
      </c>
      <c r="I61" s="146">
        <v>6.25</v>
      </c>
      <c r="J61" s="146">
        <v>1.66</v>
      </c>
      <c r="K61" s="146">
        <v>1.1200000000000001</v>
      </c>
      <c r="L61" s="146">
        <v>0.26</v>
      </c>
      <c r="M61" s="146">
        <v>0.12</v>
      </c>
      <c r="N61" s="146">
        <f t="shared" si="0"/>
        <v>22.250000000000004</v>
      </c>
    </row>
    <row r="62" spans="1:14" x14ac:dyDescent="0.2">
      <c r="A62" s="144">
        <v>1998</v>
      </c>
      <c r="B62" s="146">
        <v>0.04</v>
      </c>
      <c r="C62" s="146">
        <v>0.4</v>
      </c>
      <c r="D62" s="146">
        <v>0.92</v>
      </c>
      <c r="E62" s="146">
        <v>1.31</v>
      </c>
      <c r="F62" s="146">
        <v>2.0499999999999998</v>
      </c>
      <c r="G62" s="146">
        <v>2.19</v>
      </c>
      <c r="H62" s="146">
        <v>4.41</v>
      </c>
      <c r="I62" s="146">
        <v>0.87</v>
      </c>
      <c r="J62" s="146">
        <v>1.4</v>
      </c>
      <c r="K62" s="146">
        <v>1.28</v>
      </c>
      <c r="L62" s="146">
        <v>1.02</v>
      </c>
      <c r="M62" s="146">
        <v>0.72</v>
      </c>
      <c r="N62" s="146">
        <f t="shared" si="0"/>
        <v>16.61</v>
      </c>
    </row>
    <row r="63" spans="1:14" x14ac:dyDescent="0.2">
      <c r="A63" s="144">
        <v>1999</v>
      </c>
      <c r="B63" s="146">
        <v>0.34</v>
      </c>
      <c r="C63" s="146">
        <v>0.09</v>
      </c>
      <c r="D63" s="146">
        <v>0.46</v>
      </c>
      <c r="E63" s="146">
        <v>5.43</v>
      </c>
      <c r="F63" s="146">
        <v>5.51</v>
      </c>
      <c r="G63" s="146">
        <v>0.96</v>
      </c>
      <c r="H63" s="146">
        <v>2.79</v>
      </c>
      <c r="I63" s="146">
        <v>3.16</v>
      </c>
      <c r="J63" s="146">
        <v>2.33</v>
      </c>
      <c r="K63" s="146">
        <v>0.45</v>
      </c>
      <c r="L63" s="146">
        <v>0.35</v>
      </c>
      <c r="M63" s="146">
        <v>7.0000000000000007E-2</v>
      </c>
      <c r="N63" s="146">
        <f t="shared" si="0"/>
        <v>21.94</v>
      </c>
    </row>
    <row r="64" spans="1:14" x14ac:dyDescent="0.2">
      <c r="A64" s="144">
        <v>2000</v>
      </c>
      <c r="B64" s="146">
        <v>0.2</v>
      </c>
      <c r="C64" s="146">
        <v>0.55000000000000004</v>
      </c>
      <c r="D64" s="146">
        <v>0.64</v>
      </c>
      <c r="E64" s="146">
        <v>0.84</v>
      </c>
      <c r="F64" s="146">
        <v>1.51</v>
      </c>
      <c r="G64" s="146">
        <v>1.05</v>
      </c>
      <c r="H64" s="146">
        <v>0.72</v>
      </c>
      <c r="I64" s="146">
        <v>3.81</v>
      </c>
      <c r="J64" s="146">
        <v>1.87</v>
      </c>
      <c r="K64" s="146">
        <v>0.21</v>
      </c>
      <c r="L64" s="146">
        <v>0.44</v>
      </c>
      <c r="M64" s="146">
        <v>0.41</v>
      </c>
      <c r="N64" s="146">
        <f t="shared" si="0"/>
        <v>12.250000000000002</v>
      </c>
    </row>
    <row r="65" spans="1:24" x14ac:dyDescent="0.2">
      <c r="A65" s="144">
        <v>2001</v>
      </c>
      <c r="B65" s="146">
        <v>0.57999999999999996</v>
      </c>
      <c r="C65" s="146">
        <v>0.31</v>
      </c>
      <c r="D65" s="146">
        <v>0.74</v>
      </c>
      <c r="E65" s="146">
        <v>1.52</v>
      </c>
      <c r="F65" s="146">
        <v>3.33</v>
      </c>
      <c r="G65" s="146">
        <v>1.66</v>
      </c>
      <c r="H65" s="146">
        <v>2.67</v>
      </c>
      <c r="I65" s="146">
        <v>1.53</v>
      </c>
      <c r="J65" s="146">
        <v>0.97</v>
      </c>
      <c r="K65" s="146">
        <v>0.42</v>
      </c>
      <c r="L65" s="146">
        <v>0.28000000000000003</v>
      </c>
      <c r="M65" s="146">
        <v>0</v>
      </c>
      <c r="N65" s="146">
        <f t="shared" si="0"/>
        <v>14.01</v>
      </c>
    </row>
    <row r="66" spans="1:24" x14ac:dyDescent="0.2">
      <c r="A66" s="144">
        <v>2002</v>
      </c>
      <c r="B66" s="146">
        <v>0.23</v>
      </c>
      <c r="C66" s="146">
        <v>0.26</v>
      </c>
      <c r="D66" s="146">
        <v>0.69</v>
      </c>
      <c r="E66" s="146">
        <v>0.32</v>
      </c>
      <c r="F66" s="146">
        <v>1.27</v>
      </c>
      <c r="G66" s="146">
        <v>1.1200000000000001</v>
      </c>
      <c r="H66" s="146">
        <v>1.75</v>
      </c>
      <c r="I66" s="146">
        <v>1.28</v>
      </c>
      <c r="J66" s="146">
        <v>1.46</v>
      </c>
      <c r="K66" s="146">
        <v>0.7</v>
      </c>
      <c r="L66" s="146">
        <v>0.45</v>
      </c>
      <c r="M66" s="146">
        <v>0.03</v>
      </c>
      <c r="N66" s="146">
        <f t="shared" si="0"/>
        <v>9.5599999999999987</v>
      </c>
    </row>
    <row r="67" spans="1:24" x14ac:dyDescent="0.2">
      <c r="A67" s="144">
        <v>2003</v>
      </c>
      <c r="B67" s="146">
        <v>0.12</v>
      </c>
      <c r="C67" s="146">
        <v>0.48</v>
      </c>
      <c r="D67" s="146">
        <v>1.73</v>
      </c>
      <c r="E67" s="146">
        <v>1.19</v>
      </c>
      <c r="F67" s="146">
        <v>1.85</v>
      </c>
      <c r="G67" s="146">
        <v>2.94</v>
      </c>
      <c r="H67" s="146">
        <v>1.1100000000000001</v>
      </c>
      <c r="I67" s="146">
        <v>0.18</v>
      </c>
      <c r="J67" s="146">
        <v>2.4900000000000002</v>
      </c>
      <c r="K67" s="146">
        <v>0.01</v>
      </c>
      <c r="L67" s="146">
        <v>0.31</v>
      </c>
      <c r="M67" s="146">
        <v>0.28000000000000003</v>
      </c>
      <c r="N67" s="146">
        <f t="shared" si="0"/>
        <v>12.69</v>
      </c>
    </row>
    <row r="68" spans="1:24" x14ac:dyDescent="0.2">
      <c r="A68" s="144">
        <v>2004</v>
      </c>
      <c r="B68" s="146">
        <v>0.33</v>
      </c>
      <c r="C68" s="146">
        <v>0.51</v>
      </c>
      <c r="D68" s="146">
        <v>0</v>
      </c>
      <c r="E68" s="146">
        <v>0.84</v>
      </c>
      <c r="F68" s="146">
        <v>1.36</v>
      </c>
      <c r="G68" s="146">
        <v>2.27</v>
      </c>
      <c r="H68" s="146">
        <v>1.32</v>
      </c>
      <c r="I68" s="146">
        <v>0.86</v>
      </c>
      <c r="J68" s="146">
        <v>1.68</v>
      </c>
      <c r="K68" s="146">
        <v>1.41</v>
      </c>
      <c r="L68" s="146">
        <v>0.84</v>
      </c>
      <c r="M68" s="146">
        <v>0.13</v>
      </c>
      <c r="N68" s="146">
        <f t="shared" ref="N68:N77" si="1">SUM(B68:M68)</f>
        <v>11.550000000000002</v>
      </c>
    </row>
    <row r="69" spans="1:24" x14ac:dyDescent="0.2">
      <c r="A69" s="144">
        <v>2005</v>
      </c>
      <c r="B69" s="146">
        <v>0.43</v>
      </c>
      <c r="C69" s="146">
        <v>0.19</v>
      </c>
      <c r="D69" s="146">
        <v>1.22</v>
      </c>
      <c r="E69" s="146">
        <v>1.72</v>
      </c>
      <c r="F69" s="146">
        <v>2.17</v>
      </c>
      <c r="G69" s="146">
        <v>4.08</v>
      </c>
      <c r="H69" s="146">
        <v>0.51</v>
      </c>
      <c r="I69" s="146">
        <v>1.37</v>
      </c>
      <c r="J69" s="146">
        <v>0.22</v>
      </c>
      <c r="K69" s="146">
        <v>1.96</v>
      </c>
      <c r="L69" s="146">
        <v>0.4</v>
      </c>
      <c r="M69" s="146">
        <v>0.3</v>
      </c>
      <c r="N69" s="146">
        <f t="shared" si="1"/>
        <v>14.569999999999999</v>
      </c>
    </row>
    <row r="70" spans="1:24" x14ac:dyDescent="0.2">
      <c r="A70" s="144">
        <v>2006</v>
      </c>
      <c r="B70" s="146">
        <v>0</v>
      </c>
      <c r="C70" s="146">
        <v>0.42</v>
      </c>
      <c r="D70" s="146">
        <v>1.48</v>
      </c>
      <c r="E70" s="146">
        <v>0.23</v>
      </c>
      <c r="F70" s="146">
        <v>1.45</v>
      </c>
      <c r="G70" s="146">
        <v>0.43</v>
      </c>
      <c r="H70" s="146">
        <v>2.35</v>
      </c>
      <c r="I70" s="146">
        <v>1.75</v>
      </c>
      <c r="J70" s="146">
        <v>1.55</v>
      </c>
      <c r="K70" s="146">
        <v>0.64</v>
      </c>
      <c r="L70" s="146">
        <v>0.13</v>
      </c>
      <c r="M70" s="146">
        <v>1.41</v>
      </c>
      <c r="N70" s="146">
        <f t="shared" si="1"/>
        <v>11.840000000000002</v>
      </c>
    </row>
    <row r="71" spans="1:24" x14ac:dyDescent="0.2">
      <c r="A71" s="144">
        <v>2007</v>
      </c>
      <c r="B71" s="146">
        <v>0.33</v>
      </c>
      <c r="C71" s="146">
        <v>0.28999999999999998</v>
      </c>
      <c r="D71" s="146">
        <v>0.97</v>
      </c>
      <c r="E71" s="146">
        <v>0.99</v>
      </c>
      <c r="F71" s="146">
        <v>2.0699999999999998</v>
      </c>
      <c r="G71" s="146">
        <v>0.18</v>
      </c>
      <c r="H71" s="146">
        <v>2.2599999999999998</v>
      </c>
      <c r="I71" s="146">
        <v>3</v>
      </c>
      <c r="J71" s="146">
        <v>1.26</v>
      </c>
      <c r="K71" s="146">
        <v>1.24</v>
      </c>
      <c r="L71" s="146">
        <v>0.16</v>
      </c>
      <c r="M71" s="146">
        <v>1.03</v>
      </c>
      <c r="N71" s="146">
        <f t="shared" si="1"/>
        <v>13.78</v>
      </c>
    </row>
    <row r="72" spans="1:24" x14ac:dyDescent="0.2">
      <c r="A72" s="144">
        <v>2008</v>
      </c>
      <c r="B72" s="146">
        <v>0.03</v>
      </c>
      <c r="C72" s="146">
        <v>0.1</v>
      </c>
      <c r="D72" s="146">
        <v>0.59</v>
      </c>
      <c r="E72" s="146">
        <v>1.33</v>
      </c>
      <c r="F72" s="146">
        <v>1.46</v>
      </c>
      <c r="G72" s="146">
        <v>1.05</v>
      </c>
      <c r="H72" s="146">
        <v>0.17</v>
      </c>
      <c r="I72" s="146">
        <v>5.42</v>
      </c>
      <c r="J72" s="146">
        <v>1.62</v>
      </c>
      <c r="K72" s="146">
        <v>0.71</v>
      </c>
      <c r="L72" s="146">
        <v>0.15</v>
      </c>
      <c r="M72" s="146">
        <v>0.39</v>
      </c>
      <c r="N72" s="146">
        <f t="shared" si="1"/>
        <v>13.020000000000001</v>
      </c>
    </row>
    <row r="73" spans="1:24" x14ac:dyDescent="0.2">
      <c r="A73" s="144">
        <v>2009</v>
      </c>
      <c r="B73" s="146">
        <v>0.32</v>
      </c>
      <c r="C73" s="146">
        <v>7.0000000000000007E-2</v>
      </c>
      <c r="D73" s="146">
        <v>0.33</v>
      </c>
      <c r="E73" s="146">
        <v>2.87</v>
      </c>
      <c r="F73" s="146">
        <v>1.56</v>
      </c>
      <c r="G73" s="146">
        <v>5.47</v>
      </c>
      <c r="H73" s="146">
        <v>2.93</v>
      </c>
      <c r="I73" s="146">
        <v>1.06</v>
      </c>
      <c r="J73" s="146">
        <v>0.11</v>
      </c>
      <c r="K73" s="146">
        <v>1.22</v>
      </c>
      <c r="L73" s="146">
        <v>0.35</v>
      </c>
      <c r="M73" s="146">
        <v>0.9</v>
      </c>
      <c r="N73" s="146">
        <f t="shared" si="1"/>
        <v>17.190000000000001</v>
      </c>
    </row>
    <row r="74" spans="1:24" x14ac:dyDescent="0.2">
      <c r="A74" s="144">
        <v>2010</v>
      </c>
      <c r="B74" s="146">
        <v>0.06</v>
      </c>
      <c r="C74" s="146">
        <v>0.51</v>
      </c>
      <c r="D74" s="146">
        <v>0.9</v>
      </c>
      <c r="E74" s="146">
        <v>3.2</v>
      </c>
      <c r="F74" s="146">
        <v>4.21</v>
      </c>
      <c r="G74" s="146">
        <v>1.98</v>
      </c>
      <c r="H74" s="146">
        <v>1.65</v>
      </c>
      <c r="I74" s="146">
        <v>0.18</v>
      </c>
      <c r="J74" s="146">
        <v>0.1</v>
      </c>
      <c r="K74" s="146">
        <v>0.57999999999999996</v>
      </c>
      <c r="L74" s="146">
        <v>0.61</v>
      </c>
      <c r="M74" s="146">
        <v>0.22</v>
      </c>
      <c r="N74" s="146">
        <f t="shared" si="1"/>
        <v>14.2</v>
      </c>
    </row>
    <row r="75" spans="1:24" x14ac:dyDescent="0.2">
      <c r="A75" s="144">
        <v>2011</v>
      </c>
      <c r="B75" s="146">
        <v>7.0000000000000007E-2</v>
      </c>
      <c r="C75" s="146">
        <v>0.62</v>
      </c>
      <c r="D75" s="146">
        <v>0.41</v>
      </c>
      <c r="E75" s="146">
        <v>1.48</v>
      </c>
      <c r="F75" s="146">
        <v>3.58</v>
      </c>
      <c r="G75" s="146">
        <v>1.39</v>
      </c>
      <c r="H75" s="146">
        <v>2.5299999999999998</v>
      </c>
      <c r="I75" s="146">
        <v>0.66</v>
      </c>
      <c r="J75" s="146">
        <v>1.23</v>
      </c>
      <c r="K75" s="146">
        <v>1.8</v>
      </c>
      <c r="L75" s="146">
        <v>0.12</v>
      </c>
      <c r="M75" s="146">
        <v>0.14000000000000001</v>
      </c>
      <c r="N75" s="146">
        <f t="shared" si="1"/>
        <v>14.030000000000001</v>
      </c>
    </row>
    <row r="76" spans="1:24" x14ac:dyDescent="0.2">
      <c r="A76" s="144">
        <v>2012</v>
      </c>
      <c r="B76" s="146">
        <v>0.03</v>
      </c>
      <c r="C76" s="146">
        <v>0.43</v>
      </c>
      <c r="D76" s="146">
        <v>0</v>
      </c>
      <c r="E76" s="146">
        <v>0.52</v>
      </c>
      <c r="F76" s="146">
        <v>0.69</v>
      </c>
      <c r="G76" s="146">
        <v>0.37</v>
      </c>
      <c r="H76" s="146">
        <v>2.66</v>
      </c>
      <c r="I76" s="146">
        <v>0.34</v>
      </c>
      <c r="J76" s="146">
        <v>1.98</v>
      </c>
      <c r="K76" s="146">
        <v>7.0000000000000007E-2</v>
      </c>
      <c r="L76" s="146">
        <v>0.08</v>
      </c>
      <c r="M76" s="146">
        <v>0.31</v>
      </c>
      <c r="N76" s="146">
        <f t="shared" si="1"/>
        <v>7.4799999999999995</v>
      </c>
      <c r="O76" s="144" t="s">
        <v>200</v>
      </c>
      <c r="P76" s="144" t="s">
        <v>200</v>
      </c>
      <c r="Q76" s="144" t="s">
        <v>200</v>
      </c>
      <c r="R76" s="144" t="s">
        <v>200</v>
      </c>
      <c r="S76" s="144" t="s">
        <v>200</v>
      </c>
      <c r="T76" s="144" t="s">
        <v>200</v>
      </c>
      <c r="U76" s="144" t="s">
        <v>200</v>
      </c>
      <c r="V76" s="144" t="s">
        <v>200</v>
      </c>
      <c r="W76" s="144" t="s">
        <v>200</v>
      </c>
      <c r="X76" s="144" t="s">
        <v>200</v>
      </c>
    </row>
    <row r="77" spans="1:24" x14ac:dyDescent="0.2">
      <c r="A77" s="144">
        <v>2013</v>
      </c>
      <c r="B77" s="146">
        <v>7.0000000000000007E-2</v>
      </c>
      <c r="C77" s="146">
        <v>0.37</v>
      </c>
      <c r="D77" s="146">
        <v>0.21</v>
      </c>
      <c r="E77" s="146">
        <v>2.5</v>
      </c>
      <c r="F77" s="146">
        <v>1.97</v>
      </c>
      <c r="G77" s="146">
        <v>0.23</v>
      </c>
      <c r="H77" s="146">
        <v>2.4700000000000002</v>
      </c>
      <c r="I77" s="146">
        <v>1.69</v>
      </c>
      <c r="J77" s="146">
        <v>4.0999999999999996</v>
      </c>
      <c r="K77" s="146">
        <v>1.68</v>
      </c>
      <c r="L77" s="146">
        <v>0.26</v>
      </c>
      <c r="M77" s="146">
        <v>0.44</v>
      </c>
      <c r="N77" s="146">
        <f t="shared" si="1"/>
        <v>15.989999999999998</v>
      </c>
    </row>
    <row r="78" spans="1:24" x14ac:dyDescent="0.2">
      <c r="A78" s="144">
        <v>2014</v>
      </c>
      <c r="B78" s="146">
        <v>1.33</v>
      </c>
      <c r="C78" s="146">
        <v>0.61</v>
      </c>
      <c r="D78" s="146">
        <v>0.36</v>
      </c>
      <c r="E78" s="146">
        <v>0.26</v>
      </c>
      <c r="F78" s="146">
        <v>2.5099999999999998</v>
      </c>
      <c r="G78" s="146">
        <v>2.92</v>
      </c>
      <c r="H78" s="146">
        <v>2.58</v>
      </c>
      <c r="I78" s="146">
        <v>0.77</v>
      </c>
      <c r="J78" s="146">
        <v>1.33</v>
      </c>
      <c r="K78" s="146">
        <v>0.78</v>
      </c>
      <c r="L78" s="146">
        <v>0.83</v>
      </c>
      <c r="M78" s="146">
        <v>0.28000000000000003</v>
      </c>
      <c r="N78" s="146">
        <f>SUM(B78:M78)</f>
        <v>14.559999999999999</v>
      </c>
    </row>
    <row r="79" spans="1:24" x14ac:dyDescent="0.2">
      <c r="A79" s="144">
        <v>2015</v>
      </c>
      <c r="B79" s="146">
        <v>0.4</v>
      </c>
      <c r="C79" s="148">
        <v>0.54</v>
      </c>
      <c r="D79" s="148">
        <v>0.32</v>
      </c>
      <c r="E79" s="148">
        <v>1.44</v>
      </c>
      <c r="F79" s="148">
        <v>5.61</v>
      </c>
      <c r="G79" s="148">
        <v>1.95</v>
      </c>
      <c r="H79" s="148">
        <v>1.19</v>
      </c>
      <c r="I79" s="148">
        <v>0.57999999999999996</v>
      </c>
      <c r="J79" s="148">
        <v>0.04</v>
      </c>
      <c r="K79" s="148">
        <v>1.88</v>
      </c>
      <c r="L79" s="148">
        <v>0.53</v>
      </c>
      <c r="M79" s="148">
        <v>0.5</v>
      </c>
      <c r="N79" s="148">
        <f>SUM(B79:M79)</f>
        <v>14.979999999999999</v>
      </c>
    </row>
    <row r="80" spans="1:24" x14ac:dyDescent="0.2">
      <c r="A80" s="144">
        <v>2016</v>
      </c>
      <c r="B80" s="146">
        <v>0.27</v>
      </c>
      <c r="C80" s="148">
        <v>0.69</v>
      </c>
      <c r="D80" s="148">
        <v>0.82</v>
      </c>
      <c r="E80" s="148">
        <v>1.35</v>
      </c>
      <c r="F80" s="148">
        <v>1.42</v>
      </c>
      <c r="G80" s="148">
        <v>0.96</v>
      </c>
      <c r="H80" s="148"/>
      <c r="I80" s="148"/>
      <c r="J80" s="148"/>
      <c r="K80" s="148"/>
      <c r="L80" s="148"/>
      <c r="M80" s="148"/>
      <c r="N80" s="148"/>
    </row>
    <row r="81" spans="1:14" x14ac:dyDescent="0.2">
      <c r="A81" s="144" t="s">
        <v>201</v>
      </c>
      <c r="B81" s="146">
        <f t="shared" ref="B81:I81" si="2">AVERAGE(B3:B78)</f>
        <v>0.29934210526315791</v>
      </c>
      <c r="C81" s="146">
        <f t="shared" si="2"/>
        <v>0.27960526315789486</v>
      </c>
      <c r="D81" s="146">
        <f t="shared" si="2"/>
        <v>0.72394736842105234</v>
      </c>
      <c r="E81" s="146">
        <f t="shared" si="2"/>
        <v>1.2507894736842105</v>
      </c>
      <c r="F81" s="146">
        <f t="shared" si="2"/>
        <v>2.2273684210526317</v>
      </c>
      <c r="G81" s="146">
        <f t="shared" si="2"/>
        <v>2.2528947368421059</v>
      </c>
      <c r="H81" s="146">
        <f t="shared" si="2"/>
        <v>2.0469736842105264</v>
      </c>
      <c r="I81" s="146">
        <f t="shared" si="2"/>
        <v>1.6693421052631578</v>
      </c>
      <c r="J81" s="146">
        <f>AVERAGE(J3:J79)</f>
        <v>1.2435064935064939</v>
      </c>
      <c r="K81" s="146">
        <f>AVERAGE(K3:K79)</f>
        <v>0.78220779220779235</v>
      </c>
      <c r="L81" s="146">
        <f>AVERAGE(L3:L79)</f>
        <v>0.39155844155844155</v>
      </c>
      <c r="M81" s="146">
        <f>AVERAGE(M3:M79)</f>
        <v>0.27376623376623377</v>
      </c>
      <c r="N81" s="146">
        <f>AVERAGE(N3:N79)</f>
        <v>13.457922077922078</v>
      </c>
    </row>
    <row r="82" spans="1:14" x14ac:dyDescent="0.2">
      <c r="B82" s="146" t="s">
        <v>200</v>
      </c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</row>
    <row r="83" spans="1:14" x14ac:dyDescent="0.2">
      <c r="A83" s="149" t="s">
        <v>202</v>
      </c>
      <c r="B83" s="146">
        <f>B81</f>
        <v>0.29934210526315791</v>
      </c>
      <c r="C83" s="146">
        <f t="shared" ref="C83:M83" si="3">B83+C81</f>
        <v>0.57894736842105277</v>
      </c>
      <c r="D83" s="146">
        <f t="shared" si="3"/>
        <v>1.3028947368421051</v>
      </c>
      <c r="E83" s="146">
        <f t="shared" si="3"/>
        <v>2.5536842105263156</v>
      </c>
      <c r="F83" s="146">
        <f t="shared" si="3"/>
        <v>4.7810526315789472</v>
      </c>
      <c r="G83" s="146">
        <f t="shared" si="3"/>
        <v>7.0339473684210532</v>
      </c>
      <c r="H83" s="146">
        <f t="shared" si="3"/>
        <v>9.0809210526315791</v>
      </c>
      <c r="I83" s="146">
        <f t="shared" si="3"/>
        <v>10.750263157894738</v>
      </c>
      <c r="J83" s="146">
        <f t="shared" si="3"/>
        <v>11.993769651401232</v>
      </c>
      <c r="K83" s="146">
        <f t="shared" si="3"/>
        <v>12.775977443609024</v>
      </c>
      <c r="L83" s="146">
        <f t="shared" si="3"/>
        <v>13.167535885167466</v>
      </c>
      <c r="M83" s="146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220"/>
  <sheetViews>
    <sheetView topLeftCell="A46" zoomScale="80" zoomScaleNormal="80" workbookViewId="0">
      <selection activeCell="S85" sqref="S85"/>
    </sheetView>
  </sheetViews>
  <sheetFormatPr defaultColWidth="8.85546875" defaultRowHeight="12.75" x14ac:dyDescent="0.2"/>
  <cols>
    <col min="2" max="2" width="0.85546875" customWidth="1"/>
    <col min="3" max="3" width="9.7109375" customWidth="1"/>
    <col min="4" max="4" width="1.85546875" customWidth="1"/>
    <col min="5" max="5" width="11.7109375" customWidth="1"/>
    <col min="6" max="6" width="0.85546875" customWidth="1"/>
    <col min="7" max="7" width="17.7109375" customWidth="1"/>
    <col min="8" max="8" width="0.85546875" customWidth="1"/>
    <col min="9" max="9" width="14.140625" customWidth="1"/>
    <col min="10" max="10" width="5.42578125" customWidth="1"/>
    <col min="11" max="13" width="0.85546875" customWidth="1"/>
    <col min="14" max="14" width="2.7109375" customWidth="1"/>
    <col min="15" max="15" width="0.85546875" customWidth="1"/>
    <col min="16" max="20" width="10.7109375" customWidth="1"/>
    <col min="21" max="21" width="13.7109375" customWidth="1"/>
    <col min="22" max="22" width="10.7109375" customWidth="1"/>
    <col min="23" max="23" width="7.28515625" customWidth="1"/>
    <col min="25" max="28" width="10.7109375" customWidth="1"/>
    <col min="29" max="29" width="10.7109375" bestFit="1" customWidth="1"/>
  </cols>
  <sheetData>
    <row r="1" spans="1:39" x14ac:dyDescent="0.2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</row>
    <row r="2" spans="1:39" ht="21" x14ac:dyDescent="0.35">
      <c r="A2" s="5"/>
      <c r="C2" s="290" t="s">
        <v>280</v>
      </c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138"/>
      <c r="U2" s="139" t="s">
        <v>272</v>
      </c>
      <c r="V2">
        <v>1</v>
      </c>
      <c r="W2" s="5">
        <v>2</v>
      </c>
    </row>
    <row r="3" spans="1:39" ht="15" x14ac:dyDescent="0.25">
      <c r="A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5"/>
      <c r="O3" s="5"/>
      <c r="P3" s="5"/>
      <c r="Q3" s="5"/>
      <c r="R3" s="5"/>
      <c r="S3" s="5"/>
      <c r="T3" s="140"/>
      <c r="U3" s="139"/>
      <c r="W3" s="5"/>
    </row>
    <row r="4" spans="1:39" ht="15" x14ac:dyDescent="0.25">
      <c r="A4" s="5"/>
      <c r="C4" s="26"/>
      <c r="D4" s="26"/>
      <c r="E4" s="6"/>
      <c r="F4" s="6"/>
      <c r="G4" s="6"/>
      <c r="H4" s="6"/>
      <c r="I4" s="6"/>
      <c r="J4" s="6"/>
      <c r="K4" s="6"/>
      <c r="L4" s="6"/>
      <c r="M4" s="6"/>
      <c r="N4" s="21"/>
      <c r="O4" s="21"/>
      <c r="P4" s="21"/>
      <c r="Q4" s="21"/>
      <c r="R4" s="21"/>
      <c r="S4" s="21"/>
      <c r="T4" s="140"/>
      <c r="U4" s="139"/>
      <c r="W4" s="5"/>
    </row>
    <row r="5" spans="1:39" ht="19.5" customHeight="1" x14ac:dyDescent="0.25">
      <c r="A5" s="5"/>
      <c r="C5" s="137" t="s">
        <v>261</v>
      </c>
      <c r="D5" s="26"/>
      <c r="E5" s="6"/>
      <c r="F5" s="6"/>
      <c r="G5" s="6"/>
      <c r="H5" s="6"/>
      <c r="I5" s="6"/>
      <c r="J5" s="6"/>
      <c r="K5" s="6"/>
      <c r="L5" s="6"/>
      <c r="M5" s="6"/>
      <c r="N5" s="21"/>
      <c r="O5" s="21"/>
      <c r="P5" s="21"/>
      <c r="Q5" s="21"/>
      <c r="R5" s="21"/>
      <c r="S5" s="21"/>
      <c r="T5" s="140"/>
      <c r="U5" s="139"/>
      <c r="W5" s="5"/>
    </row>
    <row r="6" spans="1:39" ht="99" customHeight="1" x14ac:dyDescent="0.25">
      <c r="A6" s="5"/>
      <c r="C6" s="370" t="s">
        <v>268</v>
      </c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140"/>
      <c r="U6" s="139"/>
      <c r="W6" s="5"/>
    </row>
    <row r="7" spans="1:39" ht="15" customHeight="1" x14ac:dyDescent="0.25">
      <c r="A7" s="48"/>
      <c r="C7" s="49" t="s">
        <v>42</v>
      </c>
      <c r="D7" s="49"/>
      <c r="E7" s="48"/>
      <c r="F7" s="48"/>
      <c r="G7" s="48"/>
      <c r="H7" s="48"/>
      <c r="I7" s="48"/>
      <c r="J7" s="48"/>
      <c r="K7" s="48"/>
      <c r="L7" s="48"/>
      <c r="M7" s="48"/>
      <c r="N7" s="5"/>
      <c r="O7" s="48"/>
      <c r="P7" s="49" t="s">
        <v>43</v>
      </c>
      <c r="Q7" s="49"/>
      <c r="R7" s="49"/>
      <c r="S7" s="49"/>
      <c r="T7" s="48"/>
      <c r="U7" s="48"/>
      <c r="W7" s="5"/>
    </row>
    <row r="8" spans="1:39" ht="15" customHeight="1" x14ac:dyDescent="0.25">
      <c r="A8" s="48"/>
      <c r="C8" s="7" t="s">
        <v>1</v>
      </c>
      <c r="D8" s="7"/>
      <c r="E8" s="48"/>
      <c r="F8" s="48"/>
      <c r="G8" s="48"/>
      <c r="H8" s="48"/>
      <c r="I8" s="353">
        <v>600</v>
      </c>
      <c r="J8" s="48"/>
      <c r="K8" s="48"/>
      <c r="L8" s="48"/>
      <c r="M8" s="48"/>
      <c r="N8" s="5"/>
      <c r="O8" s="48"/>
      <c r="P8" s="8" t="s">
        <v>71</v>
      </c>
      <c r="Q8" s="8"/>
      <c r="R8" s="8"/>
      <c r="S8" s="8"/>
      <c r="T8" s="48"/>
      <c r="U8" s="363">
        <v>0.94</v>
      </c>
      <c r="V8" s="309"/>
      <c r="W8" s="5"/>
      <c r="Y8" s="230" t="s">
        <v>66</v>
      </c>
      <c r="Z8" s="231"/>
      <c r="AA8" s="231"/>
      <c r="AB8" s="231"/>
      <c r="AC8" s="232">
        <f>I8*U9</f>
        <v>450</v>
      </c>
      <c r="AD8" s="233" t="s">
        <v>69</v>
      </c>
    </row>
    <row r="9" spans="1:39" ht="15" customHeight="1" x14ac:dyDescent="0.25">
      <c r="A9" s="48"/>
      <c r="C9" s="7" t="s">
        <v>73</v>
      </c>
      <c r="D9" s="7"/>
      <c r="E9" s="48"/>
      <c r="F9" s="48"/>
      <c r="G9" s="48"/>
      <c r="H9" s="48"/>
      <c r="I9" s="354">
        <v>1200</v>
      </c>
      <c r="J9" s="48"/>
      <c r="K9" s="48"/>
      <c r="L9" s="48"/>
      <c r="M9" s="48"/>
      <c r="N9" s="5"/>
      <c r="O9" s="48"/>
      <c r="P9" s="7" t="s">
        <v>72</v>
      </c>
      <c r="Q9" s="7"/>
      <c r="R9" s="8"/>
      <c r="S9" s="8"/>
      <c r="T9" s="48"/>
      <c r="U9" s="363">
        <v>0.75</v>
      </c>
      <c r="V9" s="309"/>
      <c r="W9" s="5"/>
    </row>
    <row r="10" spans="1:39" ht="15" customHeight="1" x14ac:dyDescent="0.25">
      <c r="A10" s="48"/>
      <c r="C10" s="8" t="s">
        <v>3</v>
      </c>
      <c r="D10" s="8"/>
      <c r="E10" s="48"/>
      <c r="F10" s="48"/>
      <c r="G10" s="48"/>
      <c r="H10" s="48"/>
      <c r="I10" s="355">
        <v>850</v>
      </c>
      <c r="J10" s="48"/>
      <c r="K10" s="48"/>
      <c r="L10" s="48"/>
      <c r="M10" s="48"/>
      <c r="N10" s="5"/>
      <c r="O10" s="48"/>
      <c r="P10" s="7" t="s">
        <v>31</v>
      </c>
      <c r="Q10" s="7"/>
      <c r="R10" s="50"/>
      <c r="S10" s="50"/>
      <c r="T10" s="5"/>
      <c r="U10" s="364">
        <v>375</v>
      </c>
      <c r="V10" s="309" t="s">
        <v>270</v>
      </c>
      <c r="W10" s="5"/>
    </row>
    <row r="11" spans="1:39" ht="15" customHeight="1" thickBot="1" x14ac:dyDescent="0.3">
      <c r="A11" s="48"/>
      <c r="C11" s="50" t="s">
        <v>54</v>
      </c>
      <c r="D11" s="8"/>
      <c r="E11" s="48"/>
      <c r="F11" s="48"/>
      <c r="G11" s="48"/>
      <c r="H11" s="48"/>
      <c r="I11" s="354">
        <v>15</v>
      </c>
      <c r="J11" s="48"/>
      <c r="K11" s="48"/>
      <c r="L11" s="48"/>
      <c r="M11" s="48"/>
      <c r="N11" s="5"/>
      <c r="O11" s="48"/>
      <c r="P11" s="7" t="s">
        <v>32</v>
      </c>
      <c r="Q11" s="7"/>
      <c r="R11" s="50"/>
      <c r="S11" s="50"/>
      <c r="T11" s="5"/>
      <c r="U11" s="365">
        <v>600</v>
      </c>
      <c r="V11" s="335">
        <f ca="1">((U11-U10)*I13)+U10</f>
        <v>534.50140397067605</v>
      </c>
      <c r="AH11" s="305"/>
      <c r="AI11" s="300"/>
      <c r="AJ11" s="300"/>
      <c r="AK11" s="300"/>
      <c r="AM11" s="300"/>
    </row>
    <row r="12" spans="1:39" ht="15" customHeight="1" thickTop="1" thickBot="1" x14ac:dyDescent="0.3">
      <c r="A12" s="48"/>
      <c r="C12" s="8" t="s">
        <v>46</v>
      </c>
      <c r="D12" s="8"/>
      <c r="E12" s="48"/>
      <c r="F12" s="48"/>
      <c r="G12" s="48"/>
      <c r="H12" s="48"/>
      <c r="I12" s="355">
        <v>500</v>
      </c>
      <c r="J12" s="48"/>
      <c r="K12" s="48"/>
      <c r="L12" s="48"/>
      <c r="M12" s="48"/>
      <c r="N12" s="5"/>
      <c r="O12" s="48"/>
      <c r="P12" s="378" t="s">
        <v>279</v>
      </c>
      <c r="Q12" s="378"/>
      <c r="R12" s="378"/>
      <c r="S12" s="378"/>
      <c r="T12" s="378"/>
      <c r="U12" s="334">
        <f ca="1">'Drought Calculator'!F3</f>
        <v>0.70889512875856031</v>
      </c>
      <c r="V12" s="367"/>
      <c r="AH12" s="305"/>
      <c r="AJ12" s="300"/>
      <c r="AK12" s="300"/>
      <c r="AM12" s="300"/>
    </row>
    <row r="13" spans="1:39" ht="15" customHeight="1" thickTop="1" thickBot="1" x14ac:dyDescent="0.3">
      <c r="A13" s="48"/>
      <c r="C13" s="378" t="s">
        <v>279</v>
      </c>
      <c r="D13" s="378"/>
      <c r="E13" s="378"/>
      <c r="F13" s="378"/>
      <c r="G13" s="378"/>
      <c r="H13" s="48"/>
      <c r="I13" s="334">
        <f ca="1">'Drought Calculator'!F3</f>
        <v>0.70889512875856031</v>
      </c>
      <c r="J13" s="48"/>
      <c r="K13" s="48"/>
      <c r="L13" s="48"/>
      <c r="M13" s="48"/>
      <c r="N13" s="5"/>
      <c r="O13" s="48"/>
      <c r="P13" s="306" t="s">
        <v>273</v>
      </c>
      <c r="Q13" s="306"/>
      <c r="R13" s="50"/>
      <c r="S13" s="50"/>
      <c r="T13" s="5"/>
      <c r="U13" s="5" t="s">
        <v>269</v>
      </c>
      <c r="V13" s="307" t="s">
        <v>265</v>
      </c>
      <c r="W13" s="308" t="s">
        <v>271</v>
      </c>
      <c r="X13" s="308" t="s">
        <v>266</v>
      </c>
      <c r="AH13" s="305"/>
      <c r="AJ13" s="300"/>
      <c r="AK13" s="300"/>
      <c r="AM13" s="300"/>
    </row>
    <row r="14" spans="1:39" ht="15" customHeight="1" thickTop="1" x14ac:dyDescent="0.25">
      <c r="A14" s="48"/>
      <c r="C14" s="49" t="s">
        <v>45</v>
      </c>
      <c r="D14" s="49"/>
      <c r="E14" s="48"/>
      <c r="F14" s="48"/>
      <c r="G14" s="48"/>
      <c r="H14" s="48"/>
      <c r="I14" s="48"/>
      <c r="J14" s="48"/>
      <c r="K14" s="48"/>
      <c r="L14" s="48"/>
      <c r="M14" s="48"/>
      <c r="N14" s="5"/>
      <c r="O14" s="48"/>
      <c r="P14" s="26" t="s">
        <v>44</v>
      </c>
      <c r="Q14" s="26"/>
      <c r="R14" s="50"/>
      <c r="S14" s="50"/>
      <c r="T14" s="5"/>
      <c r="U14" s="366">
        <v>1.45</v>
      </c>
      <c r="V14" s="307"/>
      <c r="W14" s="308"/>
      <c r="X14" s="307"/>
      <c r="AH14" s="305"/>
      <c r="AJ14" s="300"/>
      <c r="AK14" s="300"/>
      <c r="AM14" s="300"/>
    </row>
    <row r="15" spans="1:39" ht="15" customHeight="1" x14ac:dyDescent="0.25">
      <c r="A15" s="48"/>
      <c r="C15" s="8" t="s">
        <v>52</v>
      </c>
      <c r="D15" s="49"/>
      <c r="E15" s="48"/>
      <c r="F15" s="48"/>
      <c r="G15" s="48"/>
      <c r="H15" s="48"/>
      <c r="I15" s="356">
        <v>6.5000000000000002E-2</v>
      </c>
      <c r="J15" s="48"/>
      <c r="K15" s="48"/>
      <c r="L15" s="48"/>
      <c r="M15" s="48"/>
      <c r="N15" s="5"/>
      <c r="O15" s="48"/>
      <c r="P15" s="52" t="s">
        <v>75</v>
      </c>
      <c r="Q15" s="52"/>
      <c r="R15" s="50"/>
      <c r="S15" s="50"/>
      <c r="U15" s="25">
        <f ca="1">_xll.RiskTriang(V15,W15,X15,_xll.RiskStatic(W15))</f>
        <v>1.35</v>
      </c>
      <c r="V15" s="308">
        <v>1.3</v>
      </c>
      <c r="W15" s="308">
        <v>1.35</v>
      </c>
      <c r="X15" s="307">
        <v>1.4</v>
      </c>
      <c r="Y15" s="36" t="s">
        <v>172</v>
      </c>
      <c r="Z15" s="85"/>
      <c r="AA15" s="223" t="s">
        <v>61</v>
      </c>
      <c r="AB15" s="224" t="s">
        <v>62</v>
      </c>
      <c r="AH15" s="305"/>
      <c r="AJ15" s="300"/>
      <c r="AK15" s="300"/>
      <c r="AM15" s="300"/>
    </row>
    <row r="16" spans="1:39" ht="15" customHeight="1" x14ac:dyDescent="0.25">
      <c r="A16" s="48"/>
      <c r="C16" s="8" t="s">
        <v>53</v>
      </c>
      <c r="D16" s="7"/>
      <c r="E16" s="48"/>
      <c r="F16" s="48"/>
      <c r="G16" s="48"/>
      <c r="H16" s="48"/>
      <c r="I16" s="356">
        <v>1.2500000000000001E-2</v>
      </c>
      <c r="J16" s="48"/>
      <c r="K16" s="48"/>
      <c r="L16" s="48"/>
      <c r="M16" s="48"/>
      <c r="N16" s="5"/>
      <c r="O16" s="48"/>
      <c r="P16" s="52" t="s">
        <v>103</v>
      </c>
      <c r="Q16" s="52"/>
      <c r="R16" s="8"/>
      <c r="S16" s="8"/>
      <c r="U16" s="25">
        <f ca="1">_xll.RiskTriang(V16,W16,X16,_xll.RiskStatic(W16))</f>
        <v>1.45</v>
      </c>
      <c r="V16" s="308">
        <v>1.4</v>
      </c>
      <c r="W16" s="308">
        <v>1.45</v>
      </c>
      <c r="X16" s="307">
        <v>1.5</v>
      </c>
      <c r="Y16" s="225">
        <f>I22</f>
        <v>1</v>
      </c>
      <c r="Z16" s="226"/>
      <c r="AA16" s="226">
        <f>IF($U$20&lt;2,U19-I21,12-I21)</f>
        <v>6</v>
      </c>
      <c r="AB16" s="227">
        <f>AA16*30</f>
        <v>180</v>
      </c>
      <c r="AH16" s="305"/>
      <c r="AJ16" s="300"/>
      <c r="AK16" s="300"/>
      <c r="AM16" s="300"/>
    </row>
    <row r="17" spans="1:39" ht="15" customHeight="1" x14ac:dyDescent="0.25">
      <c r="A17" s="48"/>
      <c r="C17" s="50" t="s">
        <v>37</v>
      </c>
      <c r="D17" s="7"/>
      <c r="E17" s="48"/>
      <c r="F17" s="48"/>
      <c r="G17" s="48"/>
      <c r="H17" s="48"/>
      <c r="I17" s="355">
        <v>0</v>
      </c>
      <c r="J17" s="48"/>
      <c r="K17" s="48"/>
      <c r="L17" s="48"/>
      <c r="M17" s="48"/>
      <c r="N17" s="5"/>
      <c r="O17" s="48"/>
      <c r="P17" s="136" t="s">
        <v>102</v>
      </c>
      <c r="Q17" s="52"/>
      <c r="R17" s="8"/>
      <c r="S17" s="8"/>
      <c r="U17" s="25">
        <f ca="1">_xll.RiskTriang(V17,W17,X17,_xll.RiskStatic(W17))</f>
        <v>1.45</v>
      </c>
      <c r="V17" s="308">
        <v>1.35</v>
      </c>
      <c r="W17" s="308">
        <v>1.45</v>
      </c>
      <c r="X17" s="307">
        <v>1.5</v>
      </c>
      <c r="Y17" s="225">
        <f>Y16+1</f>
        <v>2</v>
      </c>
      <c r="Z17" s="226"/>
      <c r="AA17" s="226">
        <f>IF($U$20&gt;Y17,12,IF($U$20=Y17,$U$19,0))</f>
        <v>4</v>
      </c>
      <c r="AB17" s="227">
        <f>AA17*30</f>
        <v>120</v>
      </c>
      <c r="AH17" s="305"/>
      <c r="AJ17" s="300"/>
      <c r="AK17" s="300"/>
      <c r="AM17" s="300"/>
    </row>
    <row r="18" spans="1:39" ht="15" customHeight="1" x14ac:dyDescent="0.25">
      <c r="A18" s="48"/>
      <c r="C18" s="7" t="s">
        <v>30</v>
      </c>
      <c r="D18" s="7"/>
      <c r="E18" s="48"/>
      <c r="F18" s="48"/>
      <c r="G18" s="48"/>
      <c r="H18" s="48"/>
      <c r="I18" s="357">
        <v>0.19</v>
      </c>
      <c r="J18" s="48"/>
      <c r="K18" s="48"/>
      <c r="L18" s="48"/>
      <c r="M18" s="48"/>
      <c r="N18" s="9"/>
      <c r="O18" s="51"/>
      <c r="P18" s="5"/>
      <c r="Q18" s="5"/>
      <c r="R18" s="50"/>
      <c r="S18" s="50"/>
      <c r="T18" s="5"/>
      <c r="U18" s="5"/>
      <c r="W18" s="5"/>
      <c r="Y18" s="225">
        <f>Y17+1</f>
        <v>3</v>
      </c>
      <c r="Z18" s="226"/>
      <c r="AA18" s="226">
        <f>IF($U$20&gt;Y18,12,IF($U$20=Y18,$U$19,0))</f>
        <v>0</v>
      </c>
      <c r="AB18" s="227">
        <f>AA18*30</f>
        <v>0</v>
      </c>
      <c r="AH18" s="305"/>
      <c r="AJ18" s="300"/>
      <c r="AK18" s="300"/>
      <c r="AM18" s="300"/>
    </row>
    <row r="19" spans="1:39" ht="15" customHeight="1" x14ac:dyDescent="0.25">
      <c r="A19" s="48"/>
      <c r="C19" s="7" t="s">
        <v>213</v>
      </c>
      <c r="I19" s="358">
        <v>1</v>
      </c>
      <c r="J19" s="48"/>
      <c r="K19" s="48"/>
      <c r="L19" s="48"/>
      <c r="M19" s="48"/>
      <c r="N19" s="5"/>
      <c r="O19" s="48"/>
      <c r="P19" s="132" t="s">
        <v>267</v>
      </c>
      <c r="Q19" s="49"/>
      <c r="R19" s="7"/>
      <c r="S19" s="134" t="s">
        <v>98</v>
      </c>
      <c r="T19" s="5"/>
      <c r="U19" s="361">
        <v>4</v>
      </c>
      <c r="W19" s="5"/>
      <c r="Y19" s="225">
        <f>Y18+1</f>
        <v>4</v>
      </c>
      <c r="Z19" s="226"/>
      <c r="AA19" s="226">
        <f>IF($U$20&gt;Y19,12,IF($U$20=Y19,$U$19,0))</f>
        <v>0</v>
      </c>
      <c r="AB19" s="227">
        <f>AA19*30</f>
        <v>0</v>
      </c>
      <c r="AH19" s="305"/>
      <c r="AJ19" s="300"/>
      <c r="AK19" s="300"/>
      <c r="AM19" s="300"/>
    </row>
    <row r="20" spans="1:39" ht="15" customHeight="1" x14ac:dyDescent="0.25">
      <c r="A20" s="48"/>
      <c r="J20" s="48"/>
      <c r="K20" s="48"/>
      <c r="L20" s="48"/>
      <c r="M20" s="48"/>
      <c r="N20" s="5"/>
      <c r="O20" s="48"/>
      <c r="P20" s="49"/>
      <c r="Q20" s="49"/>
      <c r="R20" s="5"/>
      <c r="S20" s="135" t="s">
        <v>247</v>
      </c>
      <c r="T20" s="5"/>
      <c r="U20" s="362">
        <v>2</v>
      </c>
      <c r="W20" s="5"/>
      <c r="Y20" s="228">
        <f>Y19+1</f>
        <v>5</v>
      </c>
      <c r="Z20" s="107"/>
      <c r="AA20" s="107">
        <f>IF($U$20&gt;Y20,12,IF($U$20=Y20,$U$19,0))</f>
        <v>0</v>
      </c>
      <c r="AB20" s="229">
        <f>AA20*30</f>
        <v>0</v>
      </c>
      <c r="AH20" s="305"/>
      <c r="AJ20" s="300"/>
      <c r="AK20" s="300"/>
      <c r="AM20" s="300"/>
    </row>
    <row r="21" spans="1:39" ht="15" customHeight="1" x14ac:dyDescent="0.25">
      <c r="A21" s="48"/>
      <c r="C21" s="133" t="s">
        <v>171</v>
      </c>
      <c r="I21" s="359">
        <v>6</v>
      </c>
      <c r="J21" s="48"/>
      <c r="K21" s="48"/>
      <c r="L21" s="48"/>
      <c r="M21" s="48"/>
      <c r="N21" s="5"/>
      <c r="O21" s="48"/>
      <c r="P21" s="49"/>
      <c r="Q21" s="49"/>
      <c r="R21" s="5"/>
      <c r="S21" s="135"/>
      <c r="T21" s="5"/>
      <c r="U21" s="5"/>
      <c r="W21" s="5"/>
      <c r="Y21" s="228"/>
      <c r="Z21" s="107"/>
      <c r="AA21" s="107">
        <f>SUM(AA16:AA20)</f>
        <v>10</v>
      </c>
      <c r="AB21" s="229">
        <f>SUM(AB16:AB20)</f>
        <v>300</v>
      </c>
      <c r="AH21" s="305"/>
      <c r="AI21" s="300"/>
      <c r="AJ21" s="300"/>
      <c r="AK21" s="300"/>
      <c r="AM21" s="300"/>
    </row>
    <row r="22" spans="1:39" ht="15" customHeight="1" x14ac:dyDescent="0.25">
      <c r="A22" s="48"/>
      <c r="C22" s="132" t="s">
        <v>247</v>
      </c>
      <c r="E22">
        <f ca="1">'Drought Calculator'!B9</f>
        <v>2002</v>
      </c>
      <c r="I22" s="360">
        <v>1</v>
      </c>
      <c r="J22" s="48"/>
      <c r="K22" s="48"/>
      <c r="L22" s="48"/>
      <c r="M22" s="48"/>
      <c r="N22" s="5"/>
      <c r="O22" s="48"/>
      <c r="P22" s="377"/>
      <c r="Q22" s="377"/>
      <c r="R22" s="377"/>
      <c r="S22" s="377"/>
      <c r="T22" s="377"/>
      <c r="W22" s="5"/>
      <c r="AH22" s="305"/>
      <c r="AI22" s="300"/>
      <c r="AJ22" s="300"/>
      <c r="AK22" s="300"/>
      <c r="AM22" s="300"/>
    </row>
    <row r="23" spans="1:39" ht="15.95" customHeight="1" x14ac:dyDescent="0.25">
      <c r="A23" s="48"/>
      <c r="C23" s="5"/>
      <c r="D23" s="5"/>
      <c r="E23" s="5"/>
      <c r="F23" s="5"/>
      <c r="G23" s="5"/>
      <c r="H23" s="5"/>
      <c r="I23" s="5"/>
      <c r="J23" s="48"/>
      <c r="K23" s="48"/>
      <c r="L23" s="48"/>
      <c r="M23" s="48"/>
      <c r="N23" s="5"/>
      <c r="O23" s="48"/>
      <c r="P23" s="377"/>
      <c r="Q23" s="377"/>
      <c r="R23" s="377"/>
      <c r="S23" s="377"/>
      <c r="T23" s="377"/>
      <c r="W23" s="5"/>
      <c r="AH23" s="305"/>
      <c r="AI23" s="300"/>
      <c r="AJ23" s="300"/>
      <c r="AK23" s="300"/>
      <c r="AM23" s="300"/>
    </row>
    <row r="24" spans="1:39" ht="15" customHeight="1" x14ac:dyDescent="0.25">
      <c r="A24" s="48"/>
      <c r="C24" s="32" t="s">
        <v>4</v>
      </c>
      <c r="D24" s="32"/>
      <c r="E24" s="48"/>
      <c r="F24" s="48"/>
      <c r="G24" s="48"/>
      <c r="H24" s="48"/>
      <c r="I24" s="48"/>
      <c r="J24" s="48"/>
      <c r="N24" s="5"/>
      <c r="O24" s="5"/>
      <c r="P24" s="5"/>
      <c r="Q24" s="5"/>
      <c r="R24" s="48"/>
      <c r="S24" s="48"/>
      <c r="T24" s="48"/>
      <c r="U24" s="5"/>
      <c r="W24" s="5"/>
      <c r="Y24" s="82"/>
      <c r="Z24" s="82"/>
      <c r="AA24" s="82"/>
      <c r="AB24" s="82"/>
      <c r="AI24" s="300"/>
      <c r="AJ24" s="300"/>
      <c r="AK24" s="300"/>
    </row>
    <row r="25" spans="1:39" ht="15" customHeight="1" x14ac:dyDescent="0.25">
      <c r="A25" s="48"/>
      <c r="C25" s="310"/>
      <c r="D25" s="311"/>
      <c r="E25" s="312"/>
      <c r="F25" s="312"/>
      <c r="G25" s="312"/>
      <c r="H25" s="311"/>
      <c r="I25" s="313" t="s">
        <v>5</v>
      </c>
      <c r="N25" s="5"/>
      <c r="P25" s="5"/>
      <c r="Q25" s="5"/>
      <c r="R25" s="5"/>
      <c r="S25" s="5"/>
      <c r="T25" s="5"/>
      <c r="U25" s="5"/>
      <c r="W25" s="5"/>
    </row>
    <row r="26" spans="1:39" ht="15" customHeight="1" x14ac:dyDescent="0.25">
      <c r="A26" s="48"/>
      <c r="C26" s="314" t="s">
        <v>8</v>
      </c>
      <c r="D26" s="140"/>
      <c r="E26" s="315"/>
      <c r="F26" s="315"/>
      <c r="G26" s="316" t="s">
        <v>9</v>
      </c>
      <c r="H26" s="317"/>
      <c r="I26" s="318" t="s">
        <v>10</v>
      </c>
      <c r="N26" s="5"/>
      <c r="P26" s="326" t="s">
        <v>6</v>
      </c>
      <c r="Q26" s="327"/>
      <c r="R26" s="327"/>
      <c r="S26" s="327"/>
      <c r="T26" s="371" t="s">
        <v>7</v>
      </c>
      <c r="U26" s="372"/>
      <c r="W26" s="5"/>
    </row>
    <row r="27" spans="1:39" ht="15" customHeight="1" thickBot="1" x14ac:dyDescent="0.3">
      <c r="A27" s="48"/>
      <c r="C27" s="319" t="s">
        <v>14</v>
      </c>
      <c r="D27" s="320"/>
      <c r="E27" s="315"/>
      <c r="F27" s="315"/>
      <c r="G27" s="336">
        <v>22</v>
      </c>
      <c r="H27" s="337"/>
      <c r="I27" s="338">
        <f ca="1">_xll.RiskNormal(100,120,_xll.RiskStatic(100))</f>
        <v>100</v>
      </c>
      <c r="N27" s="5"/>
      <c r="P27" s="328" t="s">
        <v>11</v>
      </c>
      <c r="Q27" s="329"/>
      <c r="R27" s="329"/>
      <c r="S27" s="329"/>
      <c r="T27" s="330" t="s">
        <v>12</v>
      </c>
      <c r="U27" s="331" t="s">
        <v>13</v>
      </c>
      <c r="W27" s="5"/>
    </row>
    <row r="28" spans="1:39" ht="15" customHeight="1" x14ac:dyDescent="0.25">
      <c r="A28" s="48"/>
      <c r="C28" s="321" t="s">
        <v>15</v>
      </c>
      <c r="D28" s="322"/>
      <c r="E28" s="323"/>
      <c r="F28" s="315"/>
      <c r="G28" s="336">
        <v>0</v>
      </c>
      <c r="H28" s="337"/>
      <c r="I28" s="338">
        <v>0</v>
      </c>
      <c r="N28" s="5"/>
      <c r="P28" s="344">
        <f>AB16</f>
        <v>180</v>
      </c>
      <c r="Q28" s="332"/>
      <c r="R28" s="332"/>
      <c r="S28" s="332"/>
      <c r="T28" s="339">
        <f ca="1">I29*P28</f>
        <v>198.00000000000003</v>
      </c>
      <c r="U28" s="340">
        <f ca="1">T28*I8</f>
        <v>118800.00000000001</v>
      </c>
      <c r="W28" s="5"/>
    </row>
    <row r="29" spans="1:39" ht="15" customHeight="1" x14ac:dyDescent="0.25">
      <c r="A29" s="48"/>
      <c r="C29" s="321" t="s">
        <v>47</v>
      </c>
      <c r="D29" s="322"/>
      <c r="E29" s="323"/>
      <c r="F29" s="323"/>
      <c r="G29" s="323"/>
      <c r="H29" s="324"/>
      <c r="I29" s="325">
        <f ca="1">(G27*(I27/2000))+(G28*(I28/2000))</f>
        <v>1.1000000000000001</v>
      </c>
      <c r="N29" s="5"/>
      <c r="P29" s="345">
        <f>AB17</f>
        <v>120</v>
      </c>
      <c r="Q29" s="332"/>
      <c r="R29" s="332"/>
      <c r="S29" s="332"/>
      <c r="T29" s="339">
        <f ca="1">I29*P29</f>
        <v>132</v>
      </c>
      <c r="U29" s="340">
        <f ca="1">T29*I8</f>
        <v>79200</v>
      </c>
      <c r="W29" s="5"/>
    </row>
    <row r="30" spans="1:39" ht="9.9499999999999993" customHeight="1" x14ac:dyDescent="0.25">
      <c r="A30" s="48"/>
      <c r="C30" s="5"/>
      <c r="D30" s="5"/>
      <c r="E30" s="5"/>
      <c r="F30" s="5"/>
      <c r="G30" s="5"/>
      <c r="H30" s="5"/>
      <c r="I30" s="5"/>
      <c r="N30" s="5"/>
      <c r="P30" s="341">
        <f>AB21</f>
        <v>300</v>
      </c>
      <c r="Q30" s="333"/>
      <c r="R30" s="333"/>
      <c r="S30" s="333"/>
      <c r="T30" s="342">
        <f ca="1">I29*P30</f>
        <v>330</v>
      </c>
      <c r="U30" s="343">
        <f ca="1">T30*I8</f>
        <v>198000</v>
      </c>
      <c r="W30" s="5"/>
    </row>
    <row r="31" spans="1:39" ht="15" customHeight="1" x14ac:dyDescent="0.25">
      <c r="A31" s="48"/>
      <c r="C31" s="43" t="s">
        <v>214</v>
      </c>
      <c r="D31" s="19"/>
      <c r="E31" s="46"/>
      <c r="P31" s="5"/>
      <c r="Q31" s="5"/>
      <c r="R31" s="5"/>
      <c r="S31" s="5"/>
      <c r="T31" s="5"/>
      <c r="U31" s="5"/>
      <c r="W31" s="5"/>
    </row>
    <row r="32" spans="1:39" ht="15" customHeight="1" x14ac:dyDescent="0.25">
      <c r="A32" s="48"/>
      <c r="C32" s="234" t="s">
        <v>226</v>
      </c>
      <c r="D32" s="155"/>
      <c r="E32" s="156"/>
      <c r="F32" s="156"/>
      <c r="G32" s="156"/>
      <c r="H32" s="156"/>
      <c r="I32" s="1">
        <v>3000</v>
      </c>
      <c r="P32" s="43" t="s">
        <v>214</v>
      </c>
      <c r="Q32" s="19"/>
      <c r="R32" s="46"/>
      <c r="Y32" s="85"/>
      <c r="Z32" s="85"/>
      <c r="AA32" s="85"/>
      <c r="AB32" s="102">
        <f>AC8-I47</f>
        <v>448</v>
      </c>
      <c r="AC32" s="103" t="s">
        <v>69</v>
      </c>
    </row>
    <row r="33" spans="1:29" ht="15" customHeight="1" x14ac:dyDescent="0.25">
      <c r="A33" s="48"/>
      <c r="C33" s="235" t="s">
        <v>204</v>
      </c>
      <c r="D33" s="157"/>
      <c r="E33" s="158"/>
      <c r="F33" s="158"/>
      <c r="G33" s="158"/>
      <c r="H33" s="158"/>
      <c r="I33" s="187">
        <v>0.9</v>
      </c>
      <c r="P33" s="234" t="s">
        <v>239</v>
      </c>
      <c r="Q33" s="155"/>
      <c r="R33" s="156"/>
      <c r="S33" s="156"/>
      <c r="T33" s="156"/>
      <c r="U33" s="189">
        <f t="array" ref="U33">SUM(('RI-Insurance'!F6:F16*0.01)*'RI-Insurance'!E6:E16)</f>
        <v>13944.150000000001</v>
      </c>
      <c r="X33" s="36" t="s">
        <v>67</v>
      </c>
      <c r="Y33" s="87"/>
      <c r="Z33" s="87"/>
      <c r="AA33" s="87"/>
      <c r="AB33" s="104">
        <f>U11*(1+I48)</f>
        <v>540</v>
      </c>
      <c r="AC33" s="94" t="s">
        <v>70</v>
      </c>
    </row>
    <row r="34" spans="1:29" ht="15" customHeight="1" x14ac:dyDescent="0.25">
      <c r="A34" s="48"/>
      <c r="C34" s="235" t="s">
        <v>227</v>
      </c>
      <c r="D34" s="157"/>
      <c r="E34" s="158"/>
      <c r="F34" s="158"/>
      <c r="G34" s="158"/>
      <c r="H34" s="158"/>
      <c r="I34" s="187">
        <v>1</v>
      </c>
      <c r="P34" s="235" t="s">
        <v>238</v>
      </c>
      <c r="Q34" s="157"/>
      <c r="R34" s="158"/>
      <c r="S34" s="158"/>
      <c r="T34" s="158"/>
      <c r="U34" s="189">
        <f>U33*(1-I36)</f>
        <v>6832.6335000000008</v>
      </c>
      <c r="X34" s="37" t="s">
        <v>68</v>
      </c>
      <c r="Y34" s="87"/>
      <c r="Z34" s="87"/>
      <c r="AA34" s="87"/>
      <c r="AB34" s="105">
        <f ca="1">AC8*U11*U15</f>
        <v>364500</v>
      </c>
      <c r="AC34" s="94"/>
    </row>
    <row r="35" spans="1:29" ht="15" customHeight="1" x14ac:dyDescent="0.25">
      <c r="A35" s="48"/>
      <c r="C35" s="235" t="s">
        <v>228</v>
      </c>
      <c r="D35" s="157"/>
      <c r="E35" s="158"/>
      <c r="F35" s="158"/>
      <c r="G35" s="158"/>
      <c r="H35" s="158"/>
      <c r="I35" s="2">
        <v>33</v>
      </c>
      <c r="P35" s="235" t="s">
        <v>240</v>
      </c>
      <c r="Q35" s="157"/>
      <c r="R35" s="158"/>
      <c r="S35" s="158"/>
      <c r="T35" s="158"/>
      <c r="U35" s="190">
        <f t="array" aca="1" ref="U35" ca="1">SUMPRODUCT((I33-IF('RI-Insurance'!$G$6:$G$16/'RI-Insurance'!$C$6:$C$16 &lt; I33, 'RI-Insurance'!$G$6:$G$16/'RI-Insurance'!$C$6:$C$16, I33))/I33,'RI-Insurance'!$F$6:$F$16)</f>
        <v>38263.5</v>
      </c>
      <c r="X35" s="37" t="s">
        <v>63</v>
      </c>
      <c r="Y35" s="89"/>
      <c r="Z35" s="89"/>
      <c r="AA35" s="89"/>
      <c r="AB35" s="90">
        <f ca="1">AB32*AB33*U15</f>
        <v>326592</v>
      </c>
      <c r="AC35" s="94"/>
    </row>
    <row r="36" spans="1:29" ht="15" customHeight="1" x14ac:dyDescent="0.25">
      <c r="A36" s="48"/>
      <c r="C36" s="235" t="s">
        <v>229</v>
      </c>
      <c r="D36" s="157"/>
      <c r="E36" s="158"/>
      <c r="F36" s="158"/>
      <c r="G36" s="158"/>
      <c r="H36" s="158"/>
      <c r="I36" s="187">
        <v>0.51</v>
      </c>
      <c r="P36" s="235" t="s">
        <v>241</v>
      </c>
      <c r="Q36" s="157"/>
      <c r="R36" s="158"/>
      <c r="S36" s="158"/>
      <c r="T36" s="158"/>
      <c r="U36" s="190">
        <f>IF($E$94&lt;$U$20,SUMPRODUCT((I33-IF('RI-Insurance'!$H$6:$H$16/'RI-Insurance'!$C$6:$C$16 &lt; I33, 'RI-Insurance'!$H$6:$H$16/'RI-Insurance'!$C$6:$C$16,I33 ))/I33,'RI-Insurance'!$F$6:$F$16),0)</f>
        <v>0</v>
      </c>
      <c r="X36" s="38" t="s">
        <v>64</v>
      </c>
      <c r="Y36" s="87"/>
      <c r="Z36" s="87"/>
      <c r="AA36" s="87"/>
      <c r="AB36" s="105">
        <f ca="1">AB34-AB35</f>
        <v>37908</v>
      </c>
      <c r="AC36" s="94"/>
    </row>
    <row r="37" spans="1:29" ht="15" customHeight="1" x14ac:dyDescent="0.25">
      <c r="A37" s="48"/>
      <c r="C37" s="235" t="s">
        <v>237</v>
      </c>
      <c r="D37" s="157"/>
      <c r="E37" s="158"/>
      <c r="F37" s="158"/>
      <c r="G37" s="158"/>
      <c r="H37" s="158"/>
      <c r="I37" s="188">
        <f>I32*I33*I35*I34</f>
        <v>89100</v>
      </c>
      <c r="P37" s="235" t="s">
        <v>242</v>
      </c>
      <c r="Q37" s="157"/>
      <c r="R37" s="158"/>
      <c r="S37" s="158"/>
      <c r="T37" s="158"/>
      <c r="U37" s="190">
        <f>IF($E$109&lt;$U$20,SUMPRODUCT(($I$33-IF('RI-Insurance'!I$6:I$16/'RI-Insurance'!$C$6:$C$16&lt;$I$33,'RI-Insurance'!$I$6:$I$16/'RI-Insurance'!$C$6:$C$16,$I$33))/$I$33,'RI-Insurance'!$F$6:$F$16),0)</f>
        <v>0</v>
      </c>
      <c r="X37" s="37"/>
      <c r="Y37" s="16"/>
      <c r="Z37" s="87"/>
      <c r="AA37" s="16"/>
      <c r="AB37" s="17">
        <f>ROUNDUP(40000/(I9+U10),0)</f>
        <v>26</v>
      </c>
      <c r="AC37" s="94"/>
    </row>
    <row r="38" spans="1:29" ht="15" customHeight="1" x14ac:dyDescent="0.25">
      <c r="A38" s="48"/>
      <c r="C38" s="236"/>
      <c r="D38" s="159"/>
      <c r="E38" s="160"/>
      <c r="F38" s="160"/>
      <c r="G38" s="160"/>
      <c r="H38" s="160"/>
      <c r="I38" s="161"/>
      <c r="P38" s="235" t="s">
        <v>243</v>
      </c>
      <c r="Q38" s="157"/>
      <c r="R38" s="158"/>
      <c r="S38" s="158"/>
      <c r="T38" s="158"/>
      <c r="U38" s="190">
        <f>IF($E$123&lt;$U$20,SUMPRODUCT(($I$33-IF('RI-Insurance'!J$6:J$16/'RI-Insurance'!$C$6:$C$16 &lt; $I$33, 'RI-Insurance'!$J$6:$J$16/'RI-Insurance'!$C$6:$C$16, $I$33))/$I$33,'RI-Insurance'!$F$6:$F$16),0)</f>
        <v>0</v>
      </c>
      <c r="X38" s="86" t="s">
        <v>26</v>
      </c>
      <c r="Y38" s="16"/>
      <c r="Z38" s="87"/>
      <c r="AA38" s="16"/>
      <c r="AB38" s="17">
        <f>ROUNDUP(40000/I9,0)</f>
        <v>34</v>
      </c>
      <c r="AC38" s="94"/>
    </row>
    <row r="39" spans="1:29" ht="15" customHeight="1" x14ac:dyDescent="0.25">
      <c r="A39" s="5"/>
      <c r="C39" s="237"/>
      <c r="D39" s="162"/>
      <c r="E39" s="162"/>
      <c r="F39" s="162"/>
      <c r="G39" s="162"/>
      <c r="H39" s="162"/>
      <c r="I39" s="250"/>
      <c r="P39" s="236" t="s">
        <v>244</v>
      </c>
      <c r="Q39" s="159"/>
      <c r="R39" s="160"/>
      <c r="S39" s="160"/>
      <c r="T39" s="160"/>
      <c r="U39" s="190">
        <f>IF($E$137&lt;$U$20,SUMPRODUCT(($I$33-IF('RI-Insurance'!J$6:J$16/'RI-Insurance'!$C$6:$C$16 &lt; $I$33, 'RI-Insurance'!$J$6:$J$16/'RI-Insurance'!$C$6:$C$16, $I$33))/$I$33,'RI-Insurance'!$F$6:$F$16),0)</f>
        <v>0</v>
      </c>
      <c r="X39" s="86" t="s">
        <v>27</v>
      </c>
      <c r="Y39" s="16"/>
      <c r="Z39" s="87"/>
      <c r="AA39" s="16"/>
      <c r="AB39" s="18">
        <f>ROUNDUP(I8/AB37,0)</f>
        <v>24</v>
      </c>
      <c r="AC39" s="94"/>
    </row>
    <row r="40" spans="1:29" ht="15" customHeight="1" x14ac:dyDescent="0.25">
      <c r="A40" s="5"/>
      <c r="C40" s="238"/>
      <c r="D40" s="163"/>
      <c r="E40" s="163"/>
      <c r="F40" s="163"/>
      <c r="G40" s="163"/>
      <c r="H40" s="163"/>
      <c r="I40" s="251"/>
      <c r="P40" s="237" t="s">
        <v>245</v>
      </c>
      <c r="Q40" s="162"/>
      <c r="R40" s="162"/>
      <c r="S40" s="162"/>
      <c r="T40" s="162"/>
      <c r="U40" s="212">
        <f>U34*5</f>
        <v>34163.167500000003</v>
      </c>
      <c r="X40" s="86" t="s">
        <v>28</v>
      </c>
      <c r="Y40" s="39"/>
      <c r="Z40" s="89"/>
      <c r="AA40" s="39"/>
      <c r="AB40" s="40">
        <f>ROUNDUP(I8/AB38,0)</f>
        <v>18</v>
      </c>
      <c r="AC40" s="106"/>
    </row>
    <row r="41" spans="1:29" ht="15" customHeight="1" x14ac:dyDescent="0.25">
      <c r="A41" s="5"/>
      <c r="C41" s="19"/>
      <c r="D41" s="19"/>
      <c r="E41" s="31"/>
      <c r="P41" s="238" t="s">
        <v>246</v>
      </c>
      <c r="Q41" s="163"/>
      <c r="R41" s="163"/>
      <c r="S41" s="163"/>
      <c r="T41" s="163"/>
      <c r="U41" s="213">
        <f ca="1">_xll.RiskOutput("Insurance Payment")+SUM(U35:U39)</f>
        <v>38263.5</v>
      </c>
      <c r="X41" s="88" t="s">
        <v>29</v>
      </c>
    </row>
    <row r="42" spans="1:29" ht="15" customHeight="1" x14ac:dyDescent="0.25">
      <c r="A42" s="5"/>
      <c r="C42" s="43" t="s">
        <v>39</v>
      </c>
      <c r="D42" s="43"/>
      <c r="E42" s="5"/>
      <c r="F42" s="5"/>
      <c r="G42" s="5"/>
      <c r="H42" s="5"/>
      <c r="I42" s="5"/>
      <c r="J42" s="5"/>
      <c r="N42" s="5"/>
      <c r="W42" s="19"/>
    </row>
    <row r="43" spans="1:29" ht="15" customHeight="1" x14ac:dyDescent="0.25">
      <c r="A43" s="5"/>
      <c r="C43" s="239" t="s">
        <v>17</v>
      </c>
      <c r="D43" s="27"/>
      <c r="E43" s="53"/>
      <c r="F43" s="53"/>
      <c r="G43" s="53"/>
      <c r="H43" s="53"/>
      <c r="I43" s="1">
        <v>300</v>
      </c>
      <c r="N43" s="5"/>
      <c r="P43" s="5"/>
      <c r="Q43" s="5"/>
      <c r="R43" s="5"/>
      <c r="S43" s="5"/>
      <c r="T43" s="5"/>
      <c r="U43" s="5"/>
      <c r="W43" s="19"/>
      <c r="Y43" s="36" t="s">
        <v>74</v>
      </c>
      <c r="Z43" s="85"/>
      <c r="AA43" s="85"/>
      <c r="AB43" s="85"/>
      <c r="AC43" s="91">
        <f ca="1">(I8*U9)*U11*U15</f>
        <v>364500</v>
      </c>
    </row>
    <row r="44" spans="1:29" ht="15" customHeight="1" x14ac:dyDescent="0.25">
      <c r="A44" s="5"/>
      <c r="C44" s="240" t="s">
        <v>19</v>
      </c>
      <c r="D44" s="28"/>
      <c r="E44" s="54"/>
      <c r="F44" s="54"/>
      <c r="G44" s="54"/>
      <c r="H44" s="54"/>
      <c r="I44" s="2">
        <v>4</v>
      </c>
      <c r="N44" s="5"/>
      <c r="P44" s="10"/>
      <c r="Q44" s="53"/>
      <c r="R44" s="53"/>
      <c r="S44" s="53"/>
      <c r="T44" s="373" t="s">
        <v>7</v>
      </c>
      <c r="U44" s="374"/>
      <c r="Y44" s="38" t="s">
        <v>64</v>
      </c>
      <c r="Z44" s="89"/>
      <c r="AA44" s="89"/>
      <c r="AB44" s="89"/>
      <c r="AC44" s="92">
        <f>(I8*U8)*U10*U14</f>
        <v>306675</v>
      </c>
    </row>
    <row r="45" spans="1:29" ht="15" customHeight="1" thickBot="1" x14ac:dyDescent="0.3">
      <c r="A45" s="5"/>
      <c r="C45" s="240" t="s">
        <v>21</v>
      </c>
      <c r="D45" s="28"/>
      <c r="E45" s="54"/>
      <c r="F45" s="54"/>
      <c r="G45" s="54"/>
      <c r="H45" s="54"/>
      <c r="I45" s="2">
        <f ca="1">_xll.RiskNormal(17,4,_xll.RiskStatic(16.49))</f>
        <v>16.489999999999998</v>
      </c>
      <c r="J45">
        <v>16.5</v>
      </c>
      <c r="N45" s="5"/>
      <c r="P45" s="274"/>
      <c r="Q45" s="55"/>
      <c r="R45" s="55"/>
      <c r="S45" s="55"/>
      <c r="T45" s="56" t="s">
        <v>12</v>
      </c>
      <c r="U45" s="202" t="s">
        <v>13</v>
      </c>
      <c r="Y45" s="37"/>
      <c r="Z45" s="87"/>
      <c r="AA45" s="87"/>
      <c r="AB45" s="87"/>
      <c r="AC45" s="93">
        <f ca="1">AC43-AC44</f>
        <v>57825</v>
      </c>
    </row>
    <row r="46" spans="1:29" ht="15" customHeight="1" x14ac:dyDescent="0.25">
      <c r="A46" s="5"/>
      <c r="C46" s="240" t="s">
        <v>93</v>
      </c>
      <c r="D46" s="28"/>
      <c r="E46" s="54"/>
      <c r="F46" s="54"/>
      <c r="G46" s="54"/>
      <c r="H46" s="54"/>
      <c r="I46" s="1">
        <f>AB16</f>
        <v>180</v>
      </c>
      <c r="N46" s="5"/>
      <c r="P46" s="108" t="s">
        <v>18</v>
      </c>
      <c r="Q46" s="11"/>
      <c r="R46" s="11"/>
      <c r="S46" s="11"/>
      <c r="T46" s="44">
        <f t="shared" ref="T46:T51" si="0">U46/$I$8</f>
        <v>48</v>
      </c>
      <c r="U46" s="203">
        <f>I43*I44*AB39</f>
        <v>28800</v>
      </c>
      <c r="Y46" s="37"/>
      <c r="Z46" s="87"/>
      <c r="AA46" s="87"/>
      <c r="AB46" s="87"/>
      <c r="AC46" s="94"/>
    </row>
    <row r="47" spans="1:29" ht="15" customHeight="1" x14ac:dyDescent="0.25">
      <c r="A47" s="5"/>
      <c r="C47" s="240" t="s">
        <v>94</v>
      </c>
      <c r="D47" s="28"/>
      <c r="E47" s="54"/>
      <c r="F47" s="54"/>
      <c r="G47" s="54"/>
      <c r="H47" s="54"/>
      <c r="I47" s="1">
        <v>2</v>
      </c>
      <c r="N47" s="5"/>
      <c r="P47" s="108" t="s">
        <v>20</v>
      </c>
      <c r="Q47" s="11"/>
      <c r="R47" s="11"/>
      <c r="S47" s="11"/>
      <c r="T47" s="44">
        <f t="shared" si="0"/>
        <v>36</v>
      </c>
      <c r="U47" s="203">
        <f>I43*I44*AB40</f>
        <v>21600</v>
      </c>
      <c r="Y47" s="37" t="s">
        <v>76</v>
      </c>
      <c r="Z47" s="87"/>
      <c r="AA47" s="87"/>
      <c r="AB47" s="87"/>
      <c r="AC47" s="93">
        <f ca="1">(I8*U9)*U11*U16</f>
        <v>391500</v>
      </c>
    </row>
    <row r="48" spans="1:29" ht="15" customHeight="1" x14ac:dyDescent="0.25">
      <c r="A48" s="5"/>
      <c r="C48" s="240" t="s">
        <v>95</v>
      </c>
      <c r="D48" s="28"/>
      <c r="E48" s="54"/>
      <c r="F48" s="54"/>
      <c r="G48" s="54"/>
      <c r="H48" s="54"/>
      <c r="I48" s="42">
        <v>-0.1</v>
      </c>
      <c r="N48" s="5"/>
      <c r="P48" s="108" t="s">
        <v>22</v>
      </c>
      <c r="Q48" s="11"/>
      <c r="R48" s="11"/>
      <c r="S48" s="11"/>
      <c r="T48" s="44">
        <f t="shared" ca="1" si="0"/>
        <v>98.94</v>
      </c>
      <c r="U48" s="204">
        <f ca="1">(I45/30)*I46*I8</f>
        <v>59364</v>
      </c>
      <c r="Y48" s="37" t="s">
        <v>77</v>
      </c>
      <c r="Z48" s="87"/>
      <c r="AA48" s="87"/>
      <c r="AB48" s="87"/>
      <c r="AC48" s="93">
        <f ca="1">(I8*U9)*U11*U17</f>
        <v>391500</v>
      </c>
    </row>
    <row r="49" spans="1:30" ht="15" customHeight="1" x14ac:dyDescent="0.25">
      <c r="A49" s="5"/>
      <c r="C49" s="241" t="s">
        <v>40</v>
      </c>
      <c r="D49" s="29"/>
      <c r="E49" s="57"/>
      <c r="F49" s="57"/>
      <c r="G49" s="57"/>
      <c r="H49" s="57"/>
      <c r="I49" s="3">
        <v>300</v>
      </c>
      <c r="N49" s="5"/>
      <c r="P49" s="108" t="s">
        <v>23</v>
      </c>
      <c r="Q49" s="11"/>
      <c r="R49" s="11"/>
      <c r="S49" s="11"/>
      <c r="T49" s="44">
        <f t="shared" si="0"/>
        <v>0.5</v>
      </c>
      <c r="U49" s="204">
        <f>I49</f>
        <v>300</v>
      </c>
      <c r="Y49" s="37" t="s">
        <v>81</v>
      </c>
      <c r="Z49" s="87"/>
      <c r="AA49" s="87"/>
      <c r="AB49" s="87"/>
      <c r="AC49" s="93">
        <f>I8*I10</f>
        <v>510000</v>
      </c>
    </row>
    <row r="50" spans="1:30" ht="15" customHeight="1" x14ac:dyDescent="0.25">
      <c r="A50" s="5"/>
      <c r="C50" s="242" t="s">
        <v>99</v>
      </c>
      <c r="D50" s="117"/>
      <c r="E50" s="117"/>
      <c r="F50" s="117"/>
      <c r="G50" s="117"/>
      <c r="H50" s="117"/>
      <c r="I50" s="248">
        <f>AB21</f>
        <v>300</v>
      </c>
      <c r="N50" s="5"/>
      <c r="P50" s="108" t="s">
        <v>65</v>
      </c>
      <c r="Q50" s="11"/>
      <c r="R50" s="54"/>
      <c r="S50" s="54"/>
      <c r="T50" s="44">
        <f t="shared" ca="1" si="0"/>
        <v>63.18</v>
      </c>
      <c r="U50" s="348">
        <f ca="1">AB36</f>
        <v>37908</v>
      </c>
      <c r="W50" s="5"/>
      <c r="Y50" s="37"/>
      <c r="Z50" s="87"/>
      <c r="AA50" s="87"/>
      <c r="AB50" s="87"/>
      <c r="AC50" s="94"/>
    </row>
    <row r="51" spans="1:30" ht="15" customHeight="1" thickBot="1" x14ac:dyDescent="0.3">
      <c r="A51" s="5"/>
      <c r="C51" s="243" t="s">
        <v>100</v>
      </c>
      <c r="D51" s="118"/>
      <c r="E51" s="118"/>
      <c r="F51" s="118"/>
      <c r="G51" s="118"/>
      <c r="H51" s="118"/>
      <c r="I51" s="249">
        <f>AA21</f>
        <v>10</v>
      </c>
      <c r="N51" s="5"/>
      <c r="P51" s="275" t="s">
        <v>24</v>
      </c>
      <c r="Q51" s="12"/>
      <c r="R51" s="12"/>
      <c r="S51" s="12"/>
      <c r="T51" s="45">
        <f t="shared" ca="1" si="0"/>
        <v>5.9618000000000002</v>
      </c>
      <c r="U51" s="205">
        <f ca="1">(U46+U47+U48+U49)*((I15/360)*I46)</f>
        <v>3577.08</v>
      </c>
      <c r="W51" s="5"/>
      <c r="Y51" s="95" t="s">
        <v>83</v>
      </c>
      <c r="Z51" s="96"/>
      <c r="AA51" s="96"/>
      <c r="AB51" s="87"/>
      <c r="AC51" s="97">
        <f>AC49</f>
        <v>510000</v>
      </c>
    </row>
    <row r="52" spans="1:30" ht="15" customHeight="1" thickTop="1" x14ac:dyDescent="0.25">
      <c r="A52" s="5"/>
      <c r="C52" s="5"/>
      <c r="D52" s="5"/>
      <c r="E52" s="5"/>
      <c r="F52" s="5"/>
      <c r="G52" s="5"/>
      <c r="H52" s="5"/>
      <c r="I52" s="5"/>
      <c r="N52" s="5"/>
      <c r="P52" s="349" t="s">
        <v>16</v>
      </c>
      <c r="Q52" s="350"/>
      <c r="R52" s="350"/>
      <c r="S52" s="350"/>
      <c r="T52" s="351">
        <f ca="1">SUM(T46:T49, T51)</f>
        <v>189.40180000000001</v>
      </c>
      <c r="U52" s="352">
        <f ca="1">SUM(U46:U49, U51)</f>
        <v>113641.08</v>
      </c>
      <c r="W52" s="19"/>
      <c r="Y52" s="98" t="s">
        <v>84</v>
      </c>
      <c r="Z52" s="124"/>
      <c r="AA52" s="99"/>
      <c r="AB52" s="87"/>
      <c r="AC52" s="97">
        <f>AC51*AB16*(I16/360)</f>
        <v>3187.5</v>
      </c>
    </row>
    <row r="53" spans="1:30" ht="15" customHeight="1" x14ac:dyDescent="0.25">
      <c r="A53" s="5"/>
      <c r="C53" s="43" t="s">
        <v>101</v>
      </c>
      <c r="D53" s="43"/>
      <c r="E53" s="5"/>
      <c r="F53" s="5"/>
      <c r="G53" s="5"/>
      <c r="H53" s="5"/>
      <c r="I53" s="5"/>
      <c r="J53" s="5"/>
      <c r="N53" s="5"/>
      <c r="P53" s="5"/>
      <c r="Q53" s="5"/>
      <c r="R53" s="5"/>
      <c r="S53" s="5"/>
      <c r="T53" s="5"/>
      <c r="U53" s="5"/>
      <c r="W53" s="5"/>
      <c r="Y53" s="98" t="s">
        <v>85</v>
      </c>
      <c r="Z53" s="124"/>
      <c r="AA53" s="87"/>
      <c r="AB53" s="87"/>
      <c r="AC53" s="97">
        <f>(AC51+AC52)*I16</f>
        <v>6414.84375</v>
      </c>
    </row>
    <row r="54" spans="1:30" ht="15" customHeight="1" x14ac:dyDescent="0.25">
      <c r="A54" s="5"/>
      <c r="C54" s="244" t="s">
        <v>106</v>
      </c>
      <c r="D54" s="33"/>
      <c r="E54" s="33"/>
      <c r="F54" s="33"/>
      <c r="G54" s="33"/>
      <c r="H54" s="22"/>
      <c r="I54" s="4">
        <v>100</v>
      </c>
      <c r="N54" s="5"/>
      <c r="P54" s="5"/>
      <c r="Q54" s="5"/>
      <c r="R54" s="5"/>
      <c r="S54" s="5"/>
      <c r="T54" s="5"/>
      <c r="U54" s="5"/>
      <c r="W54" s="5"/>
      <c r="Y54" s="100" t="s">
        <v>86</v>
      </c>
      <c r="Z54" s="125"/>
      <c r="AA54" s="89"/>
      <c r="AB54" s="89"/>
      <c r="AC54" s="101">
        <f>(AC51+AC52+AC53)*I16</f>
        <v>6495.029296875</v>
      </c>
    </row>
    <row r="55" spans="1:30" ht="15" customHeight="1" x14ac:dyDescent="0.25">
      <c r="A55" s="5"/>
      <c r="C55" s="245" t="s">
        <v>105</v>
      </c>
      <c r="D55" s="35"/>
      <c r="E55" s="34"/>
      <c r="F55" s="34"/>
      <c r="G55" s="34"/>
      <c r="H55" s="23"/>
      <c r="I55" s="4">
        <v>5000</v>
      </c>
      <c r="N55" s="5"/>
      <c r="P55" s="58"/>
      <c r="Q55" s="22"/>
      <c r="R55" s="22"/>
      <c r="S55" s="22"/>
      <c r="T55" s="375" t="s">
        <v>7</v>
      </c>
      <c r="U55" s="376"/>
      <c r="W55" s="5"/>
    </row>
    <row r="56" spans="1:30" ht="15" customHeight="1" thickBot="1" x14ac:dyDescent="0.3">
      <c r="A56" s="5"/>
      <c r="C56" s="245" t="s">
        <v>104</v>
      </c>
      <c r="D56" s="35"/>
      <c r="E56" s="34"/>
      <c r="F56" s="34"/>
      <c r="G56" s="34"/>
      <c r="H56" s="23"/>
      <c r="I56" s="4">
        <v>5000</v>
      </c>
      <c r="N56" s="5"/>
      <c r="P56" s="276"/>
      <c r="Q56" s="59"/>
      <c r="R56" s="59"/>
      <c r="S56" s="59"/>
      <c r="T56" s="60" t="s">
        <v>12</v>
      </c>
      <c r="U56" s="206" t="s">
        <v>13</v>
      </c>
      <c r="W56" s="5"/>
      <c r="Y56" s="126" t="s">
        <v>110</v>
      </c>
      <c r="Z56" t="s">
        <v>108</v>
      </c>
      <c r="AA56" t="s">
        <v>111</v>
      </c>
      <c r="AB56" t="s">
        <v>112</v>
      </c>
      <c r="AC56" t="s">
        <v>113</v>
      </c>
      <c r="AD56" t="s">
        <v>114</v>
      </c>
    </row>
    <row r="57" spans="1:30" ht="15" customHeight="1" x14ac:dyDescent="0.25">
      <c r="A57" s="5"/>
      <c r="C57" s="246" t="s">
        <v>79</v>
      </c>
      <c r="D57" s="14"/>
      <c r="E57" s="23"/>
      <c r="F57" s="23"/>
      <c r="G57" s="23"/>
      <c r="H57" s="23"/>
      <c r="I57" s="4">
        <v>20</v>
      </c>
      <c r="N57" s="5"/>
      <c r="P57" s="277" t="s">
        <v>33</v>
      </c>
      <c r="Q57" s="13"/>
      <c r="R57" s="13"/>
      <c r="S57" s="13"/>
      <c r="T57" s="14">
        <f ca="1">U57/I8</f>
        <v>96.375</v>
      </c>
      <c r="U57" s="207">
        <f ca="1">AC45</f>
        <v>57825</v>
      </c>
      <c r="W57" s="5"/>
      <c r="X57" s="127" t="s">
        <v>115</v>
      </c>
      <c r="Y57" s="120">
        <f t="shared" ref="Y57:AD57" si="1">P79</f>
        <v>514687.5</v>
      </c>
      <c r="Z57" s="120">
        <f t="shared" si="1"/>
        <v>514687.5</v>
      </c>
      <c r="AA57" s="120">
        <f t="shared" si="1"/>
        <v>514687.5</v>
      </c>
      <c r="AB57" s="120">
        <f t="shared" si="1"/>
        <v>514687.5</v>
      </c>
      <c r="AC57" s="120">
        <f t="shared" si="1"/>
        <v>514687.5</v>
      </c>
      <c r="AD57" s="120">
        <f t="shared" si="1"/>
        <v>514687.5</v>
      </c>
    </row>
    <row r="58" spans="1:30" ht="15" customHeight="1" x14ac:dyDescent="0.25">
      <c r="A58" s="5"/>
      <c r="C58" s="247" t="s">
        <v>41</v>
      </c>
      <c r="D58" s="30"/>
      <c r="E58" s="24"/>
      <c r="F58" s="24"/>
      <c r="G58" s="24"/>
      <c r="H58" s="24"/>
      <c r="I58" s="4">
        <v>850</v>
      </c>
      <c r="N58" s="5"/>
      <c r="P58" s="277" t="s">
        <v>78</v>
      </c>
      <c r="Q58" s="13"/>
      <c r="R58" s="13"/>
      <c r="S58" s="13"/>
      <c r="T58" s="14">
        <f>U58/I8</f>
        <v>100</v>
      </c>
      <c r="U58" s="208">
        <f>(I54*I8)</f>
        <v>60000</v>
      </c>
      <c r="W58" s="5"/>
      <c r="X58" s="128" t="s">
        <v>260</v>
      </c>
      <c r="Y58" s="120">
        <f t="shared" ref="Y58:AD58" ca="1" si="2">P93</f>
        <v>549559.81341900001</v>
      </c>
      <c r="Z58" s="120">
        <f t="shared" ca="1" si="2"/>
        <v>548512.36201675935</v>
      </c>
      <c r="AA58" s="120">
        <f t="shared" ca="1" si="2"/>
        <v>487130.8665</v>
      </c>
      <c r="AB58" s="120">
        <f t="shared" ca="1" si="2"/>
        <v>454381.78649999999</v>
      </c>
      <c r="AC58" s="120">
        <f t="shared" ca="1" si="2"/>
        <v>577300.624419</v>
      </c>
      <c r="AD58" s="120">
        <f t="shared" ca="1" si="2"/>
        <v>500800.624419</v>
      </c>
    </row>
    <row r="59" spans="1:30" ht="15" customHeight="1" x14ac:dyDescent="0.25">
      <c r="A59" s="5"/>
      <c r="C59" s="346"/>
      <c r="D59" s="346"/>
      <c r="E59" s="346"/>
      <c r="F59" s="346"/>
      <c r="G59" s="346" t="s">
        <v>265</v>
      </c>
      <c r="H59" s="346"/>
      <c r="I59" s="346">
        <v>830</v>
      </c>
      <c r="N59" s="5"/>
      <c r="P59" s="277" t="s">
        <v>80</v>
      </c>
      <c r="Q59" s="13"/>
      <c r="R59" s="13"/>
      <c r="S59" s="13"/>
      <c r="T59" s="14">
        <f>U59/I8</f>
        <v>20</v>
      </c>
      <c r="U59" s="208">
        <f>I57*I8</f>
        <v>12000</v>
      </c>
      <c r="W59" s="5"/>
      <c r="X59" s="121">
        <f>E80</f>
        <v>1</v>
      </c>
      <c r="Y59" s="120">
        <f t="shared" ref="Y59:AD59" ca="1" si="3">P108</f>
        <v>607980.85223806789</v>
      </c>
      <c r="Z59" s="120">
        <f t="shared" ca="1" si="3"/>
        <v>580067.51894005318</v>
      </c>
      <c r="AA59" s="120">
        <f t="shared" ca="1" si="3"/>
        <v>489861.74525623501</v>
      </c>
      <c r="AB59" s="120">
        <f t="shared" ca="1" si="3"/>
        <v>454903.27177903499</v>
      </c>
      <c r="AC59" s="120">
        <f ca="1">T108</f>
        <v>578820.97727339296</v>
      </c>
      <c r="AD59" s="120">
        <f t="shared" ca="1" si="3"/>
        <v>501664.98977339291</v>
      </c>
    </row>
    <row r="60" spans="1:30" ht="15.75" customHeight="1" thickBot="1" x14ac:dyDescent="0.3">
      <c r="A60" s="5"/>
      <c r="C60" s="346"/>
      <c r="D60" s="346"/>
      <c r="E60" s="346"/>
      <c r="F60" s="346"/>
      <c r="G60" s="346" t="s">
        <v>271</v>
      </c>
      <c r="H60" s="346"/>
      <c r="I60" s="346">
        <v>850</v>
      </c>
      <c r="N60" s="5"/>
      <c r="P60" s="278" t="s">
        <v>96</v>
      </c>
      <c r="Q60" s="112"/>
      <c r="R60" s="112"/>
      <c r="S60" s="112"/>
      <c r="T60" s="15">
        <f>U60/I8</f>
        <v>-5.3125</v>
      </c>
      <c r="U60" s="209">
        <f>-(AC49*AB16*(I16/360))</f>
        <v>-3187.5</v>
      </c>
      <c r="W60" s="5"/>
      <c r="X60" s="121">
        <f>E94</f>
        <v>2</v>
      </c>
      <c r="Y60" s="120">
        <f t="shared" ref="Y60:AD60" ca="1" si="4">P122</f>
        <v>666902.85146500939</v>
      </c>
      <c r="Z60" s="120">
        <f t="shared" ca="1" si="4"/>
        <v>638750.16133396409</v>
      </c>
      <c r="AA60" s="120">
        <f t="shared" ca="1" si="4"/>
        <v>547045.59389621054</v>
      </c>
      <c r="AB60" s="120">
        <f t="shared" ca="1" si="4"/>
        <v>510528.32208666217</v>
      </c>
      <c r="AC60" s="120">
        <f ca="1">T122</f>
        <v>637492.93057251233</v>
      </c>
      <c r="AD60" s="120">
        <f t="shared" ca="1" si="4"/>
        <v>502536.76706069976</v>
      </c>
    </row>
    <row r="61" spans="1:30" ht="15" customHeight="1" thickTop="1" x14ac:dyDescent="0.25">
      <c r="A61" s="5"/>
      <c r="C61" s="346"/>
      <c r="D61" s="346"/>
      <c r="E61" s="346"/>
      <c r="F61" s="346"/>
      <c r="G61" s="346" t="s">
        <v>266</v>
      </c>
      <c r="H61" s="346"/>
      <c r="I61" s="346">
        <v>860</v>
      </c>
      <c r="N61" s="5"/>
      <c r="P61" s="279" t="s">
        <v>82</v>
      </c>
      <c r="Q61" s="113"/>
      <c r="R61" s="113"/>
      <c r="S61" s="113"/>
      <c r="T61" s="114">
        <f ca="1">SUM(T57:T60)</f>
        <v>211.0625</v>
      </c>
      <c r="U61" s="210">
        <f ca="1">SUM(U57:U60)</f>
        <v>126637.5</v>
      </c>
      <c r="W61" s="5"/>
      <c r="X61" s="121">
        <f>E109</f>
        <v>3</v>
      </c>
      <c r="Y61" s="120">
        <f t="shared" ref="Y61:AD61" ca="1" si="5">P136</f>
        <v>726330.10683532176</v>
      </c>
      <c r="Z61" s="120">
        <f t="shared" ca="1" si="5"/>
        <v>697936.00738640281</v>
      </c>
      <c r="AA61" s="120">
        <f t="shared" ca="1" si="5"/>
        <v>605445.07328287058</v>
      </c>
      <c r="AB61" s="120">
        <f t="shared" ca="1" si="5"/>
        <v>568614.6658675553</v>
      </c>
      <c r="AC61" s="120">
        <f ca="1">T136</f>
        <v>696667.99587117159</v>
      </c>
      <c r="AD61" s="120">
        <f t="shared" ca="1" si="5"/>
        <v>503416.01983824524</v>
      </c>
    </row>
    <row r="62" spans="1:30" ht="15" customHeight="1" x14ac:dyDescent="0.25">
      <c r="A62" s="5"/>
      <c r="C62" s="346"/>
      <c r="D62" s="346"/>
      <c r="E62" s="346"/>
      <c r="F62" s="346"/>
      <c r="G62" s="346"/>
      <c r="H62" s="346"/>
      <c r="I62" s="346"/>
      <c r="N62" s="5"/>
      <c r="P62" s="277" t="s">
        <v>25</v>
      </c>
      <c r="Q62" s="13"/>
      <c r="R62" s="13"/>
      <c r="S62" s="13"/>
      <c r="T62" s="14">
        <f>U62/I8</f>
        <v>-828.75</v>
      </c>
      <c r="U62" s="208">
        <f>-((I8-I11)*I10)</f>
        <v>-497250</v>
      </c>
      <c r="W62" s="5"/>
      <c r="X62" s="121">
        <f>E123</f>
        <v>4</v>
      </c>
      <c r="Y62" s="120">
        <f t="shared" ref="Y62:AD62" ca="1" si="6">P150</f>
        <v>786266.95092043467</v>
      </c>
      <c r="Z62" s="120">
        <f t="shared" ca="1" si="6"/>
        <v>757629.37206874124</v>
      </c>
      <c r="AA62" s="120">
        <f t="shared" ca="1" si="6"/>
        <v>664345.32820527116</v>
      </c>
      <c r="AB62" s="120">
        <f t="shared" ca="1" si="6"/>
        <v>627199.1000463696</v>
      </c>
      <c r="AC62" s="120">
        <f ca="1">T150</f>
        <v>756350.48735476681</v>
      </c>
      <c r="AD62" s="120">
        <f t="shared" ca="1" si="6"/>
        <v>504302.8122083582</v>
      </c>
    </row>
    <row r="63" spans="1:30" ht="15.75" x14ac:dyDescent="0.25">
      <c r="A63" s="5"/>
      <c r="C63" s="346"/>
      <c r="D63" s="346"/>
      <c r="E63" s="346"/>
      <c r="F63" s="346"/>
      <c r="G63" s="346"/>
      <c r="H63" s="346"/>
      <c r="I63" s="346"/>
      <c r="N63" s="5"/>
      <c r="P63" s="277" t="s">
        <v>91</v>
      </c>
      <c r="Q63" s="13"/>
      <c r="R63" s="13"/>
      <c r="S63" s="13"/>
      <c r="T63" s="14">
        <f>U63/I8</f>
        <v>-26.828955078124999</v>
      </c>
      <c r="U63" s="208">
        <f>-(AC52+AC53+AC54)</f>
        <v>-16097.373046875</v>
      </c>
      <c r="W63" s="5"/>
      <c r="X63" s="121">
        <f>E137</f>
        <v>5</v>
      </c>
    </row>
    <row r="64" spans="1:30" ht="60.75" customHeight="1" x14ac:dyDescent="0.25">
      <c r="A64" s="5"/>
      <c r="C64" s="369" t="s">
        <v>97</v>
      </c>
      <c r="D64" s="369"/>
      <c r="E64" s="369"/>
      <c r="F64" s="369"/>
      <c r="G64" s="369"/>
      <c r="H64" s="369"/>
      <c r="I64" s="369"/>
      <c r="J64" s="5"/>
      <c r="N64" s="5"/>
      <c r="P64" s="277" t="s">
        <v>90</v>
      </c>
      <c r="Q64" s="13"/>
      <c r="R64" s="13"/>
      <c r="S64" s="13"/>
      <c r="T64" s="14">
        <f ca="1">U64/I8</f>
        <v>1305</v>
      </c>
      <c r="U64" s="208">
        <f ca="1">AC47+AC48</f>
        <v>783000</v>
      </c>
      <c r="W64" s="5"/>
    </row>
    <row r="65" spans="1:23" ht="15" x14ac:dyDescent="0.25">
      <c r="A65" s="5"/>
      <c r="C65" s="5"/>
      <c r="D65" s="5"/>
      <c r="E65" s="5"/>
      <c r="F65" s="5"/>
      <c r="G65" s="5"/>
      <c r="H65" s="5"/>
      <c r="I65" s="5"/>
      <c r="J65" s="5"/>
      <c r="N65" s="5"/>
      <c r="P65" s="277" t="s">
        <v>89</v>
      </c>
      <c r="Q65" s="13"/>
      <c r="R65" s="13"/>
      <c r="S65" s="13"/>
      <c r="T65" s="14">
        <f>U65/I8</f>
        <v>-983.33333333333337</v>
      </c>
      <c r="U65" s="208">
        <f>-((2*(I8*I12))-(I55+I56))</f>
        <v>-590000</v>
      </c>
      <c r="W65" s="5"/>
    </row>
    <row r="66" spans="1:23" ht="15.75" thickBot="1" x14ac:dyDescent="0.3">
      <c r="A66" s="5"/>
      <c r="C66" s="5"/>
      <c r="D66" s="5"/>
      <c r="E66" s="5"/>
      <c r="F66" s="5"/>
      <c r="G66" s="5"/>
      <c r="H66" s="5"/>
      <c r="I66" s="5"/>
      <c r="J66" s="5"/>
      <c r="N66" s="5"/>
      <c r="P66" s="278" t="s">
        <v>87</v>
      </c>
      <c r="Q66" s="112"/>
      <c r="R66" s="112"/>
      <c r="S66" s="112"/>
      <c r="T66" s="15">
        <f>U66/I8</f>
        <v>850</v>
      </c>
      <c r="U66" s="209">
        <f>I58*I8</f>
        <v>510000</v>
      </c>
      <c r="W66" s="5"/>
    </row>
    <row r="67" spans="1:23" ht="15.75" thickTop="1" x14ac:dyDescent="0.25">
      <c r="A67" s="5"/>
      <c r="C67" s="5"/>
      <c r="D67" s="5"/>
      <c r="E67" s="5"/>
      <c r="F67" s="5"/>
      <c r="G67" s="5"/>
      <c r="H67" s="5"/>
      <c r="I67" s="5"/>
      <c r="J67" s="5"/>
      <c r="N67" s="5"/>
      <c r="P67" s="277" t="s">
        <v>88</v>
      </c>
      <c r="Q67" s="13"/>
      <c r="R67" s="13"/>
      <c r="S67" s="13"/>
      <c r="T67" s="14">
        <f ca="1">SUM(T62:T66)</f>
        <v>316.08771158854165</v>
      </c>
      <c r="U67" s="208">
        <f ca="1">SUM(U62:U66)</f>
        <v>189652.626953125</v>
      </c>
      <c r="W67" s="5"/>
    </row>
    <row r="68" spans="1:23" ht="9.9499999999999993" customHeight="1" x14ac:dyDescent="0.25">
      <c r="A68" s="5"/>
      <c r="C68" s="5"/>
      <c r="D68" s="5"/>
      <c r="E68" s="5"/>
      <c r="F68" s="5"/>
      <c r="G68" s="5"/>
      <c r="H68" s="5"/>
      <c r="I68" s="5"/>
      <c r="J68" s="5"/>
      <c r="N68" s="5"/>
      <c r="P68" s="280" t="s">
        <v>92</v>
      </c>
      <c r="Q68" s="115"/>
      <c r="R68" s="115"/>
      <c r="S68" s="115"/>
      <c r="T68" s="116">
        <f ca="1">T61+T67</f>
        <v>527.15021158854165</v>
      </c>
      <c r="U68" s="211">
        <f ca="1">U61+U67</f>
        <v>316290.126953125</v>
      </c>
      <c r="W68" s="5"/>
    </row>
    <row r="69" spans="1:23" x14ac:dyDescent="0.2">
      <c r="A69" s="5"/>
      <c r="C69" s="5"/>
      <c r="D69" s="5"/>
      <c r="E69" s="5"/>
      <c r="F69" s="5"/>
      <c r="G69" s="5"/>
      <c r="H69" s="5"/>
      <c r="I69" s="5"/>
      <c r="J69" s="5"/>
      <c r="N69" s="5"/>
      <c r="O69" s="9"/>
      <c r="W69" s="5"/>
    </row>
    <row r="70" spans="1:23" x14ac:dyDescent="0.2">
      <c r="A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9"/>
      <c r="Q70" s="9"/>
      <c r="R70" s="9"/>
      <c r="S70" s="9"/>
      <c r="T70" s="9"/>
      <c r="U70" s="9"/>
      <c r="W70" s="5"/>
    </row>
    <row r="71" spans="1:23" ht="15" x14ac:dyDescent="0.25">
      <c r="A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82"/>
      <c r="P71" s="5"/>
      <c r="Q71" s="5"/>
      <c r="R71" s="5"/>
      <c r="S71" s="5"/>
      <c r="T71" s="283"/>
      <c r="U71" s="283"/>
      <c r="W71" s="5"/>
    </row>
    <row r="72" spans="1:23" ht="15" x14ac:dyDescent="0.25">
      <c r="A72" s="5"/>
      <c r="C72" s="5"/>
      <c r="D72" s="5"/>
      <c r="E72" s="5"/>
      <c r="F72" s="5"/>
      <c r="G72" s="5"/>
      <c r="H72" s="5"/>
      <c r="I72" s="287" t="s">
        <v>208</v>
      </c>
      <c r="J72" s="288"/>
      <c r="K72" s="288"/>
      <c r="L72" s="288"/>
      <c r="M72" s="288"/>
      <c r="N72" s="288"/>
      <c r="O72" s="289"/>
      <c r="P72" s="282"/>
      <c r="Q72" s="123"/>
      <c r="R72" s="81"/>
      <c r="S72" s="81"/>
      <c r="T72" s="19"/>
      <c r="U72" s="19"/>
      <c r="W72" s="5"/>
    </row>
    <row r="73" spans="1:23" ht="30" x14ac:dyDescent="0.25">
      <c r="A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9"/>
      <c r="O73" s="5"/>
      <c r="P73" s="284" t="s">
        <v>278</v>
      </c>
      <c r="Q73" s="284" t="s">
        <v>211</v>
      </c>
      <c r="R73" s="284" t="s">
        <v>118</v>
      </c>
      <c r="S73" s="284" t="s">
        <v>259</v>
      </c>
      <c r="T73" s="285" t="s">
        <v>209</v>
      </c>
      <c r="U73" s="286" t="s">
        <v>210</v>
      </c>
      <c r="W73" s="5"/>
    </row>
    <row r="74" spans="1:23" ht="15" x14ac:dyDescent="0.25">
      <c r="A74" s="5"/>
      <c r="C74" s="9"/>
      <c r="E74" s="255" t="s">
        <v>36</v>
      </c>
      <c r="F74" s="214"/>
      <c r="G74" s="214"/>
      <c r="H74" s="214"/>
      <c r="I74" s="214"/>
      <c r="J74" s="214"/>
      <c r="K74" s="214"/>
      <c r="L74" s="214"/>
      <c r="M74" s="214"/>
      <c r="N74" s="254"/>
      <c r="O74" s="9"/>
      <c r="P74" s="48"/>
      <c r="Q74" s="48"/>
      <c r="R74" s="48"/>
      <c r="S74" s="48"/>
      <c r="T74" s="48"/>
      <c r="U74" s="48"/>
      <c r="W74" s="5"/>
    </row>
    <row r="75" spans="1:23" ht="15" x14ac:dyDescent="0.25">
      <c r="A75" s="5"/>
      <c r="C75" s="9"/>
      <c r="E75" s="256" t="s">
        <v>0</v>
      </c>
      <c r="F75" s="61"/>
      <c r="G75" s="61"/>
      <c r="H75" s="61"/>
      <c r="I75" s="61"/>
      <c r="J75" s="61"/>
      <c r="K75" s="61"/>
      <c r="L75" s="61"/>
      <c r="M75" s="61"/>
      <c r="N75" s="61"/>
      <c r="O75" s="214"/>
      <c r="P75" s="109"/>
      <c r="Q75" s="109"/>
      <c r="R75" s="84"/>
      <c r="S75" s="84"/>
      <c r="T75" s="84"/>
      <c r="U75" s="84"/>
      <c r="W75" s="5"/>
    </row>
    <row r="76" spans="1:23" ht="15" x14ac:dyDescent="0.25">
      <c r="A76" s="5"/>
      <c r="C76" s="9"/>
      <c r="E76" s="256" t="s">
        <v>2</v>
      </c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252">
        <f t="shared" ref="P76:U76" si="7">$I$8*$I$10</f>
        <v>510000</v>
      </c>
      <c r="Q76" s="252">
        <f t="shared" si="7"/>
        <v>510000</v>
      </c>
      <c r="R76" s="252">
        <f t="shared" si="7"/>
        <v>510000</v>
      </c>
      <c r="S76" s="252">
        <f t="shared" si="7"/>
        <v>510000</v>
      </c>
      <c r="T76" s="252">
        <f t="shared" si="7"/>
        <v>510000</v>
      </c>
      <c r="U76" s="253">
        <f t="shared" si="7"/>
        <v>510000</v>
      </c>
      <c r="W76" s="5"/>
    </row>
    <row r="77" spans="1:23" ht="15" x14ac:dyDescent="0.25">
      <c r="A77" s="5"/>
      <c r="C77" s="9"/>
      <c r="E77" s="256" t="s">
        <v>48</v>
      </c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2">
        <f t="shared" ref="P77:U77" si="8">$U$9*$I8*$U$10*$U$14</f>
        <v>244687.5</v>
      </c>
      <c r="Q77" s="62">
        <f t="shared" si="8"/>
        <v>244687.5</v>
      </c>
      <c r="R77" s="62">
        <f t="shared" si="8"/>
        <v>244687.5</v>
      </c>
      <c r="S77" s="62">
        <f t="shared" si="8"/>
        <v>244687.5</v>
      </c>
      <c r="T77" s="62">
        <f t="shared" si="8"/>
        <v>244687.5</v>
      </c>
      <c r="U77" s="215">
        <f t="shared" si="8"/>
        <v>244687.5</v>
      </c>
      <c r="W77" s="5"/>
    </row>
    <row r="78" spans="1:23" ht="15" x14ac:dyDescent="0.25">
      <c r="A78" s="5"/>
      <c r="C78" s="51"/>
      <c r="E78" s="257" t="s">
        <v>16</v>
      </c>
      <c r="F78" s="216"/>
      <c r="G78" s="216"/>
      <c r="H78" s="216"/>
      <c r="I78" s="217"/>
      <c r="J78" s="217"/>
      <c r="K78" s="217"/>
      <c r="L78" s="217"/>
      <c r="M78" s="217"/>
      <c r="N78" s="217"/>
      <c r="O78" s="217"/>
      <c r="P78" s="62">
        <f t="shared" ref="P78:U78" si="9">-(($I$8*$I$12)-($I$8*$I$54))</f>
        <v>-240000</v>
      </c>
      <c r="Q78" s="62">
        <f t="shared" si="9"/>
        <v>-240000</v>
      </c>
      <c r="R78" s="62">
        <f t="shared" si="9"/>
        <v>-240000</v>
      </c>
      <c r="S78" s="62">
        <f t="shared" si="9"/>
        <v>-240000</v>
      </c>
      <c r="T78" s="62">
        <f t="shared" si="9"/>
        <v>-240000</v>
      </c>
      <c r="U78" s="215">
        <f t="shared" si="9"/>
        <v>-240000</v>
      </c>
      <c r="W78" s="5"/>
    </row>
    <row r="79" spans="1:23" ht="15" x14ac:dyDescent="0.25">
      <c r="A79" s="5"/>
      <c r="C79" s="9"/>
      <c r="E79" s="48"/>
      <c r="F79" s="5"/>
      <c r="G79" s="5"/>
      <c r="H79" s="5"/>
      <c r="I79" s="5"/>
      <c r="J79" s="5"/>
      <c r="K79" s="5"/>
      <c r="L79" s="5"/>
      <c r="M79" s="5"/>
      <c r="N79" s="5"/>
      <c r="O79" s="5"/>
      <c r="P79" s="218">
        <f t="shared" ref="P79:U79" si="10">SUM(P76:P78)</f>
        <v>514687.5</v>
      </c>
      <c r="Q79" s="218">
        <f t="shared" si="10"/>
        <v>514687.5</v>
      </c>
      <c r="R79" s="218">
        <f t="shared" si="10"/>
        <v>514687.5</v>
      </c>
      <c r="S79" s="218">
        <f t="shared" si="10"/>
        <v>514687.5</v>
      </c>
      <c r="T79" s="218">
        <f t="shared" si="10"/>
        <v>514687.5</v>
      </c>
      <c r="U79" s="219">
        <f t="shared" si="10"/>
        <v>514687.5</v>
      </c>
      <c r="W79" s="5"/>
    </row>
    <row r="80" spans="1:23" ht="15" x14ac:dyDescent="0.25">
      <c r="A80" s="5"/>
      <c r="C80" s="9"/>
      <c r="E80" s="83">
        <f>I22</f>
        <v>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48"/>
      <c r="Q80" s="48"/>
      <c r="R80" s="48"/>
      <c r="S80" s="48"/>
      <c r="T80" s="48"/>
      <c r="U80" s="48"/>
      <c r="W80" s="5"/>
    </row>
    <row r="81" spans="1:30" ht="15.75" customHeight="1" x14ac:dyDescent="0.25">
      <c r="A81" s="5"/>
      <c r="C81" s="9"/>
      <c r="E81" s="8" t="s">
        <v>49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63"/>
      <c r="Q81" s="63"/>
      <c r="R81" s="48"/>
      <c r="S81" s="48"/>
      <c r="T81" s="48"/>
      <c r="U81" s="48"/>
      <c r="W81" s="5"/>
      <c r="AC81" s="122"/>
    </row>
    <row r="82" spans="1:30" ht="15" x14ac:dyDescent="0.25">
      <c r="A82" s="5"/>
      <c r="C82" s="9"/>
      <c r="E82" s="8" t="s">
        <v>206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64">
        <f ca="1">($I$8*$U$9)*$U$11*$U$15</f>
        <v>364500</v>
      </c>
      <c r="Q82" s="64">
        <f ca="1">IF($I$22=E80,($I$8*$U$9)*$V$11*$U$15,($I$8*$U$9)*$U$11*$U$15)</f>
        <v>324709.60291218571</v>
      </c>
      <c r="R82" s="65">
        <f ca="1">($I$8*$U$9)*$U$11*$U$15</f>
        <v>364500</v>
      </c>
      <c r="S82" s="65">
        <f ca="1">IF(E80&lt;$U$20,(($I$8*$U$9)-$I$47)*($U$11*(1+$I$48))*$U$15,($I$8*$U$9)*$U$11*$U$15)</f>
        <v>326592</v>
      </c>
      <c r="T82" s="65">
        <f>AC44</f>
        <v>306675</v>
      </c>
      <c r="U82" s="65">
        <f>AC44</f>
        <v>306675</v>
      </c>
      <c r="W82" s="5"/>
      <c r="AC82" s="122"/>
    </row>
    <row r="83" spans="1:30" ht="15" x14ac:dyDescent="0.25">
      <c r="A83" s="5"/>
      <c r="C83" s="9"/>
      <c r="E83" s="66" t="s">
        <v>212</v>
      </c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4">
        <v>0</v>
      </c>
      <c r="Q83" s="64">
        <f ca="1">_xll.RiskOutput("Insurance payout")+IF($I$19=1,$U$35,0)</f>
        <v>38263.5</v>
      </c>
      <c r="R83" s="64">
        <f ca="1">IF($I$19=1,$U$35,0)</f>
        <v>38263.5</v>
      </c>
      <c r="S83" s="64">
        <f ca="1">IF($I$19=1,$U$35,0)</f>
        <v>38263.5</v>
      </c>
      <c r="T83" s="64">
        <f ca="1">IF($I$19=1,$U$35,0)</f>
        <v>38263.5</v>
      </c>
      <c r="U83" s="64">
        <f ca="1">IF($I$19=1,$U$35,0)</f>
        <v>38263.5</v>
      </c>
      <c r="W83" s="5"/>
    </row>
    <row r="84" spans="1:30" ht="15" customHeight="1" x14ac:dyDescent="0.25">
      <c r="A84" s="5"/>
      <c r="C84" s="9"/>
      <c r="E84" s="201" t="s">
        <v>50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68">
        <f>-IF($I$19=1, ($I$12*$I$8)+U34, $I$12*$I$8)</f>
        <v>-306832.6335</v>
      </c>
      <c r="Q84" s="68">
        <f>-IF($I$19=1, ($I$12*$I$8)+U34, $I$12*$I$8)</f>
        <v>-306832.6335</v>
      </c>
      <c r="R84" s="69">
        <f ca="1">-IF(I19=1,(I8*I12)+(AB16*I29*I8)+U34, (I8*I12)+(AB16*I29*I8))</f>
        <v>-425632.6335</v>
      </c>
      <c r="S84" s="69">
        <f ca="1">-IF(I19=1, ((I8*I12)+U52)+(U34), ((I8*I12)+U52))</f>
        <v>-420473.71350000001</v>
      </c>
      <c r="T84" s="69">
        <f>-IF(I19 = 1, (I8*(I12-I54))+(U34), (I8*(I12-I54)))</f>
        <v>-246832.6335</v>
      </c>
      <c r="U84" s="69">
        <f>-IF(I19 = 1, I8*(I12-I54)+U34, I8*(I12-I54))</f>
        <v>-246832.6335</v>
      </c>
      <c r="W84" s="5"/>
      <c r="Y84" s="126" t="s">
        <v>110</v>
      </c>
      <c r="Z84" t="s">
        <v>108</v>
      </c>
      <c r="AA84" t="s">
        <v>111</v>
      </c>
      <c r="AB84" t="s">
        <v>112</v>
      </c>
      <c r="AC84" t="s">
        <v>113</v>
      </c>
      <c r="AD84" t="s">
        <v>114</v>
      </c>
    </row>
    <row r="85" spans="1:30" ht="15" customHeight="1" x14ac:dyDescent="0.25">
      <c r="A85" s="5"/>
      <c r="C85" s="9"/>
      <c r="E85" s="66" t="s">
        <v>34</v>
      </c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5">
        <f ca="1">_xll.RiskOutput(,E84,1)+SUM(P82:P84)</f>
        <v>57667.366500000004</v>
      </c>
      <c r="Q85" s="65">
        <f ca="1">_xll.RiskOutput(,E84,2)+SUM(Q82:Q84)</f>
        <v>56140.469412185717</v>
      </c>
      <c r="R85" s="65">
        <f ca="1">_xll.RiskOutput(,E84,3)+SUM(R82:R84)</f>
        <v>-22869.133499999996</v>
      </c>
      <c r="S85" s="65">
        <f ca="1">_xll.RiskOutput(,E84,4)+SUM(S82:S84)</f>
        <v>-55618.213500000013</v>
      </c>
      <c r="T85" s="65">
        <f ca="1">_xll.RiskOutput(,E84,5)+SUM(T82:T84)</f>
        <v>98105.866500000004</v>
      </c>
      <c r="U85" s="65">
        <f ca="1">_xll.RiskOutput(,E84,6)+SUM(U82:U84)</f>
        <v>98105.866500000004</v>
      </c>
      <c r="W85" s="5"/>
      <c r="X85" s="127" t="s">
        <v>116</v>
      </c>
      <c r="Y85" s="129">
        <f t="shared" ref="Y85:AD85" ca="1" si="11">$P$85</f>
        <v>57667.366500000004</v>
      </c>
      <c r="Z85" s="129">
        <f t="shared" ca="1" si="11"/>
        <v>57667.366500000004</v>
      </c>
      <c r="AA85" s="129">
        <f t="shared" ca="1" si="11"/>
        <v>57667.366500000004</v>
      </c>
      <c r="AB85" s="129">
        <f t="shared" ca="1" si="11"/>
        <v>57667.366500000004</v>
      </c>
      <c r="AC85" s="129">
        <f t="shared" ca="1" si="11"/>
        <v>57667.366500000004</v>
      </c>
      <c r="AD85" s="129">
        <f t="shared" ca="1" si="11"/>
        <v>57667.366500000004</v>
      </c>
    </row>
    <row r="86" spans="1:30" ht="15" x14ac:dyDescent="0.25">
      <c r="A86" s="5"/>
      <c r="C86" s="9"/>
      <c r="E86" s="71" t="s">
        <v>35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70">
        <f t="shared" ref="P86:U86" ca="1" si="12">IF(P85&gt;0,P85*(0.124+0.15+0.04),0)</f>
        <v>18107.553081000002</v>
      </c>
      <c r="Q86" s="70">
        <f t="shared" ca="1" si="12"/>
        <v>17628.107395426316</v>
      </c>
      <c r="R86" s="70">
        <f t="shared" ca="1" si="12"/>
        <v>0</v>
      </c>
      <c r="S86" s="70">
        <f t="shared" ca="1" si="12"/>
        <v>0</v>
      </c>
      <c r="T86" s="70">
        <f t="shared" ca="1" si="12"/>
        <v>30805.242081</v>
      </c>
      <c r="U86" s="70">
        <f t="shared" ca="1" si="12"/>
        <v>30805.242081</v>
      </c>
      <c r="W86" s="9"/>
      <c r="X86" s="127" t="s">
        <v>117</v>
      </c>
      <c r="Y86" s="120">
        <f t="shared" ref="Y86:AD86" ca="1" si="13">P85</f>
        <v>57667.366500000004</v>
      </c>
      <c r="Z86" s="120">
        <f t="shared" ca="1" si="13"/>
        <v>56140.469412185717</v>
      </c>
      <c r="AA86" s="120">
        <f t="shared" ca="1" si="13"/>
        <v>-22869.133499999996</v>
      </c>
      <c r="AB86" s="120">
        <f t="shared" ca="1" si="13"/>
        <v>-55618.213500000013</v>
      </c>
      <c r="AC86" s="120">
        <f t="shared" ca="1" si="13"/>
        <v>98105.866500000004</v>
      </c>
      <c r="AD86" s="120">
        <f t="shared" ca="1" si="13"/>
        <v>98105.866500000004</v>
      </c>
    </row>
    <row r="87" spans="1:30" ht="15" x14ac:dyDescent="0.25">
      <c r="A87" s="5"/>
      <c r="C87" s="9"/>
      <c r="E87" s="73" t="s">
        <v>51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72">
        <f t="shared" ref="P87:U87" ca="1" si="14">P85-P86</f>
        <v>39559.813418999998</v>
      </c>
      <c r="Q87" s="72">
        <f t="shared" ca="1" si="14"/>
        <v>38512.362016759405</v>
      </c>
      <c r="R87" s="72">
        <f t="shared" ca="1" si="14"/>
        <v>-22869.133499999996</v>
      </c>
      <c r="S87" s="72">
        <f t="shared" ca="1" si="14"/>
        <v>-55618.213500000013</v>
      </c>
      <c r="T87" s="72">
        <f t="shared" ca="1" si="14"/>
        <v>67300.624419</v>
      </c>
      <c r="U87" s="72">
        <f t="shared" ca="1" si="14"/>
        <v>67300.624419</v>
      </c>
      <c r="W87" s="9"/>
      <c r="X87" s="121">
        <f>E80</f>
        <v>1</v>
      </c>
      <c r="Y87" s="120">
        <f t="shared" ref="Y87:AD87" ca="1" si="15">P100</f>
        <v>85161.864167737498</v>
      </c>
      <c r="Z87" s="120">
        <f t="shared" ca="1" si="15"/>
        <v>45998.771025209498</v>
      </c>
      <c r="AA87" s="120">
        <f t="shared" ca="1" si="15"/>
        <v>3980.8728225000041</v>
      </c>
      <c r="AB87" s="120">
        <f t="shared" ca="1" si="15"/>
        <v>760.18262250000271</v>
      </c>
      <c r="AC87" s="120">
        <f t="shared" ca="1" si="15"/>
        <v>2216.2578052375002</v>
      </c>
      <c r="AD87" s="120">
        <f t="shared" ca="1" si="15"/>
        <v>1260.0078052375002</v>
      </c>
    </row>
    <row r="88" spans="1:30" ht="15" x14ac:dyDescent="0.25">
      <c r="A88" s="5"/>
      <c r="C88" s="9"/>
      <c r="E88" s="76" t="s">
        <v>38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74">
        <v>0</v>
      </c>
      <c r="Q88" s="74">
        <v>0</v>
      </c>
      <c r="R88" s="75">
        <v>0</v>
      </c>
      <c r="S88" s="75">
        <v>0</v>
      </c>
      <c r="T88" s="75">
        <f>I8*I10</f>
        <v>510000</v>
      </c>
      <c r="U88" s="75">
        <f>I8*I10</f>
        <v>510000</v>
      </c>
      <c r="W88" s="9"/>
      <c r="X88" s="121">
        <f>E94</f>
        <v>2</v>
      </c>
      <c r="Y88" s="120">
        <f t="shared" ref="Y88:AD88" ca="1" si="16">P115</f>
        <v>85892.127152975852</v>
      </c>
      <c r="Z88" s="120">
        <f t="shared" ca="1" si="16"/>
        <v>85543.210486750671</v>
      </c>
      <c r="AA88" s="120">
        <f t="shared" ca="1" si="16"/>
        <v>83358.379941655279</v>
      </c>
      <c r="AB88" s="120">
        <f t="shared" ca="1" si="16"/>
        <v>81086.079165637275</v>
      </c>
      <c r="AC88" s="120">
        <f ca="1">T115</f>
        <v>85527.62871591741</v>
      </c>
      <c r="AD88" s="120">
        <f t="shared" ca="1" si="16"/>
        <v>1270.8123721674119</v>
      </c>
    </row>
    <row r="89" spans="1:30" ht="15.75" customHeight="1" x14ac:dyDescent="0.25">
      <c r="A89" s="5"/>
      <c r="C89" s="9"/>
      <c r="E89" s="255" t="s">
        <v>60</v>
      </c>
      <c r="F89" s="214"/>
      <c r="G89" s="214"/>
      <c r="H89" s="214"/>
      <c r="I89" s="214"/>
      <c r="J89" s="214"/>
      <c r="K89" s="214"/>
      <c r="L89" s="214"/>
      <c r="M89" s="214"/>
      <c r="N89" s="254"/>
      <c r="O89" s="9"/>
      <c r="P89" s="74">
        <v>0</v>
      </c>
      <c r="Q89" s="74">
        <v>0</v>
      </c>
      <c r="R89" s="75">
        <v>0</v>
      </c>
      <c r="S89" s="20">
        <v>0</v>
      </c>
      <c r="T89" s="75">
        <v>0</v>
      </c>
      <c r="U89" s="75">
        <f>(I8*(I10-I17))*0.15</f>
        <v>76500</v>
      </c>
      <c r="W89" s="9"/>
      <c r="X89" s="121">
        <f>E109</f>
        <v>3</v>
      </c>
      <c r="Y89" s="120">
        <f t="shared" ref="Y89:AD89" ca="1" si="17">P129</f>
        <v>86628.652143312618</v>
      </c>
      <c r="Z89" s="120">
        <f t="shared" ca="1" si="17"/>
        <v>86276.743516674556</v>
      </c>
      <c r="AA89" s="120">
        <f t="shared" ca="1" si="17"/>
        <v>85130.436423702631</v>
      </c>
      <c r="AB89" s="120">
        <f t="shared" ca="1" si="17"/>
        <v>84673.970526083285</v>
      </c>
      <c r="AC89" s="120">
        <f ca="1">T129</f>
        <v>86261.028132156411</v>
      </c>
      <c r="AD89" s="120">
        <f t="shared" ca="1" si="17"/>
        <v>1281.7095882587473</v>
      </c>
    </row>
    <row r="90" spans="1:30" ht="15.75" customHeight="1" x14ac:dyDescent="0.25">
      <c r="A90" s="5"/>
      <c r="C90" s="9"/>
      <c r="E90" s="258" t="s">
        <v>0</v>
      </c>
      <c r="F90" s="61"/>
      <c r="G90" s="61"/>
      <c r="H90" s="61"/>
      <c r="I90" s="61"/>
      <c r="J90" s="61"/>
      <c r="K90" s="61"/>
      <c r="L90" s="61"/>
      <c r="M90" s="61"/>
      <c r="N90" s="61"/>
      <c r="O90" s="214"/>
      <c r="P90" s="110"/>
      <c r="Q90" s="110"/>
      <c r="R90" s="51"/>
      <c r="S90" s="51"/>
      <c r="T90" s="51"/>
      <c r="U90" s="51"/>
      <c r="W90" s="9"/>
      <c r="X90" s="121">
        <f>E123</f>
        <v>4</v>
      </c>
      <c r="Y90" s="120">
        <f t="shared" ref="Y90:AD90" ca="1" si="18">P143</f>
        <v>87371.492835441531</v>
      </c>
      <c r="Z90" s="120">
        <f t="shared" ca="1" si="18"/>
        <v>87016.56659233004</v>
      </c>
      <c r="AA90" s="120">
        <f t="shared" ca="1" si="18"/>
        <v>85860.429916035879</v>
      </c>
      <c r="AB90" s="120">
        <f t="shared" ca="1" si="18"/>
        <v>85400.049823344452</v>
      </c>
      <c r="AC90" s="120">
        <f ca="1">T143</f>
        <v>87000.716448389649</v>
      </c>
      <c r="AD90" s="120">
        <f t="shared" ca="1" si="18"/>
        <v>1292.7002479780658</v>
      </c>
    </row>
    <row r="91" spans="1:30" ht="15" x14ac:dyDescent="0.25">
      <c r="A91" s="5"/>
      <c r="C91" s="9"/>
      <c r="E91" s="259" t="s">
        <v>48</v>
      </c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252">
        <f t="shared" ref="P91:U91" si="19">P76-P88</f>
        <v>510000</v>
      </c>
      <c r="Q91" s="252">
        <f t="shared" si="19"/>
        <v>510000</v>
      </c>
      <c r="R91" s="252">
        <f t="shared" si="19"/>
        <v>510000</v>
      </c>
      <c r="S91" s="252">
        <f t="shared" si="19"/>
        <v>510000</v>
      </c>
      <c r="T91" s="252">
        <f t="shared" si="19"/>
        <v>0</v>
      </c>
      <c r="U91" s="253">
        <f t="shared" si="19"/>
        <v>0</v>
      </c>
      <c r="W91" s="9"/>
      <c r="X91" s="121">
        <f>E137</f>
        <v>5</v>
      </c>
    </row>
    <row r="92" spans="1:30" ht="15" x14ac:dyDescent="0.25">
      <c r="A92" s="5"/>
      <c r="C92" s="9"/>
      <c r="E92" s="257" t="s">
        <v>16</v>
      </c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62">
        <f t="shared" ref="P92:U92" ca="1" si="20">P87+P88-P89</f>
        <v>39559.813418999998</v>
      </c>
      <c r="Q92" s="62">
        <f t="shared" ca="1" si="20"/>
        <v>38512.362016759405</v>
      </c>
      <c r="R92" s="62">
        <f t="shared" ca="1" si="20"/>
        <v>-22869.133499999996</v>
      </c>
      <c r="S92" s="62">
        <f t="shared" ca="1" si="20"/>
        <v>-55618.213500000013</v>
      </c>
      <c r="T92" s="62">
        <f t="shared" ca="1" si="20"/>
        <v>577300.624419</v>
      </c>
      <c r="U92" s="215">
        <f t="shared" ca="1" si="20"/>
        <v>500800.624419</v>
      </c>
      <c r="W92" s="9"/>
    </row>
    <row r="93" spans="1:30" ht="15" x14ac:dyDescent="0.25">
      <c r="A93" s="5"/>
      <c r="C93" s="9"/>
      <c r="E93" s="48"/>
      <c r="F93" s="5"/>
      <c r="G93" s="5"/>
      <c r="H93" s="5"/>
      <c r="I93" s="5"/>
      <c r="J93" s="5"/>
      <c r="K93" s="5"/>
      <c r="L93" s="5"/>
      <c r="M93" s="5"/>
      <c r="N93" s="5"/>
      <c r="O93" s="5"/>
      <c r="P93" s="218">
        <f t="shared" ref="P93:U93" ca="1" si="21">SUM(P91:P92)</f>
        <v>549559.81341900001</v>
      </c>
      <c r="Q93" s="218">
        <f t="shared" ca="1" si="21"/>
        <v>548512.36201675935</v>
      </c>
      <c r="R93" s="218">
        <f t="shared" ca="1" si="21"/>
        <v>487130.8665</v>
      </c>
      <c r="S93" s="218">
        <f t="shared" ca="1" si="21"/>
        <v>454381.78649999999</v>
      </c>
      <c r="T93" s="218">
        <f t="shared" ca="1" si="21"/>
        <v>577300.624419</v>
      </c>
      <c r="U93" s="219">
        <f t="shared" ca="1" si="21"/>
        <v>500800.624419</v>
      </c>
      <c r="W93" s="9"/>
    </row>
    <row r="94" spans="1:30" ht="15" x14ac:dyDescent="0.25">
      <c r="A94" s="5"/>
      <c r="C94" s="9"/>
      <c r="E94" s="83">
        <f>E80+1</f>
        <v>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48"/>
      <c r="Q94" s="48"/>
      <c r="R94" s="48"/>
      <c r="S94" s="48"/>
      <c r="T94" s="48"/>
      <c r="U94" s="48"/>
      <c r="W94" s="9"/>
    </row>
    <row r="95" spans="1:30" ht="15" x14ac:dyDescent="0.25">
      <c r="A95" s="5"/>
      <c r="C95" s="9"/>
      <c r="E95" s="73" t="s">
        <v>49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48"/>
      <c r="Q95" s="48"/>
      <c r="R95" s="48"/>
      <c r="S95" s="48"/>
      <c r="T95" s="48"/>
      <c r="U95" s="48"/>
      <c r="W95" s="9"/>
    </row>
    <row r="96" spans="1:30" ht="15" x14ac:dyDescent="0.25">
      <c r="A96" s="5"/>
      <c r="C96" s="9"/>
      <c r="E96" s="73" t="s">
        <v>207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65">
        <f ca="1">($I$8*$U$9)*$U$11*$U$16</f>
        <v>391500</v>
      </c>
      <c r="Q96" s="65">
        <f ca="1">IF($E$94=$U$20,($I$8*$U$9)*$U$11*0.9*$U$16,($I$8*$U$9)*$U$11*$U$16)</f>
        <v>352350</v>
      </c>
      <c r="R96" s="65">
        <f ca="1">($I$8*$U$9)*$U$11*$U$16</f>
        <v>391500</v>
      </c>
      <c r="S96" s="65">
        <f ca="1">IF(E94=$U$20,(($I$8*$U$9)-$I$47)*($U$11*(1+$I$48))*$U$16,($I$8*$U$9)*$U$11*$U$16)</f>
        <v>350784</v>
      </c>
      <c r="T96" s="65">
        <f>IF(E94&gt;$U$20,($E$8*$U$9)*$U$11*$U$16,0)</f>
        <v>0</v>
      </c>
      <c r="U96" s="65">
        <v>0</v>
      </c>
      <c r="W96" s="9"/>
    </row>
    <row r="97" spans="1:23" ht="15" x14ac:dyDescent="0.25">
      <c r="A97" s="5"/>
      <c r="C97" s="9"/>
      <c r="E97" s="8" t="s">
        <v>55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65">
        <v>0</v>
      </c>
      <c r="Q97" s="64">
        <f>IF(AND($E$94&lt;$U$20,$I$19=1),$U$36,0)</f>
        <v>0</v>
      </c>
      <c r="R97" s="64">
        <f>IF(AND($E$94&lt;$U$20,$I$19=1),$U$36,0)</f>
        <v>0</v>
      </c>
      <c r="S97" s="64">
        <f>IF(AND($E$94&lt;$U$20,$I$19=1),$U$36,0)</f>
        <v>0</v>
      </c>
      <c r="T97" s="64">
        <f>IF(AND($I$19=1, T96&lt;&gt;0),$U$36,0)</f>
        <v>0</v>
      </c>
      <c r="U97" s="64">
        <f>IF($I$19=1,$U$36,0)</f>
        <v>0</v>
      </c>
      <c r="W97" s="9"/>
    </row>
    <row r="98" spans="1:23" ht="15" x14ac:dyDescent="0.25">
      <c r="A98" s="5"/>
      <c r="C98" s="9"/>
      <c r="E98" s="66" t="s">
        <v>59</v>
      </c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8">
        <f>-IF($I$19=1, ($I$12*$I$8)+U34, $I$12*$I$8)</f>
        <v>-306832.6335</v>
      </c>
      <c r="Q98" s="68">
        <f>-IF($I$19=1, ($I$12*$I$8)+U34, $I$12*$I$8)</f>
        <v>-306832.6335</v>
      </c>
      <c r="R98" s="69">
        <f ca="1">-IF($AB17 &gt; 0, ($I$8*$I$12) + ($AB$17*$I$29*$I$8), ($I$8*$I$12)) - IF(I19 = 1, U34, 0)</f>
        <v>-386032.6335</v>
      </c>
      <c r="S98" s="69">
        <f ca="1">-(IF($AB$17&gt;0,(($I$8*$I$12)+($AA$17*$I$45*$I$8)),($I$8*$I$12))) - IF(I19 = 1, U34, 0)</f>
        <v>-346408.6335</v>
      </c>
      <c r="T98" s="69">
        <f>IF(T96=0,-$I$55,-($I$8*$I$12 +  IF($I$19 = 1, U34, 0)))</f>
        <v>-5000</v>
      </c>
      <c r="U98" s="69">
        <f>-$I$55</f>
        <v>-5000</v>
      </c>
      <c r="W98" s="9"/>
    </row>
    <row r="99" spans="1:23" ht="15" x14ac:dyDescent="0.25">
      <c r="A99" s="5"/>
      <c r="C99" s="9"/>
      <c r="E99" s="201" t="s">
        <v>50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69">
        <f t="shared" ref="P99:U99" ca="1" si="22">IF(P92&gt;0,P92*$I$16,P92*$I$15)</f>
        <v>494.49766773750002</v>
      </c>
      <c r="Q99" s="69">
        <f t="shared" ca="1" si="22"/>
        <v>481.40452520949259</v>
      </c>
      <c r="R99" s="69">
        <f t="shared" ca="1" si="22"/>
        <v>-1486.4936774999999</v>
      </c>
      <c r="S99" s="69">
        <f t="shared" ca="1" si="22"/>
        <v>-3615.183877500001</v>
      </c>
      <c r="T99" s="69">
        <f t="shared" ca="1" si="22"/>
        <v>7216.2578052375002</v>
      </c>
      <c r="U99" s="69">
        <f t="shared" ca="1" si="22"/>
        <v>6260.0078052375002</v>
      </c>
      <c r="W99" s="9"/>
    </row>
    <row r="100" spans="1:23" ht="15" x14ac:dyDescent="0.25">
      <c r="A100" s="5"/>
      <c r="C100" s="9"/>
      <c r="E100" s="66" t="s">
        <v>34</v>
      </c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5">
        <f t="shared" ref="P100:U100" ca="1" si="23">SUM(P96:P99)</f>
        <v>85161.864167737498</v>
      </c>
      <c r="Q100" s="65">
        <f t="shared" ca="1" si="23"/>
        <v>45998.771025209498</v>
      </c>
      <c r="R100" s="65">
        <f t="shared" ca="1" si="23"/>
        <v>3980.8728225000041</v>
      </c>
      <c r="S100" s="65">
        <f t="shared" ca="1" si="23"/>
        <v>760.18262250000271</v>
      </c>
      <c r="T100" s="65">
        <f t="shared" ca="1" si="23"/>
        <v>2216.2578052375002</v>
      </c>
      <c r="U100" s="65">
        <f t="shared" ca="1" si="23"/>
        <v>1260.0078052375002</v>
      </c>
      <c r="W100" s="9"/>
    </row>
    <row r="101" spans="1:23" ht="15" x14ac:dyDescent="0.25">
      <c r="A101" s="5"/>
      <c r="C101" s="9"/>
      <c r="E101" s="71" t="s">
        <v>35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70">
        <f t="shared" ref="P101:U101" ca="1" si="24">IF(P100&gt;0,P100*(0.124+0.15+0.04),0)</f>
        <v>26740.825348669576</v>
      </c>
      <c r="Q101" s="70">
        <f t="shared" ca="1" si="24"/>
        <v>14443.614101915782</v>
      </c>
      <c r="R101" s="70">
        <f t="shared" ca="1" si="24"/>
        <v>1249.9940662650013</v>
      </c>
      <c r="S101" s="70">
        <f t="shared" ca="1" si="24"/>
        <v>238.69734346500084</v>
      </c>
      <c r="T101" s="70">
        <f t="shared" ca="1" si="24"/>
        <v>695.90495084457507</v>
      </c>
      <c r="U101" s="70">
        <f t="shared" ca="1" si="24"/>
        <v>395.64245084457508</v>
      </c>
      <c r="W101" s="9"/>
    </row>
    <row r="102" spans="1:23" ht="15" x14ac:dyDescent="0.25">
      <c r="A102" s="5"/>
      <c r="C102" s="9"/>
      <c r="E102" s="71" t="s">
        <v>56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72">
        <f t="shared" ref="P102:U102" ca="1" si="25">P100-P101</f>
        <v>58421.038819067922</v>
      </c>
      <c r="Q102" s="72">
        <f t="shared" ca="1" si="25"/>
        <v>31555.156923293718</v>
      </c>
      <c r="R102" s="72">
        <f t="shared" ca="1" si="25"/>
        <v>2730.8787562350026</v>
      </c>
      <c r="S102" s="77">
        <f t="shared" ca="1" si="25"/>
        <v>521.48527903500189</v>
      </c>
      <c r="T102" s="72">
        <f t="shared" ca="1" si="25"/>
        <v>1520.3528543929251</v>
      </c>
      <c r="U102" s="72">
        <f t="shared" ca="1" si="25"/>
        <v>864.36535439292516</v>
      </c>
      <c r="W102" s="9"/>
    </row>
    <row r="103" spans="1:23" ht="15" x14ac:dyDescent="0.25">
      <c r="A103" s="5"/>
      <c r="C103" s="9"/>
      <c r="E103" s="7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5">
        <v>0</v>
      </c>
      <c r="Q103" s="65">
        <v>0</v>
      </c>
      <c r="R103" s="65">
        <v>0</v>
      </c>
      <c r="S103" s="65">
        <v>0</v>
      </c>
      <c r="T103" s="65">
        <f>IF(E94=$U$20,$I$8*$I$58,0)</f>
        <v>510000</v>
      </c>
      <c r="U103" s="65">
        <v>0</v>
      </c>
      <c r="W103" s="9"/>
    </row>
    <row r="104" spans="1:23" ht="15" x14ac:dyDescent="0.25">
      <c r="A104" s="5"/>
      <c r="C104" s="9"/>
      <c r="E104" s="255" t="s">
        <v>60</v>
      </c>
      <c r="F104" s="214"/>
      <c r="G104" s="214"/>
      <c r="H104" s="214"/>
      <c r="I104" s="214"/>
      <c r="J104" s="214"/>
      <c r="K104" s="214"/>
      <c r="L104" s="214"/>
      <c r="M104" s="214"/>
      <c r="N104" s="254"/>
      <c r="O104" s="9"/>
      <c r="P104" s="65"/>
      <c r="Q104" s="65"/>
      <c r="R104" s="65"/>
      <c r="S104" s="65"/>
      <c r="T104" s="65"/>
      <c r="U104" s="65"/>
      <c r="W104" s="9"/>
    </row>
    <row r="105" spans="1:23" ht="15" x14ac:dyDescent="0.25">
      <c r="A105" s="5"/>
      <c r="C105" s="9"/>
      <c r="E105" s="258" t="s">
        <v>0</v>
      </c>
      <c r="F105" s="61"/>
      <c r="G105" s="61"/>
      <c r="H105" s="61"/>
      <c r="I105" s="61"/>
      <c r="J105" s="61"/>
      <c r="K105" s="61"/>
      <c r="L105" s="61"/>
      <c r="M105" s="61"/>
      <c r="N105" s="61"/>
      <c r="O105" s="214"/>
      <c r="P105" s="110"/>
      <c r="Q105" s="110"/>
      <c r="R105" s="51"/>
      <c r="S105" s="51"/>
      <c r="T105" s="51"/>
      <c r="U105" s="51"/>
      <c r="W105" s="9"/>
    </row>
    <row r="106" spans="1:23" ht="15" x14ac:dyDescent="0.25">
      <c r="A106" s="5"/>
      <c r="C106" s="9"/>
      <c r="E106" s="259" t="s">
        <v>48</v>
      </c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262">
        <f t="shared" ref="P106:U106" si="26">P91+P103</f>
        <v>510000</v>
      </c>
      <c r="Q106" s="262">
        <f t="shared" si="26"/>
        <v>510000</v>
      </c>
      <c r="R106" s="262">
        <f t="shared" si="26"/>
        <v>510000</v>
      </c>
      <c r="S106" s="262">
        <f t="shared" si="26"/>
        <v>510000</v>
      </c>
      <c r="T106" s="262">
        <f>T91+T103</f>
        <v>510000</v>
      </c>
      <c r="U106" s="263">
        <f t="shared" si="26"/>
        <v>0</v>
      </c>
      <c r="W106" s="9"/>
    </row>
    <row r="107" spans="1:23" ht="15" x14ac:dyDescent="0.25">
      <c r="A107" s="5"/>
      <c r="C107" s="9"/>
      <c r="E107" s="257" t="s">
        <v>16</v>
      </c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78">
        <f ca="1">P92+P102</f>
        <v>97980.852238067921</v>
      </c>
      <c r="Q107" s="78">
        <f ca="1">Q92+Q102</f>
        <v>70067.518940053124</v>
      </c>
      <c r="R107" s="78">
        <f ca="1">R92+R102</f>
        <v>-20138.254743764992</v>
      </c>
      <c r="S107" s="78">
        <f ca="1">S92+S102</f>
        <v>-55096.728220965007</v>
      </c>
      <c r="T107" s="78">
        <f ca="1">T92+T102-T103</f>
        <v>68820.977273392957</v>
      </c>
      <c r="U107" s="220">
        <f ca="1">U92+U102</f>
        <v>501664.98977339291</v>
      </c>
      <c r="W107" s="9"/>
    </row>
    <row r="108" spans="1:23" ht="9.9499999999999993" customHeight="1" x14ac:dyDescent="0.25">
      <c r="A108" s="5"/>
      <c r="C108" s="9"/>
      <c r="E108" s="7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60">
        <f t="shared" ref="P108:U108" ca="1" si="27">SUM(P106:P107)</f>
        <v>607980.85223806789</v>
      </c>
      <c r="Q108" s="260">
        <f t="shared" ca="1" si="27"/>
        <v>580067.51894005318</v>
      </c>
      <c r="R108" s="260">
        <f t="shared" ca="1" si="27"/>
        <v>489861.74525623501</v>
      </c>
      <c r="S108" s="260">
        <f t="shared" ca="1" si="27"/>
        <v>454903.27177903499</v>
      </c>
      <c r="T108" s="260">
        <f ca="1">SUM(T106:T107)</f>
        <v>578820.97727339296</v>
      </c>
      <c r="U108" s="261">
        <f t="shared" ca="1" si="27"/>
        <v>501664.98977339291</v>
      </c>
      <c r="W108" s="9"/>
    </row>
    <row r="109" spans="1:23" ht="15" customHeight="1" x14ac:dyDescent="0.25">
      <c r="A109" s="5"/>
      <c r="C109" s="9"/>
      <c r="E109" s="83">
        <f>E94+1</f>
        <v>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72"/>
      <c r="Q109" s="72"/>
      <c r="R109" s="20"/>
      <c r="S109" s="20"/>
      <c r="T109" s="20"/>
      <c r="U109" s="20"/>
      <c r="W109" s="9"/>
    </row>
    <row r="110" spans="1:23" ht="15" customHeight="1" x14ac:dyDescent="0.25">
      <c r="A110" s="5"/>
      <c r="C110" s="9"/>
      <c r="E110" s="73" t="s">
        <v>49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72"/>
      <c r="Q110" s="72"/>
      <c r="R110" s="20"/>
      <c r="S110" s="20"/>
      <c r="T110" s="20"/>
      <c r="U110" s="20"/>
      <c r="W110" s="9"/>
    </row>
    <row r="111" spans="1:23" ht="15" customHeight="1" x14ac:dyDescent="0.25">
      <c r="A111" s="5"/>
      <c r="C111" s="9"/>
      <c r="E111" s="73" t="s">
        <v>207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5">
        <f ca="1">($I$8*$U$9)*$U$11*$U$17</f>
        <v>391500</v>
      </c>
      <c r="Q111" s="65">
        <f ca="1">($I$8*$U$9)*$U$11*$U$17</f>
        <v>391500</v>
      </c>
      <c r="R111" s="65">
        <f ca="1">($I$8*$U$9)*$U$11*$U$17</f>
        <v>391500</v>
      </c>
      <c r="S111" s="65">
        <f ca="1">IF(E109&lt;$U$20,(($I$8*$U$9)-$I$47)*($U$11*(1+$I$48))*$U$17,($I$8*$U$9)*$U$11*$U$17)</f>
        <v>391500</v>
      </c>
      <c r="T111" s="65">
        <f ca="1">IF(E109&gt;$U$20,($I$8*$U$9)*$U$11*$U$17,0)</f>
        <v>391500</v>
      </c>
      <c r="U111" s="65">
        <v>0</v>
      </c>
      <c r="W111" s="9"/>
    </row>
    <row r="112" spans="1:23" ht="15" customHeight="1" x14ac:dyDescent="0.25">
      <c r="A112" s="5"/>
      <c r="C112" s="9"/>
      <c r="E112" s="8" t="s">
        <v>55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5">
        <v>0</v>
      </c>
      <c r="Q112" s="64">
        <f>IF(AND($E$109&lt;$U$20,$I$19=1),$U$37,0)</f>
        <v>0</v>
      </c>
      <c r="R112" s="64">
        <f>IF(AND($E$109&lt;$U$20,$I$19=1),$U$37,0)</f>
        <v>0</v>
      </c>
      <c r="S112" s="64">
        <f>IF(AND($E$109&lt;$U$20,$I$19=1),$U$37,0)</f>
        <v>0</v>
      </c>
      <c r="T112" s="64">
        <f ca="1">IF(AND(AND($E$109&lt;$U$20,$I$19=1), T111&lt;&gt;0),$U$37,0)</f>
        <v>0</v>
      </c>
      <c r="U112" s="64">
        <f>IF(AND($I$19=1, U111&lt;&gt;0),$U$37,0)</f>
        <v>0</v>
      </c>
      <c r="W112" s="9"/>
    </row>
    <row r="113" spans="1:23" ht="15" customHeight="1" x14ac:dyDescent="0.25">
      <c r="A113" s="5"/>
      <c r="C113" s="9"/>
      <c r="E113" s="66" t="s">
        <v>59</v>
      </c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8">
        <f>-IF($I$19=1, ($I$12*$I$8)+U34, $I$12*$I$8)</f>
        <v>-306832.6335</v>
      </c>
      <c r="Q113" s="68">
        <f>-IF($I$19=1, ($I$12*$I$8)+U34, $I$12*$I$8)</f>
        <v>-306832.6335</v>
      </c>
      <c r="R113" s="69">
        <f>IF($AB18&gt;0,-(($I$8*$I$12)+($AB$18*$I$29*$I$8)),-($I$8*$I$12))- IF(I19 = 1, U34, 0)</f>
        <v>-306832.6335</v>
      </c>
      <c r="S113" s="69">
        <f>-(IF($AB$18&gt;0,(($I$8*$I$12)+($AA$18*$I$45*$I$8)),($I$8*$I$12))) - IF(I19 = 1, U34, 0)</f>
        <v>-306832.6335</v>
      </c>
      <c r="T113" s="69">
        <f ca="1">IF(T111=0,-$I$55,-($I$8*$I$12 +  IF($I$19 = 1, U34, 0)))</f>
        <v>-306832.6335</v>
      </c>
      <c r="U113" s="69">
        <f>-$I$55</f>
        <v>-5000</v>
      </c>
      <c r="W113" s="9"/>
    </row>
    <row r="114" spans="1:23" ht="15" customHeight="1" x14ac:dyDescent="0.25">
      <c r="A114" s="5"/>
      <c r="C114" s="9"/>
      <c r="E114" s="201" t="s">
        <v>50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9">
        <f t="shared" ref="P114:U114" ca="1" si="28">IF(P107&gt;0,P107*$I$16,P107*$I$15)</f>
        <v>1224.7606529758491</v>
      </c>
      <c r="Q114" s="69">
        <f t="shared" ca="1" si="28"/>
        <v>875.84398675066404</v>
      </c>
      <c r="R114" s="69">
        <f t="shared" ca="1" si="28"/>
        <v>-1308.9865583447245</v>
      </c>
      <c r="S114" s="69">
        <f t="shared" ca="1" si="28"/>
        <v>-3581.2873343627257</v>
      </c>
      <c r="T114" s="69">
        <f ca="1">IF(T107&gt;0,T107*$I$16,T107*$I$15)</f>
        <v>860.26221591741205</v>
      </c>
      <c r="U114" s="69">
        <f t="shared" ca="1" si="28"/>
        <v>6270.8123721674119</v>
      </c>
      <c r="W114" s="9"/>
    </row>
    <row r="115" spans="1:23" ht="15" customHeight="1" x14ac:dyDescent="0.25">
      <c r="A115" s="5"/>
      <c r="C115" s="9"/>
      <c r="E115" s="66" t="s">
        <v>34</v>
      </c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5">
        <f t="shared" ref="P115:U115" ca="1" si="29">SUM(P111:P114)</f>
        <v>85892.127152975852</v>
      </c>
      <c r="Q115" s="65">
        <f t="shared" ca="1" si="29"/>
        <v>85543.210486750671</v>
      </c>
      <c r="R115" s="65">
        <f t="shared" ca="1" si="29"/>
        <v>83358.379941655279</v>
      </c>
      <c r="S115" s="65">
        <f t="shared" ca="1" si="29"/>
        <v>81086.079165637275</v>
      </c>
      <c r="T115" s="65">
        <f ca="1">SUM(T111:T114)</f>
        <v>85527.62871591741</v>
      </c>
      <c r="U115" s="65">
        <f t="shared" ca="1" si="29"/>
        <v>1270.8123721674119</v>
      </c>
      <c r="W115" s="9"/>
    </row>
    <row r="116" spans="1:23" ht="15" customHeight="1" x14ac:dyDescent="0.25">
      <c r="A116" s="5"/>
      <c r="C116" s="9"/>
      <c r="E116" s="71" t="s">
        <v>35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70">
        <f t="shared" ref="P116:U116" ca="1" si="30">IF(P115&gt;0,P115*(0.124+0.15+0.04),0)</f>
        <v>26970.127926034416</v>
      </c>
      <c r="Q116" s="70">
        <f t="shared" ca="1" si="30"/>
        <v>26860.568092839712</v>
      </c>
      <c r="R116" s="70">
        <f t="shared" ca="1" si="30"/>
        <v>26174.531301679759</v>
      </c>
      <c r="S116" s="70">
        <f t="shared" ca="1" si="30"/>
        <v>25461.028858010104</v>
      </c>
      <c r="T116" s="70">
        <f ca="1">IF(T115&gt;0,T115*(0.124+0.15+0.04),0)</f>
        <v>26855.675416798065</v>
      </c>
      <c r="U116" s="70">
        <f t="shared" ca="1" si="30"/>
        <v>399.03508486056734</v>
      </c>
      <c r="W116" s="9"/>
    </row>
    <row r="117" spans="1:23" ht="15" customHeight="1" x14ac:dyDescent="0.25">
      <c r="A117" s="5"/>
      <c r="C117" s="9"/>
      <c r="E117" s="71" t="s">
        <v>56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72">
        <f t="shared" ref="P117:U117" ca="1" si="31">P115-P116</f>
        <v>58921.999226941436</v>
      </c>
      <c r="Q117" s="72">
        <f t="shared" ca="1" si="31"/>
        <v>58682.642393910959</v>
      </c>
      <c r="R117" s="72">
        <f t="shared" ca="1" si="31"/>
        <v>57183.84863997552</v>
      </c>
      <c r="S117" s="72">
        <f t="shared" ca="1" si="31"/>
        <v>55625.050307627171</v>
      </c>
      <c r="T117" s="72">
        <f ca="1">T115-T116</f>
        <v>58671.953299119341</v>
      </c>
      <c r="U117" s="72">
        <f t="shared" ca="1" si="31"/>
        <v>871.77728730684453</v>
      </c>
      <c r="W117" s="9"/>
    </row>
    <row r="118" spans="1:23" ht="15" customHeight="1" x14ac:dyDescent="0.25">
      <c r="A118" s="5"/>
      <c r="C118" s="9"/>
      <c r="E118" s="255" t="s">
        <v>60</v>
      </c>
      <c r="F118" s="214"/>
      <c r="G118" s="214"/>
      <c r="H118" s="214"/>
      <c r="I118" s="214"/>
      <c r="J118" s="214"/>
      <c r="K118" s="214"/>
      <c r="L118" s="214"/>
      <c r="M118" s="214"/>
      <c r="N118" s="254"/>
      <c r="O118" s="9"/>
      <c r="P118" s="65">
        <v>0</v>
      </c>
      <c r="Q118" s="65">
        <v>0</v>
      </c>
      <c r="R118" s="65">
        <v>0</v>
      </c>
      <c r="S118" s="65">
        <v>0</v>
      </c>
      <c r="T118" s="65">
        <f>IF(E109=$U$20,$I$8*$I$58,0)</f>
        <v>0</v>
      </c>
      <c r="U118" s="65">
        <v>0</v>
      </c>
      <c r="W118" s="9"/>
    </row>
    <row r="119" spans="1:23" ht="15" customHeight="1" x14ac:dyDescent="0.25">
      <c r="A119" s="5"/>
      <c r="C119" s="9"/>
      <c r="E119" s="258" t="s">
        <v>0</v>
      </c>
      <c r="F119" s="61"/>
      <c r="G119" s="61"/>
      <c r="H119" s="61"/>
      <c r="I119" s="61"/>
      <c r="J119" s="61"/>
      <c r="K119" s="61"/>
      <c r="L119" s="61"/>
      <c r="M119" s="61"/>
      <c r="N119" s="61"/>
      <c r="O119" s="214"/>
      <c r="P119" s="110"/>
      <c r="Q119" s="110"/>
      <c r="R119" s="51"/>
      <c r="S119" s="51"/>
      <c r="T119" s="51"/>
      <c r="U119" s="51"/>
      <c r="W119" s="9"/>
    </row>
    <row r="120" spans="1:23" ht="15" customHeight="1" x14ac:dyDescent="0.25">
      <c r="A120" s="5"/>
      <c r="C120" s="9"/>
      <c r="E120" s="259" t="s">
        <v>48</v>
      </c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262">
        <f t="shared" ref="P120:U120" si="32">P106+P118</f>
        <v>510000</v>
      </c>
      <c r="Q120" s="262">
        <f t="shared" si="32"/>
        <v>510000</v>
      </c>
      <c r="R120" s="252">
        <f t="shared" si="32"/>
        <v>510000</v>
      </c>
      <c r="S120" s="252">
        <f t="shared" si="32"/>
        <v>510000</v>
      </c>
      <c r="T120" s="252">
        <f>T106+T118</f>
        <v>510000</v>
      </c>
      <c r="U120" s="253">
        <f t="shared" si="32"/>
        <v>0</v>
      </c>
      <c r="W120" s="9"/>
    </row>
    <row r="121" spans="1:23" ht="19.5" customHeight="1" x14ac:dyDescent="0.25">
      <c r="A121" s="5"/>
      <c r="C121" s="9"/>
      <c r="E121" s="257" t="s">
        <v>16</v>
      </c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78">
        <f t="shared" ref="P121:U121" ca="1" si="33">P107+P117-P118</f>
        <v>156902.85146500936</v>
      </c>
      <c r="Q121" s="78">
        <f t="shared" ca="1" si="33"/>
        <v>128750.16133396409</v>
      </c>
      <c r="R121" s="78">
        <f t="shared" ca="1" si="33"/>
        <v>37045.593896210528</v>
      </c>
      <c r="S121" s="78">
        <f t="shared" ca="1" si="33"/>
        <v>528.3220866621632</v>
      </c>
      <c r="T121" s="78">
        <f ca="1">T107+T117-T118</f>
        <v>127492.9305725123</v>
      </c>
      <c r="U121" s="220">
        <f t="shared" ca="1" si="33"/>
        <v>502536.76706069976</v>
      </c>
      <c r="W121" s="9"/>
    </row>
    <row r="122" spans="1:23" ht="15" customHeight="1" x14ac:dyDescent="0.25">
      <c r="A122" s="5"/>
      <c r="C122" s="9"/>
      <c r="E122" s="4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260">
        <f t="shared" ref="P122:U122" ca="1" si="34">SUM(P120:P121)</f>
        <v>666902.85146500939</v>
      </c>
      <c r="Q122" s="260">
        <f t="shared" ca="1" si="34"/>
        <v>638750.16133396409</v>
      </c>
      <c r="R122" s="260">
        <f t="shared" ca="1" si="34"/>
        <v>547045.59389621054</v>
      </c>
      <c r="S122" s="260">
        <f t="shared" ca="1" si="34"/>
        <v>510528.32208666217</v>
      </c>
      <c r="T122" s="260">
        <f ca="1">SUM(T120:T121)</f>
        <v>637492.93057251233</v>
      </c>
      <c r="U122" s="261">
        <f t="shared" ca="1" si="34"/>
        <v>502536.76706069976</v>
      </c>
      <c r="W122" s="9"/>
    </row>
    <row r="123" spans="1:23" ht="15" customHeight="1" x14ac:dyDescent="0.25">
      <c r="A123" s="5"/>
      <c r="C123" s="9"/>
      <c r="E123" s="83">
        <f>E109+1</f>
        <v>4</v>
      </c>
      <c r="F123" s="5"/>
      <c r="G123" s="119"/>
      <c r="H123" s="5"/>
      <c r="I123" s="5"/>
      <c r="J123" s="5"/>
      <c r="K123" s="5"/>
      <c r="L123" s="5"/>
      <c r="M123" s="5"/>
      <c r="N123" s="5"/>
      <c r="O123" s="5"/>
      <c r="P123" s="48"/>
      <c r="Q123" s="48"/>
      <c r="R123" s="48"/>
      <c r="S123" s="48"/>
      <c r="T123" s="48"/>
      <c r="U123" s="48"/>
      <c r="W123" s="9"/>
    </row>
    <row r="124" spans="1:23" ht="15" customHeight="1" x14ac:dyDescent="0.25">
      <c r="A124" s="5"/>
      <c r="C124" s="9"/>
      <c r="E124" s="73" t="s">
        <v>49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72"/>
      <c r="Q124" s="72"/>
      <c r="R124" s="20"/>
      <c r="S124" s="20"/>
      <c r="T124" s="20"/>
      <c r="U124" s="20"/>
      <c r="W124" s="9"/>
    </row>
    <row r="125" spans="1:23" ht="15" customHeight="1" x14ac:dyDescent="0.25">
      <c r="A125" s="5"/>
      <c r="C125" s="9"/>
      <c r="E125" s="73" t="s">
        <v>207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5">
        <f ca="1">($I$8*$U$9)*$U$11*$U$17</f>
        <v>391500</v>
      </c>
      <c r="Q125" s="65">
        <f ca="1">IF($U$20=E123,($I$8*$U$9)*$U$11*$I$13*$U$17,($I$8*$U$9)*$U$11*$U$17)</f>
        <v>391500</v>
      </c>
      <c r="R125" s="65">
        <f ca="1">($I$8*$U$9)*$U$11*$U$17</f>
        <v>391500</v>
      </c>
      <c r="S125" s="65">
        <f ca="1">IF(E123&lt;$U$20,(($I$8*$U$9)-$I$47)*($U$11*(1+$I$48))*$U$17,($I$8*$U$9)*$U$11*$U$17)</f>
        <v>391500</v>
      </c>
      <c r="T125" s="65">
        <f ca="1">IF(E123&gt;$U$20,($I$8*$U$9)*$U$11*$U$17,"X")</f>
        <v>391500</v>
      </c>
      <c r="U125" s="65">
        <v>0</v>
      </c>
      <c r="W125" s="9"/>
    </row>
    <row r="126" spans="1:23" ht="15" customHeight="1" x14ac:dyDescent="0.25">
      <c r="A126" s="5"/>
      <c r="C126" s="9"/>
      <c r="E126" s="8" t="s">
        <v>55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5">
        <v>0</v>
      </c>
      <c r="Q126" s="64">
        <f>IF(AND($E$123&lt;$U$20,$I$19=1),$U$38,0)</f>
        <v>0</v>
      </c>
      <c r="R126" s="64">
        <f>IF(AND($E$123&lt;$U$20,$I$19=1),$U$38,0)</f>
        <v>0</v>
      </c>
      <c r="S126" s="64">
        <f>IF(AND($E$123&lt;$U$20,$I$19=1),$U$38,0)</f>
        <v>0</v>
      </c>
      <c r="T126" s="64">
        <f ca="1">IF(AND($E$123&lt;$U$20,$I$19=1, T125&lt;&gt;0),$U$38,0)</f>
        <v>0</v>
      </c>
      <c r="U126" s="64">
        <f>IF(AND($I$19=1, U125&lt;&gt;0),$U$38,0)</f>
        <v>0</v>
      </c>
      <c r="W126" s="9"/>
    </row>
    <row r="127" spans="1:23" ht="15" customHeight="1" x14ac:dyDescent="0.25">
      <c r="A127" s="5"/>
      <c r="C127" s="9"/>
      <c r="E127" s="66" t="s">
        <v>59</v>
      </c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8">
        <f>-IF($I$19=1, ($I$12*$I$8)+U34, $I$12*$I$8)</f>
        <v>-306832.6335</v>
      </c>
      <c r="Q127" s="68">
        <f>-IF($I$19=1, ($I$12*$I$8)+U34, $I$12*$I$8)</f>
        <v>-306832.6335</v>
      </c>
      <c r="R127" s="69">
        <f>IF($AA32&gt;0,-(($I$8*$I$12)+($AB$18*$I$29*$I$8)),-($I$8*$I$12)) - IF(I19 = 1, U34, 0)</f>
        <v>-306832.6335</v>
      </c>
      <c r="S127" s="69">
        <f>-(IF($AB$19&gt;0,(($I$8*$I$12)+($AA$18*$I$45*$I$8)),($I$8*$I$12))) - IF(I19 = 1, U34, 0)</f>
        <v>-306832.6335</v>
      </c>
      <c r="T127" s="69">
        <f ca="1">IF(T125=0,-$I$55,-($I$8*$I$12 +  IF($I$19 = 1, U34, 0)))</f>
        <v>-306832.6335</v>
      </c>
      <c r="U127" s="69">
        <f>-$I$55</f>
        <v>-5000</v>
      </c>
      <c r="W127" s="9"/>
    </row>
    <row r="128" spans="1:23" ht="15" customHeight="1" x14ac:dyDescent="0.25">
      <c r="A128" s="5"/>
      <c r="C128" s="9"/>
      <c r="E128" s="201" t="s">
        <v>50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9">
        <f t="shared" ref="P128:U128" ca="1" si="35">IF(P121&gt;0,P121*$I$16,P121*$I$15)</f>
        <v>1961.2856433126171</v>
      </c>
      <c r="Q128" s="69">
        <f t="shared" ca="1" si="35"/>
        <v>1609.3770166745512</v>
      </c>
      <c r="R128" s="69">
        <f t="shared" ca="1" si="35"/>
        <v>463.06992370263163</v>
      </c>
      <c r="S128" s="69">
        <f t="shared" ca="1" si="35"/>
        <v>6.6040260832770405</v>
      </c>
      <c r="T128" s="69">
        <f ca="1">IF(T121&gt;0,T121*$I$16,T121*$I$15)</f>
        <v>1593.6616321564038</v>
      </c>
      <c r="U128" s="69">
        <f t="shared" ca="1" si="35"/>
        <v>6281.7095882587473</v>
      </c>
      <c r="W128" s="9"/>
    </row>
    <row r="129" spans="1:23" ht="15" customHeight="1" x14ac:dyDescent="0.25">
      <c r="A129" s="5"/>
      <c r="C129" s="9"/>
      <c r="E129" s="66" t="s">
        <v>34</v>
      </c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5">
        <f t="shared" ref="P129:U129" ca="1" si="36">SUM(P125:P128)</f>
        <v>86628.652143312618</v>
      </c>
      <c r="Q129" s="65">
        <f t="shared" ca="1" si="36"/>
        <v>86276.743516674556</v>
      </c>
      <c r="R129" s="65">
        <f t="shared" ca="1" si="36"/>
        <v>85130.436423702631</v>
      </c>
      <c r="S129" s="65">
        <f t="shared" ca="1" si="36"/>
        <v>84673.970526083285</v>
      </c>
      <c r="T129" s="65">
        <f ca="1">SUM(T125:T128)</f>
        <v>86261.028132156411</v>
      </c>
      <c r="U129" s="65">
        <f t="shared" ca="1" si="36"/>
        <v>1281.7095882587473</v>
      </c>
      <c r="W129" s="9"/>
    </row>
    <row r="130" spans="1:23" ht="15" customHeight="1" x14ac:dyDescent="0.25">
      <c r="A130" s="5"/>
      <c r="C130" s="9"/>
      <c r="E130" s="71" t="s">
        <v>35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70">
        <f t="shared" ref="P130:U130" ca="1" si="37">IF(P129&gt;0,P129*(0.124+0.15+0.04),0)</f>
        <v>27201.39677300016</v>
      </c>
      <c r="Q130" s="70">
        <f t="shared" ca="1" si="37"/>
        <v>27090.897464235812</v>
      </c>
      <c r="R130" s="70">
        <f t="shared" ca="1" si="37"/>
        <v>26730.957037042626</v>
      </c>
      <c r="S130" s="70">
        <f t="shared" ca="1" si="37"/>
        <v>26587.626745190151</v>
      </c>
      <c r="T130" s="70">
        <f ca="1">IF(T129&gt;0,T129*(0.124+0.15+0.04),0)</f>
        <v>27085.962833497113</v>
      </c>
      <c r="U130" s="70">
        <f t="shared" ca="1" si="37"/>
        <v>402.45681071324668</v>
      </c>
      <c r="W130" s="9"/>
    </row>
    <row r="131" spans="1:23" ht="15" customHeight="1" x14ac:dyDescent="0.25">
      <c r="A131" s="5"/>
      <c r="C131" s="9"/>
      <c r="E131" s="71" t="s">
        <v>56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72">
        <f t="shared" ref="P131:U131" ca="1" si="38">P129-P130</f>
        <v>59427.255370312458</v>
      </c>
      <c r="Q131" s="72">
        <f t="shared" ca="1" si="38"/>
        <v>59185.846052438748</v>
      </c>
      <c r="R131" s="72">
        <f t="shared" ca="1" si="38"/>
        <v>58399.479386660008</v>
      </c>
      <c r="S131" s="72">
        <f t="shared" ca="1" si="38"/>
        <v>58086.343780893134</v>
      </c>
      <c r="T131" s="72">
        <f ca="1">T129-T130</f>
        <v>59175.065298659298</v>
      </c>
      <c r="U131" s="72">
        <f t="shared" ca="1" si="38"/>
        <v>879.25277754550063</v>
      </c>
      <c r="W131" s="9"/>
    </row>
    <row r="132" spans="1:23" ht="15" customHeight="1" x14ac:dyDescent="0.25">
      <c r="A132" s="5"/>
      <c r="C132" s="9"/>
      <c r="E132" s="255" t="s">
        <v>60</v>
      </c>
      <c r="F132" s="214"/>
      <c r="G132" s="214"/>
      <c r="H132" s="214"/>
      <c r="I132" s="214"/>
      <c r="J132" s="214"/>
      <c r="K132" s="214"/>
      <c r="L132" s="214"/>
      <c r="M132" s="214"/>
      <c r="N132" s="254"/>
      <c r="O132" s="9"/>
      <c r="P132" s="65">
        <v>0</v>
      </c>
      <c r="Q132" s="65">
        <v>0</v>
      </c>
      <c r="R132" s="65">
        <v>0</v>
      </c>
      <c r="S132" s="65">
        <v>0</v>
      </c>
      <c r="T132" s="65">
        <f>IF(E123=$U$20,$I$8*$I$58,0)</f>
        <v>0</v>
      </c>
      <c r="U132" s="65">
        <v>0</v>
      </c>
      <c r="W132" s="9"/>
    </row>
    <row r="133" spans="1:23" ht="15" customHeight="1" x14ac:dyDescent="0.25">
      <c r="A133" s="5"/>
      <c r="C133" s="9"/>
      <c r="E133" s="258" t="s">
        <v>0</v>
      </c>
      <c r="F133" s="61"/>
      <c r="G133" s="61"/>
      <c r="H133" s="61"/>
      <c r="I133" s="61"/>
      <c r="J133" s="61"/>
      <c r="K133" s="61"/>
      <c r="L133" s="61"/>
      <c r="M133" s="61"/>
      <c r="N133" s="61"/>
      <c r="O133" s="214"/>
      <c r="P133" s="110"/>
      <c r="Q133" s="110"/>
      <c r="R133" s="51"/>
      <c r="S133" s="51"/>
      <c r="T133" s="51"/>
      <c r="U133" s="51"/>
      <c r="W133" s="9"/>
    </row>
    <row r="134" spans="1:23" ht="15.75" customHeight="1" x14ac:dyDescent="0.25">
      <c r="A134" s="5"/>
      <c r="C134" s="9"/>
      <c r="E134" s="259" t="s">
        <v>48</v>
      </c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262">
        <f t="shared" ref="P134:U134" si="39">P120+P132</f>
        <v>510000</v>
      </c>
      <c r="Q134" s="262">
        <f t="shared" si="39"/>
        <v>510000</v>
      </c>
      <c r="R134" s="252">
        <f t="shared" si="39"/>
        <v>510000</v>
      </c>
      <c r="S134" s="252">
        <f t="shared" si="39"/>
        <v>510000</v>
      </c>
      <c r="T134" s="252">
        <f>T120+T132</f>
        <v>510000</v>
      </c>
      <c r="U134" s="253">
        <f t="shared" si="39"/>
        <v>0</v>
      </c>
      <c r="W134" s="9"/>
    </row>
    <row r="135" spans="1:23" ht="15" x14ac:dyDescent="0.25">
      <c r="A135" s="5"/>
      <c r="C135" s="9"/>
      <c r="E135" s="257" t="s">
        <v>16</v>
      </c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78">
        <f t="shared" ref="P135:U135" ca="1" si="40">P121+P131-P132</f>
        <v>216330.10683532181</v>
      </c>
      <c r="Q135" s="78">
        <f t="shared" ca="1" si="40"/>
        <v>187936.00738640284</v>
      </c>
      <c r="R135" s="78">
        <f t="shared" ca="1" si="40"/>
        <v>95445.073282870537</v>
      </c>
      <c r="S135" s="78">
        <f t="shared" ca="1" si="40"/>
        <v>58614.665867555297</v>
      </c>
      <c r="T135" s="78">
        <f ca="1">T121+T131-T132</f>
        <v>186667.99587117159</v>
      </c>
      <c r="U135" s="220">
        <f t="shared" ca="1" si="40"/>
        <v>503416.01983824524</v>
      </c>
      <c r="W135" s="9"/>
    </row>
    <row r="136" spans="1:23" ht="15" x14ac:dyDescent="0.25">
      <c r="A136" s="5"/>
      <c r="C136" s="9"/>
      <c r="E136" s="4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260">
        <f t="shared" ref="P136:U136" ca="1" si="41">SUM(P134:P135)</f>
        <v>726330.10683532176</v>
      </c>
      <c r="Q136" s="260">
        <f t="shared" ca="1" si="41"/>
        <v>697936.00738640281</v>
      </c>
      <c r="R136" s="260">
        <f t="shared" ca="1" si="41"/>
        <v>605445.07328287058</v>
      </c>
      <c r="S136" s="260">
        <f t="shared" ca="1" si="41"/>
        <v>568614.6658675553</v>
      </c>
      <c r="T136" s="260">
        <f ca="1">SUM(T134:T135)</f>
        <v>696667.99587117159</v>
      </c>
      <c r="U136" s="261">
        <f t="shared" ca="1" si="41"/>
        <v>503416.01983824524</v>
      </c>
      <c r="W136" s="9"/>
    </row>
    <row r="137" spans="1:23" ht="15.75" customHeight="1" x14ac:dyDescent="0.25">
      <c r="A137" s="5"/>
      <c r="C137" s="9"/>
      <c r="E137" s="83">
        <f>E123+1</f>
        <v>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48"/>
      <c r="Q137" s="48"/>
      <c r="R137" s="48"/>
      <c r="S137" s="48"/>
      <c r="T137" s="48"/>
      <c r="U137" s="48"/>
      <c r="W137" s="9"/>
    </row>
    <row r="138" spans="1:23" ht="15" x14ac:dyDescent="0.25">
      <c r="A138" s="5"/>
      <c r="C138" s="9"/>
      <c r="E138" s="73" t="s">
        <v>49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72"/>
      <c r="Q138" s="72"/>
      <c r="R138" s="20"/>
      <c r="S138" s="20"/>
      <c r="T138" s="20"/>
      <c r="U138" s="20"/>
      <c r="W138" s="9"/>
    </row>
    <row r="139" spans="1:23" ht="15.75" customHeight="1" x14ac:dyDescent="0.25">
      <c r="A139" s="5"/>
      <c r="C139" s="9"/>
      <c r="E139" s="73" t="s">
        <v>207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5">
        <f ca="1">($I$8*$U$9)*$U$11*$U$17</f>
        <v>391500</v>
      </c>
      <c r="Q139" s="65">
        <f ca="1">IF($U$20=E137,($I$8*$U$9)*$U$11*$I$13*$U$17,($I$8*$U$9)*$U$11*$U$17)</f>
        <v>391500</v>
      </c>
      <c r="R139" s="65">
        <f ca="1">($I$8*$U$9)*$U$11*$U$17</f>
        <v>391500</v>
      </c>
      <c r="S139" s="65">
        <f ca="1">IF(E137&lt;$U$20,(($I$8*$U$9)-$I$47)*($U$11*(1+$I$48))*$U$17,($I$8*$U$9)*$U$11*$U$17)</f>
        <v>391500</v>
      </c>
      <c r="T139" s="65">
        <f ca="1">IF(E137&gt;$U$20,($I$8*$U$9)*$U$11*$U$17,0)</f>
        <v>391500</v>
      </c>
      <c r="U139" s="65">
        <v>0</v>
      </c>
      <c r="W139" s="9"/>
    </row>
    <row r="140" spans="1:23" ht="15" x14ac:dyDescent="0.25">
      <c r="C140" s="9"/>
      <c r="E140" s="8" t="s">
        <v>55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5">
        <v>0</v>
      </c>
      <c r="Q140" s="64">
        <f>IF(AND($E$137&lt;$U$20,$I$19=1),$U$39,0)</f>
        <v>0</v>
      </c>
      <c r="R140" s="64">
        <f>IF(AND($E$137&lt;$U$20,$I$19=1),$U$39,0)</f>
        <v>0</v>
      </c>
      <c r="S140" s="64">
        <f>IF(AND($E$137&lt;$U$20,$I$19=1),$U$39,0)</f>
        <v>0</v>
      </c>
      <c r="T140" s="64">
        <f ca="1">IF(AND($E$137&lt;$U$20,$I$19=1, T139&lt;&gt;0),$U$39,0)</f>
        <v>0</v>
      </c>
      <c r="U140" s="64">
        <f>IF(AND($I$19=1, U139&lt;&gt;0),$U$39,0)</f>
        <v>0</v>
      </c>
      <c r="W140" s="9"/>
    </row>
    <row r="141" spans="1:23" ht="15" x14ac:dyDescent="0.25">
      <c r="C141" s="9"/>
      <c r="E141" s="66" t="s">
        <v>59</v>
      </c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8">
        <f>-IF($I$19=1, ($I$12*$I$8)+U34, $I$12*$I$8)</f>
        <v>-306832.6335</v>
      </c>
      <c r="Q141" s="68">
        <f>-IF($I$19=1, ($I$12*$I$8)+U34, $I$12*$I$8)</f>
        <v>-306832.6335</v>
      </c>
      <c r="R141" s="69">
        <f>IF($AB45&gt;0,-(($I$8*$I$12)+($AB$18*$I$29*$I$8)),-($I$8*$I$12)) - IF(I19 = 1, U34, 0)</f>
        <v>-306832.6335</v>
      </c>
      <c r="S141" s="69">
        <f>-(IF($AB$20&gt;0,(($I$8*$I$12)+($AA$18*$I$45*$I$8)),($I$8*$I$12))) - IF(I19 = 1, U34, 0)</f>
        <v>-306832.6335</v>
      </c>
      <c r="T141" s="69">
        <f ca="1">IF(T139=0,-$I$55,-($I$8*$I$12 +  IF($I$19 = 1, U34, 0)))</f>
        <v>-306832.6335</v>
      </c>
      <c r="U141" s="69">
        <f>-$I$55</f>
        <v>-5000</v>
      </c>
      <c r="W141" s="9"/>
    </row>
    <row r="142" spans="1:23" ht="15" x14ac:dyDescent="0.25">
      <c r="C142" s="9"/>
      <c r="E142" s="201" t="s">
        <v>50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9">
        <f t="shared" ref="P142:U142" ca="1" si="42">IF(P135&gt;0,P135*$I$16,P135*$I$15)</f>
        <v>2704.1263354415228</v>
      </c>
      <c r="Q142" s="69">
        <f t="shared" ca="1" si="42"/>
        <v>2349.2000923300357</v>
      </c>
      <c r="R142" s="69">
        <f t="shared" ca="1" si="42"/>
        <v>1193.0634160358818</v>
      </c>
      <c r="S142" s="69">
        <f t="shared" ca="1" si="42"/>
        <v>732.68332334444131</v>
      </c>
      <c r="T142" s="69">
        <f ca="1">IF(T135&gt;0,T135*$I$16,T135*$I$15)</f>
        <v>2333.3499483896449</v>
      </c>
      <c r="U142" s="69">
        <f t="shared" ca="1" si="42"/>
        <v>6292.7002479780658</v>
      </c>
      <c r="W142" s="9"/>
    </row>
    <row r="143" spans="1:23" ht="15" x14ac:dyDescent="0.25">
      <c r="C143" s="9"/>
      <c r="E143" s="66" t="s">
        <v>34</v>
      </c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5">
        <f t="shared" ref="P143:U143" ca="1" si="43">SUM(P139:P142)</f>
        <v>87371.492835441531</v>
      </c>
      <c r="Q143" s="65">
        <f t="shared" ca="1" si="43"/>
        <v>87016.56659233004</v>
      </c>
      <c r="R143" s="65">
        <f t="shared" ca="1" si="43"/>
        <v>85860.429916035879</v>
      </c>
      <c r="S143" s="65">
        <f t="shared" ca="1" si="43"/>
        <v>85400.049823344452</v>
      </c>
      <c r="T143" s="65">
        <f ca="1">SUM(T139:T142)</f>
        <v>87000.716448389649</v>
      </c>
      <c r="U143" s="65">
        <f t="shared" ca="1" si="43"/>
        <v>1292.7002479780658</v>
      </c>
      <c r="W143" s="9"/>
    </row>
    <row r="144" spans="1:23" ht="15" x14ac:dyDescent="0.25">
      <c r="C144" s="9"/>
      <c r="E144" s="71" t="s">
        <v>35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70">
        <f t="shared" ref="P144:U144" ca="1" si="44">IF(P143&gt;0,P143*(0.124+0.15+0.04),0)</f>
        <v>27434.648750328641</v>
      </c>
      <c r="Q144" s="70">
        <f t="shared" ca="1" si="44"/>
        <v>27323.201909991632</v>
      </c>
      <c r="R144" s="70">
        <f t="shared" ca="1" si="44"/>
        <v>26960.174993635264</v>
      </c>
      <c r="S144" s="70">
        <f t="shared" ca="1" si="44"/>
        <v>26815.615644530157</v>
      </c>
      <c r="T144" s="70">
        <f ca="1">IF(T143&gt;0,T143*(0.124+0.15+0.04),0)</f>
        <v>27318.22496479435</v>
      </c>
      <c r="U144" s="70">
        <f t="shared" ca="1" si="44"/>
        <v>405.90787786511265</v>
      </c>
      <c r="W144" s="9"/>
    </row>
    <row r="145" spans="3:23" ht="15" x14ac:dyDescent="0.25">
      <c r="C145" s="9"/>
      <c r="E145" s="71" t="s">
        <v>56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72">
        <f t="shared" ref="P145:U145" ca="1" si="45">P143-P144</f>
        <v>59936.844085112891</v>
      </c>
      <c r="Q145" s="72">
        <f t="shared" ca="1" si="45"/>
        <v>59693.364682338404</v>
      </c>
      <c r="R145" s="72">
        <f t="shared" ca="1" si="45"/>
        <v>58900.254922400614</v>
      </c>
      <c r="S145" s="72">
        <f t="shared" ca="1" si="45"/>
        <v>58584.434178814292</v>
      </c>
      <c r="T145" s="72">
        <f ca="1">T143-T144</f>
        <v>59682.491483595295</v>
      </c>
      <c r="U145" s="72">
        <f t="shared" ca="1" si="45"/>
        <v>886.79237011295322</v>
      </c>
      <c r="W145" s="9"/>
    </row>
    <row r="146" spans="3:23" ht="15" x14ac:dyDescent="0.25">
      <c r="C146" s="9"/>
      <c r="E146" s="255" t="s">
        <v>60</v>
      </c>
      <c r="F146" s="214"/>
      <c r="G146" s="214"/>
      <c r="H146" s="214"/>
      <c r="I146" s="214"/>
      <c r="J146" s="214"/>
      <c r="K146" s="214"/>
      <c r="L146" s="214"/>
      <c r="M146" s="214"/>
      <c r="N146" s="254"/>
      <c r="O146" s="9"/>
      <c r="P146" s="65">
        <v>0</v>
      </c>
      <c r="Q146" s="65">
        <v>0</v>
      </c>
      <c r="R146" s="65">
        <v>0</v>
      </c>
      <c r="S146" s="65">
        <v>0</v>
      </c>
      <c r="T146" s="65">
        <f>IF(E137=$U$20,$I$8*$I$58,0)</f>
        <v>0</v>
      </c>
      <c r="U146" s="65">
        <v>0</v>
      </c>
      <c r="W146" s="9"/>
    </row>
    <row r="147" spans="3:23" ht="15" x14ac:dyDescent="0.25">
      <c r="C147" s="9"/>
      <c r="E147" s="258" t="s">
        <v>0</v>
      </c>
      <c r="F147" s="61"/>
      <c r="G147" s="61"/>
      <c r="H147" s="61"/>
      <c r="I147" s="61"/>
      <c r="J147" s="61"/>
      <c r="K147" s="61"/>
      <c r="L147" s="61"/>
      <c r="M147" s="61"/>
      <c r="N147" s="61"/>
      <c r="O147" s="214"/>
      <c r="P147" s="110"/>
      <c r="Q147" s="110"/>
      <c r="R147" s="51"/>
      <c r="S147" s="51"/>
      <c r="T147" s="51"/>
      <c r="U147" s="51"/>
      <c r="W147" s="9"/>
    </row>
    <row r="148" spans="3:23" ht="15" x14ac:dyDescent="0.25">
      <c r="C148" s="9"/>
      <c r="E148" s="259" t="s">
        <v>48</v>
      </c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262">
        <f t="shared" ref="P148:U148" si="46">P134+P146</f>
        <v>510000</v>
      </c>
      <c r="Q148" s="262">
        <f t="shared" si="46"/>
        <v>510000</v>
      </c>
      <c r="R148" s="252">
        <f t="shared" si="46"/>
        <v>510000</v>
      </c>
      <c r="S148" s="252">
        <f t="shared" si="46"/>
        <v>510000</v>
      </c>
      <c r="T148" s="252">
        <f>T134+T146</f>
        <v>510000</v>
      </c>
      <c r="U148" s="253">
        <f t="shared" si="46"/>
        <v>0</v>
      </c>
      <c r="W148" s="9"/>
    </row>
    <row r="149" spans="3:23" ht="15" x14ac:dyDescent="0.25">
      <c r="C149" s="9"/>
      <c r="E149" s="257" t="s">
        <v>16</v>
      </c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78">
        <f t="shared" ref="P149:U149" ca="1" si="47">P135+P145-P146</f>
        <v>276266.95092043473</v>
      </c>
      <c r="Q149" s="78">
        <f t="shared" ca="1" si="47"/>
        <v>247629.37206874124</v>
      </c>
      <c r="R149" s="78">
        <f t="shared" ca="1" si="47"/>
        <v>154345.32820527116</v>
      </c>
      <c r="S149" s="78">
        <f t="shared" ca="1" si="47"/>
        <v>117199.1000463696</v>
      </c>
      <c r="T149" s="78">
        <f ca="1">T135+T145-T146</f>
        <v>246350.48735476687</v>
      </c>
      <c r="U149" s="220">
        <f t="shared" ca="1" si="47"/>
        <v>504302.8122083582</v>
      </c>
      <c r="W149" s="9"/>
    </row>
    <row r="150" spans="3:23" ht="15" x14ac:dyDescent="0.25">
      <c r="C150" s="19"/>
      <c r="E150" s="4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260">
        <f t="shared" ref="P150:U150" ca="1" si="48">SUM(P148:P149)</f>
        <v>786266.95092043467</v>
      </c>
      <c r="Q150" s="260">
        <f t="shared" ca="1" si="48"/>
        <v>757629.37206874124</v>
      </c>
      <c r="R150" s="260">
        <f t="shared" ca="1" si="48"/>
        <v>664345.32820527116</v>
      </c>
      <c r="S150" s="260">
        <f t="shared" ca="1" si="48"/>
        <v>627199.1000463696</v>
      </c>
      <c r="T150" s="260">
        <f ca="1">SUM(T148:T149)</f>
        <v>756350.48735476681</v>
      </c>
      <c r="U150" s="261">
        <f t="shared" ca="1" si="48"/>
        <v>504302.8122083582</v>
      </c>
      <c r="W150" s="9"/>
    </row>
    <row r="151" spans="3:23" ht="15" x14ac:dyDescent="0.25">
      <c r="C151" s="19"/>
      <c r="E151" s="267" t="s">
        <v>107</v>
      </c>
      <c r="F151" s="268"/>
      <c r="G151" s="268"/>
      <c r="H151" s="268"/>
      <c r="I151" s="268"/>
      <c r="J151" s="268"/>
      <c r="K151" s="268"/>
      <c r="L151" s="268"/>
      <c r="M151" s="268"/>
      <c r="N151" s="269"/>
      <c r="O151" s="9"/>
      <c r="P151" s="48"/>
      <c r="Q151" s="48"/>
      <c r="R151" s="48"/>
      <c r="S151" s="48"/>
      <c r="T151" s="48"/>
      <c r="U151" s="48"/>
      <c r="W151" s="9"/>
    </row>
    <row r="152" spans="3:23" ht="15" x14ac:dyDescent="0.25">
      <c r="C152" s="19"/>
      <c r="E152" s="264" t="s">
        <v>57</v>
      </c>
      <c r="F152" s="80"/>
      <c r="G152" s="80"/>
      <c r="H152" s="80"/>
      <c r="I152" s="80"/>
      <c r="J152" s="80"/>
      <c r="K152" s="80"/>
      <c r="L152" s="80"/>
      <c r="M152" s="80"/>
      <c r="N152" s="80"/>
      <c r="O152" s="268"/>
      <c r="P152" s="51"/>
      <c r="Q152" s="51"/>
      <c r="R152" s="51"/>
      <c r="S152" s="51"/>
      <c r="T152" s="51"/>
      <c r="U152" s="51"/>
      <c r="W152" s="9"/>
    </row>
    <row r="153" spans="3:23" ht="15" x14ac:dyDescent="0.25">
      <c r="C153" s="19"/>
      <c r="E153" s="265" t="s">
        <v>58</v>
      </c>
      <c r="F153" s="266"/>
      <c r="G153" s="266"/>
      <c r="H153" s="266"/>
      <c r="I153" s="266"/>
      <c r="J153" s="266"/>
      <c r="K153" s="266"/>
      <c r="L153" s="266"/>
      <c r="M153" s="266"/>
      <c r="N153" s="266"/>
      <c r="O153" s="266"/>
      <c r="P153" s="272">
        <f t="shared" ref="P153:U153" ca="1" si="49">P150-P79</f>
        <v>271579.45092043467</v>
      </c>
      <c r="Q153" s="272">
        <f t="shared" ca="1" si="49"/>
        <v>242941.87206874124</v>
      </c>
      <c r="R153" s="272">
        <f t="shared" ca="1" si="49"/>
        <v>149657.82820527116</v>
      </c>
      <c r="S153" s="272">
        <f t="shared" ca="1" si="49"/>
        <v>112511.6000463696</v>
      </c>
      <c r="T153" s="272">
        <f ca="1">T150-T79</f>
        <v>241662.98735476681</v>
      </c>
      <c r="U153" s="273">
        <f t="shared" ca="1" si="49"/>
        <v>-10384.687791641802</v>
      </c>
      <c r="W153" s="9"/>
    </row>
    <row r="154" spans="3:23" ht="15" x14ac:dyDescent="0.25">
      <c r="C154" s="19"/>
      <c r="D154" s="9"/>
      <c r="E154" s="10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270">
        <f t="shared" ref="P154:U154" ca="1" si="50">P153/$I$8</f>
        <v>452.63241820072443</v>
      </c>
      <c r="Q154" s="270">
        <f t="shared" ca="1" si="50"/>
        <v>404.90312011456876</v>
      </c>
      <c r="R154" s="270">
        <f t="shared" ca="1" si="50"/>
        <v>249.42971367545192</v>
      </c>
      <c r="S154" s="270">
        <f t="shared" ca="1" si="50"/>
        <v>187.51933341061599</v>
      </c>
      <c r="T154" s="270">
        <f ca="1">T153/$I$8</f>
        <v>402.771645591278</v>
      </c>
      <c r="U154" s="271">
        <f t="shared" ca="1" si="50"/>
        <v>-17.307812986069671</v>
      </c>
      <c r="W154" s="9"/>
    </row>
    <row r="155" spans="3:23" ht="15" x14ac:dyDescent="0.25">
      <c r="C155" s="19"/>
      <c r="D155" s="19" t="s">
        <v>200</v>
      </c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P155" s="110"/>
      <c r="Q155" s="110"/>
      <c r="R155" s="111"/>
      <c r="S155" s="111"/>
      <c r="T155" s="5"/>
      <c r="U155" s="111"/>
      <c r="W155" s="9"/>
    </row>
    <row r="156" spans="3:23" ht="15" x14ac:dyDescent="0.25">
      <c r="C156" s="19"/>
      <c r="D156" s="19"/>
      <c r="P156" s="47"/>
      <c r="Q156" s="47"/>
      <c r="R156" s="41"/>
      <c r="S156" s="41"/>
      <c r="U156" s="41"/>
      <c r="W156" s="9"/>
    </row>
    <row r="157" spans="3:23" x14ac:dyDescent="0.2">
      <c r="C157" s="19"/>
      <c r="D157" s="19"/>
      <c r="W157" s="9"/>
    </row>
    <row r="158" spans="3:23" x14ac:dyDescent="0.2">
      <c r="C158" s="19"/>
      <c r="D158" s="19"/>
      <c r="W158" s="9"/>
    </row>
    <row r="159" spans="3:23" x14ac:dyDescent="0.2">
      <c r="C159" s="19"/>
      <c r="D159" s="19"/>
      <c r="W159" s="9"/>
    </row>
    <row r="160" spans="3:23" x14ac:dyDescent="0.2">
      <c r="C160" s="19"/>
      <c r="D160" s="19"/>
      <c r="W160" s="9"/>
    </row>
    <row r="161" spans="3:23" x14ac:dyDescent="0.2">
      <c r="C161" s="19"/>
      <c r="D161" s="19"/>
      <c r="W161" s="19"/>
    </row>
    <row r="162" spans="3:23" x14ac:dyDescent="0.2">
      <c r="C162" s="19"/>
      <c r="D162" s="19"/>
      <c r="W162" s="19"/>
    </row>
    <row r="163" spans="3:23" x14ac:dyDescent="0.2">
      <c r="C163" s="19"/>
      <c r="D163" s="19"/>
      <c r="E163" s="131"/>
      <c r="W163" s="19"/>
    </row>
    <row r="164" spans="3:23" x14ac:dyDescent="0.2">
      <c r="C164" s="19"/>
      <c r="D164" s="19"/>
      <c r="P164" s="131"/>
      <c r="Q164" s="131"/>
      <c r="W164" s="19"/>
    </row>
    <row r="165" spans="3:23" x14ac:dyDescent="0.2">
      <c r="C165" s="19"/>
      <c r="D165" s="19"/>
      <c r="W165" s="19"/>
    </row>
    <row r="166" spans="3:23" x14ac:dyDescent="0.2">
      <c r="C166" s="19"/>
      <c r="D166" s="19"/>
      <c r="W166" s="19"/>
    </row>
    <row r="167" spans="3:23" x14ac:dyDescent="0.2">
      <c r="C167" s="19"/>
      <c r="D167" s="19"/>
      <c r="W167" s="19"/>
    </row>
    <row r="168" spans="3:23" x14ac:dyDescent="0.2">
      <c r="C168" s="19"/>
      <c r="D168" s="19"/>
      <c r="W168" s="19"/>
    </row>
    <row r="169" spans="3:23" x14ac:dyDescent="0.2">
      <c r="W169" s="19"/>
    </row>
    <row r="170" spans="3:23" x14ac:dyDescent="0.2">
      <c r="W170" s="19"/>
    </row>
    <row r="171" spans="3:23" x14ac:dyDescent="0.2">
      <c r="W171" s="19"/>
    </row>
    <row r="172" spans="3:23" x14ac:dyDescent="0.2">
      <c r="W172" s="19"/>
    </row>
    <row r="173" spans="3:23" x14ac:dyDescent="0.2">
      <c r="W173" s="19"/>
    </row>
    <row r="174" spans="3:23" x14ac:dyDescent="0.2">
      <c r="W174" s="19"/>
    </row>
    <row r="175" spans="3:23" x14ac:dyDescent="0.2">
      <c r="W175" s="19"/>
    </row>
    <row r="176" spans="3:23" x14ac:dyDescent="0.2">
      <c r="W176" s="19"/>
    </row>
    <row r="177" spans="5:23" x14ac:dyDescent="0.2">
      <c r="E177" s="131"/>
      <c r="W177" s="19"/>
    </row>
    <row r="178" spans="5:23" x14ac:dyDescent="0.2">
      <c r="W178" s="19"/>
    </row>
    <row r="179" spans="5:23" x14ac:dyDescent="0.2">
      <c r="W179" s="19"/>
    </row>
    <row r="192" spans="5:23" x14ac:dyDescent="0.2">
      <c r="E192" s="131"/>
    </row>
    <row r="206" spans="5:5" x14ac:dyDescent="0.2">
      <c r="E206" s="131"/>
    </row>
    <row r="220" spans="5:5" x14ac:dyDescent="0.2">
      <c r="E220" s="131"/>
    </row>
  </sheetData>
  <mergeCells count="8">
    <mergeCell ref="C64:I64"/>
    <mergeCell ref="C6:S6"/>
    <mergeCell ref="T26:U26"/>
    <mergeCell ref="T44:U44"/>
    <mergeCell ref="T55:U55"/>
    <mergeCell ref="P22:T23"/>
    <mergeCell ref="C13:G13"/>
    <mergeCell ref="P12:T12"/>
  </mergeCells>
  <phoneticPr fontId="27" type="noConversion"/>
  <conditionalFormatting sqref="I48">
    <cfRule type="cellIs" dxfId="13" priority="7" operator="lessThan">
      <formula>0</formula>
    </cfRule>
  </conditionalFormatting>
  <conditionalFormatting sqref="U14">
    <cfRule type="expression" dxfId="12" priority="15" stopIfTrue="1">
      <formula>RiskIsInput</formula>
    </cfRule>
  </conditionalFormatting>
  <conditionalFormatting sqref="P150:U150">
    <cfRule type="expression" dxfId="11" priority="23" stopIfTrue="1">
      <formula>RiskIsOutput</formula>
    </cfRule>
  </conditionalFormatting>
  <conditionalFormatting sqref="I37">
    <cfRule type="cellIs" dxfId="10" priority="2" operator="lessThan">
      <formula>0</formula>
    </cfRule>
  </conditionalFormatting>
  <conditionalFormatting sqref="P233:U233">
    <cfRule type="expression" dxfId="9" priority="1" stopIfTrue="1">
      <formula>RiskIsOutput</formula>
    </cfRule>
  </conditionalFormatting>
  <conditionalFormatting sqref="X5">
    <cfRule type="expression" dxfId="8" priority="25" stopIfTrue="1">
      <formula>RiskIsInput</formula>
    </cfRule>
  </conditionalFormatting>
  <conditionalFormatting sqref="U2">
    <cfRule type="expression" dxfId="7" priority="27" stopIfTrue="1">
      <formula>RiskIsInput</formula>
    </cfRule>
  </conditionalFormatting>
  <conditionalFormatting sqref="I58">
    <cfRule type="expression" dxfId="6" priority="147" stopIfTrue="1">
      <formula>RiskIsInput</formula>
    </cfRule>
  </conditionalFormatting>
  <conditionalFormatting sqref="I19">
    <cfRule type="expression" dxfId="5" priority="185" stopIfTrue="1">
      <formula>RiskIsInput</formula>
    </cfRule>
  </conditionalFormatting>
  <conditionalFormatting sqref="U41 Q83 P85:U85">
    <cfRule type="expression" dxfId="1" priority="294" stopIfTrue="1">
      <formula>RiskIsOutput</formula>
    </cfRule>
  </conditionalFormatting>
  <conditionalFormatting sqref="U15:U17 I27 I45">
    <cfRule type="expression" dxfId="0" priority="295" stopIfTrue="1">
      <formula>RiskIsInput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 r:id="rId1"/>
  <headerFooter>
    <oddFooter>&amp;Lwww.coopext.colostate.edu/ABM/</oddFooter>
  </headerFooter>
  <rowBreaks count="2" manualBreakCount="2">
    <brk id="68" min="1" max="18" man="1"/>
    <brk id="119" min="1" max="18" man="1"/>
  </rowBreaks>
  <ignoredErrors>
    <ignoredError sqref="U36" unlockedFormula="1"/>
    <ignoredError sqref="Q96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Z60"/>
  <sheetViews>
    <sheetView zoomScaleSheetLayoutView="110" workbookViewId="0">
      <selection activeCell="C10" sqref="C10"/>
    </sheetView>
  </sheetViews>
  <sheetFormatPr defaultColWidth="9.140625" defaultRowHeight="15" x14ac:dyDescent="0.25"/>
  <cols>
    <col min="1" max="2" width="11" style="151" customWidth="1"/>
    <col min="3" max="3" width="11.42578125" style="141" customWidth="1"/>
    <col min="4" max="4" width="11.42578125" style="153" customWidth="1"/>
    <col min="5" max="5" width="11.42578125" style="151" customWidth="1"/>
    <col min="6" max="6" width="11.42578125" style="152" customWidth="1"/>
    <col min="7" max="9" width="11.42578125" style="141" customWidth="1"/>
    <col min="10" max="10" width="11.42578125" style="152" customWidth="1"/>
    <col min="11" max="11" width="11.42578125" style="141" customWidth="1"/>
    <col min="12" max="13" width="9.140625" style="141"/>
    <col min="14" max="14" width="11.42578125" style="152" customWidth="1"/>
    <col min="15" max="15" width="9.140625" style="141"/>
    <col min="16" max="16" width="10.140625" style="141" bestFit="1" customWidth="1"/>
    <col min="17" max="17" width="10.42578125" style="141" customWidth="1"/>
    <col min="18" max="18" width="12.140625" style="141" bestFit="1" customWidth="1"/>
    <col min="19" max="19" width="10.42578125" style="141" bestFit="1" customWidth="1"/>
    <col min="20" max="16384" width="9.140625" style="141"/>
  </cols>
  <sheetData>
    <row r="2" spans="1:18" x14ac:dyDescent="0.25">
      <c r="J2" s="141"/>
      <c r="N2" s="141"/>
    </row>
    <row r="3" spans="1:18" x14ac:dyDescent="0.25">
      <c r="J3" s="141"/>
      <c r="N3" s="141"/>
    </row>
    <row r="4" spans="1:18" x14ac:dyDescent="0.25">
      <c r="A4" s="292"/>
      <c r="B4" s="199"/>
      <c r="C4" s="164"/>
      <c r="D4" s="164"/>
      <c r="E4" s="164"/>
      <c r="F4" s="164"/>
      <c r="G4" s="293">
        <f ca="1">'Drought Calculator'!B9</f>
        <v>2002</v>
      </c>
      <c r="H4" s="164">
        <f ca="1">G4+1</f>
        <v>2003</v>
      </c>
      <c r="I4" s="164">
        <f ca="1">H4+1</f>
        <v>2004</v>
      </c>
      <c r="J4" s="164">
        <f ca="1">I4+1</f>
        <v>2005</v>
      </c>
      <c r="K4" s="164">
        <f ca="1">J4+1</f>
        <v>2006</v>
      </c>
      <c r="L4" s="173"/>
      <c r="N4" s="141"/>
    </row>
    <row r="5" spans="1:18" ht="30.75" thickBot="1" x14ac:dyDescent="0.3">
      <c r="A5" s="294" t="s">
        <v>258</v>
      </c>
      <c r="B5" s="195" t="s">
        <v>263</v>
      </c>
      <c r="C5" s="196" t="s">
        <v>256</v>
      </c>
      <c r="D5" s="196" t="s">
        <v>257</v>
      </c>
      <c r="E5" s="196" t="s">
        <v>230</v>
      </c>
      <c r="F5" s="196" t="s">
        <v>236</v>
      </c>
      <c r="G5" s="196" t="s">
        <v>231</v>
      </c>
      <c r="H5" s="196" t="s">
        <v>232</v>
      </c>
      <c r="I5" s="196" t="s">
        <v>233</v>
      </c>
      <c r="J5" s="197" t="s">
        <v>234</v>
      </c>
      <c r="K5" s="196" t="s">
        <v>235</v>
      </c>
      <c r="L5" s="167"/>
      <c r="N5" s="141"/>
    </row>
    <row r="6" spans="1:18" ht="15.75" thickBot="1" x14ac:dyDescent="0.3">
      <c r="A6" s="295" t="s">
        <v>215</v>
      </c>
      <c r="B6" s="171">
        <v>1</v>
      </c>
      <c r="C6" s="171">
        <v>100</v>
      </c>
      <c r="D6" s="180"/>
      <c r="E6" s="172">
        <v>25.06</v>
      </c>
      <c r="F6" s="175">
        <f>D6*'Ranch Strategies'!$I$37</f>
        <v>0</v>
      </c>
      <c r="G6" s="19">
        <f ca="1">VLOOKUP(G$4,'R Index'!$A1:$L70,$B6+1)</f>
        <v>47.4</v>
      </c>
      <c r="H6" s="200">
        <f ca="1">VLOOKUP(H$4,'R Index'!$A1:$L70,$B6+1)</f>
        <v>56.2</v>
      </c>
      <c r="I6" s="200">
        <f ca="1">VLOOKUP(I$4,'R Index'!$A1:$L70,$B6+1)</f>
        <v>64.2</v>
      </c>
      <c r="J6" s="200">
        <f ca="1">VLOOKUP(J$4,'R Index'!$A1:$L70,$B6+1)</f>
        <v>110.7</v>
      </c>
      <c r="K6" s="200">
        <f ca="1">VLOOKUP(K$4,'R Index'!$A1:$L70,$B6+1)</f>
        <v>38.299999999999997</v>
      </c>
      <c r="L6" s="185"/>
      <c r="N6" s="141"/>
      <c r="R6"/>
    </row>
    <row r="7" spans="1:18" ht="15.75" thickBot="1" x14ac:dyDescent="0.3">
      <c r="A7" s="296" t="s">
        <v>216</v>
      </c>
      <c r="B7" s="165">
        <v>2</v>
      </c>
      <c r="C7" s="165">
        <v>100</v>
      </c>
      <c r="D7" s="181"/>
      <c r="E7" s="166">
        <v>23.44</v>
      </c>
      <c r="F7" s="176">
        <f>D7*'Ranch Strategies'!$I$37</f>
        <v>0</v>
      </c>
      <c r="G7" s="19">
        <f ca="1">VLOOKUP(G$4,'R Index'!A2:L71,B7+1)</f>
        <v>80.7</v>
      </c>
      <c r="H7" s="200">
        <f ca="1">VLOOKUP(H$4,'R Index'!$A2:$L71,$B7+1)</f>
        <v>174.9</v>
      </c>
      <c r="I7" s="200">
        <f ca="1">VLOOKUP(I$4,'R Index'!$A2:$L71,$B7+1)</f>
        <v>39</v>
      </c>
      <c r="J7" s="200">
        <f ca="1">VLOOKUP(J$4,'R Index'!$A2:$L71,$B7+1)</f>
        <v>69.099999999999994</v>
      </c>
      <c r="K7" s="200">
        <f ca="1">VLOOKUP(K$4,'R Index'!$A2:$L71,$B7+1)</f>
        <v>104.6</v>
      </c>
      <c r="L7" s="185"/>
      <c r="N7" s="141"/>
      <c r="R7"/>
    </row>
    <row r="8" spans="1:18" ht="15.75" thickBot="1" x14ac:dyDescent="0.3">
      <c r="A8" s="296" t="s">
        <v>217</v>
      </c>
      <c r="B8" s="165">
        <v>3</v>
      </c>
      <c r="C8" s="165">
        <v>100</v>
      </c>
      <c r="D8" s="181">
        <v>0.5</v>
      </c>
      <c r="E8" s="166">
        <v>18.010000000000002</v>
      </c>
      <c r="F8" s="176">
        <f>D8*'Ranch Strategies'!$I$37</f>
        <v>44550</v>
      </c>
      <c r="G8" s="19">
        <f ca="1">VLOOKUP(G$4,'R Index'!A3:L72,B8+1)</f>
        <v>57.8</v>
      </c>
      <c r="H8" s="200">
        <f ca="1">VLOOKUP(H$4,'R Index'!$A3:$L72,$B8+1)</f>
        <v>163.9</v>
      </c>
      <c r="I8" s="200">
        <f ca="1">VLOOKUP(I$4,'R Index'!$A3:$L72,$B8+1)</f>
        <v>59.5</v>
      </c>
      <c r="J8" s="200">
        <f ca="1">VLOOKUP(J$4,'R Index'!$A3:$L72,$B8+1)</f>
        <v>97.6</v>
      </c>
      <c r="K8" s="200">
        <f ca="1">VLOOKUP(K$4,'R Index'!$A3:$L72,$B8+1)</f>
        <v>67.7</v>
      </c>
      <c r="L8" s="185"/>
      <c r="N8" s="141"/>
      <c r="R8"/>
    </row>
    <row r="9" spans="1:18" ht="15.75" thickBot="1" x14ac:dyDescent="0.3">
      <c r="A9" s="296" t="s">
        <v>218</v>
      </c>
      <c r="B9" s="171">
        <v>4</v>
      </c>
      <c r="C9" s="165">
        <v>100</v>
      </c>
      <c r="D9" s="181"/>
      <c r="E9" s="166">
        <v>15.38</v>
      </c>
      <c r="F9" s="176">
        <f>D9*'Ranch Strategies'!$I$37</f>
        <v>0</v>
      </c>
      <c r="G9" s="19">
        <f ca="1">VLOOKUP(G$4,'R Index'!A4:L73,B9+1)</f>
        <v>46.5</v>
      </c>
      <c r="H9" s="200">
        <f ca="1">VLOOKUP(H$4,'R Index'!$A4:$L73,$B9+1)</f>
        <v>119.5</v>
      </c>
      <c r="I9" s="200">
        <f ca="1">VLOOKUP(I$4,'R Index'!$A4:$L73,$B9+1)</f>
        <v>72.3</v>
      </c>
      <c r="J9" s="200">
        <f ca="1">VLOOKUP(J$4,'R Index'!$A4:$L73,$B9+1)</f>
        <v>77.3</v>
      </c>
      <c r="K9" s="200">
        <f ca="1">VLOOKUP(K$4,'R Index'!$A4:$L73,$B9+1)</f>
        <v>46.3</v>
      </c>
      <c r="L9" s="185"/>
      <c r="N9" s="141"/>
      <c r="R9"/>
    </row>
    <row r="10" spans="1:18" ht="15.75" thickBot="1" x14ac:dyDescent="0.3">
      <c r="A10" s="296" t="s">
        <v>219</v>
      </c>
      <c r="B10" s="165">
        <v>5</v>
      </c>
      <c r="C10" s="165">
        <v>100</v>
      </c>
      <c r="D10" s="181">
        <v>0.5</v>
      </c>
      <c r="E10" s="166">
        <v>13.29</v>
      </c>
      <c r="F10" s="176">
        <f>D10*'Ranch Strategies'!$I$37</f>
        <v>44550</v>
      </c>
      <c r="G10" s="19">
        <f ca="1">VLOOKUP(G$4,'R Index'!A5:L74,B10+1)</f>
        <v>44.9</v>
      </c>
      <c r="H10" s="200">
        <f ca="1">VLOOKUP(H$4,'R Index'!$A5:$L74,$B10+1)</f>
        <v>116.6</v>
      </c>
      <c r="I10" s="200">
        <f ca="1">VLOOKUP(I$4,'R Index'!$A5:$L74,$B10+1)</f>
        <v>80.599999999999994</v>
      </c>
      <c r="J10" s="200">
        <f ca="1">VLOOKUP(J$4,'R Index'!$A5:$L74,$B10+1)</f>
        <v>164</v>
      </c>
      <c r="K10" s="200">
        <f ca="1">VLOOKUP(K$4,'R Index'!$A5:$L74,$B10+1)</f>
        <v>42.6</v>
      </c>
      <c r="L10" s="185"/>
      <c r="N10" s="141"/>
      <c r="R10"/>
    </row>
    <row r="11" spans="1:18" ht="15.75" thickBot="1" x14ac:dyDescent="0.3">
      <c r="A11" s="296" t="s">
        <v>220</v>
      </c>
      <c r="B11" s="165">
        <v>6</v>
      </c>
      <c r="C11" s="165">
        <v>100</v>
      </c>
      <c r="D11" s="181"/>
      <c r="E11" s="166">
        <v>14.83</v>
      </c>
      <c r="F11" s="176">
        <f>D11*'Ranch Strategies'!$I$37</f>
        <v>0</v>
      </c>
      <c r="G11" s="19">
        <f ca="1">VLOOKUP(G$4,'R Index'!A6:L75,B11+1)</f>
        <v>29.7</v>
      </c>
      <c r="H11" s="200">
        <f ca="1">VLOOKUP(H$4,'R Index'!$A6:$L75,$B11+1)</f>
        <v>88.3</v>
      </c>
      <c r="I11" s="200">
        <f ca="1">VLOOKUP(I$4,'R Index'!$A6:$L75,$B11+1)</f>
        <v>96.7</v>
      </c>
      <c r="J11" s="200">
        <f ca="1">VLOOKUP(J$4,'R Index'!$A6:$L75,$B11+1)</f>
        <v>192.1</v>
      </c>
      <c r="K11" s="200">
        <f ca="1">VLOOKUP(K$4,'R Index'!$A6:$L75,$B11+1)</f>
        <v>70.3</v>
      </c>
      <c r="L11" s="185"/>
      <c r="N11" s="141"/>
      <c r="R11"/>
    </row>
    <row r="12" spans="1:18" ht="15.75" thickBot="1" x14ac:dyDescent="0.3">
      <c r="A12" s="296" t="s">
        <v>221</v>
      </c>
      <c r="B12" s="171">
        <v>7</v>
      </c>
      <c r="C12" s="165">
        <v>100</v>
      </c>
      <c r="D12" s="181"/>
      <c r="E12" s="166">
        <v>14.65</v>
      </c>
      <c r="F12" s="176">
        <f>D12*'Ranch Strategies'!$I$37</f>
        <v>0</v>
      </c>
      <c r="G12" s="19">
        <f ca="1">VLOOKUP(G$4,'R Index'!A7:L76,B12+1)</f>
        <v>52.1</v>
      </c>
      <c r="H12" s="200">
        <f ca="1">VLOOKUP(H$4,'R Index'!$A7:$L76,$B12+1)</f>
        <v>58</v>
      </c>
      <c r="I12" s="200">
        <f ca="1">VLOOKUP(I$4,'R Index'!$A7:$L76,$B12+1)</f>
        <v>109.3</v>
      </c>
      <c r="J12" s="200">
        <f ca="1">VLOOKUP(J$4,'R Index'!$A7:$L76,$B12+1)</f>
        <v>95.5</v>
      </c>
      <c r="K12" s="200">
        <f ca="1">VLOOKUP(K$4,'R Index'!$A7:$L76,$B12+1)</f>
        <v>114.8</v>
      </c>
      <c r="L12" s="185"/>
      <c r="N12" s="141"/>
      <c r="R12"/>
    </row>
    <row r="13" spans="1:18" ht="15.75" thickBot="1" x14ac:dyDescent="0.3">
      <c r="A13" s="296" t="s">
        <v>222</v>
      </c>
      <c r="B13" s="165">
        <v>8</v>
      </c>
      <c r="C13" s="165">
        <v>100</v>
      </c>
      <c r="D13" s="181"/>
      <c r="E13" s="166">
        <v>16.63</v>
      </c>
      <c r="F13" s="176">
        <f>D13*'Ranch Strategies'!$I$37</f>
        <v>0</v>
      </c>
      <c r="G13" s="19">
        <f ca="1">VLOOKUP(G$4,'R Index'!A8:L77,B13+1)</f>
        <v>96.2</v>
      </c>
      <c r="H13" s="200">
        <f ca="1">VLOOKUP(H$4,'R Index'!$A8:$L77,$B13+1)</f>
        <v>56.7</v>
      </c>
      <c r="I13" s="200">
        <f ca="1">VLOOKUP(I$4,'R Index'!$A8:$L77,$B13+1)</f>
        <v>146.69999999999999</v>
      </c>
      <c r="J13" s="200">
        <f ca="1">VLOOKUP(J$4,'R Index'!$A8:$L77,$B13+1)</f>
        <v>59.6</v>
      </c>
      <c r="K13" s="200">
        <f ca="1">VLOOKUP(K$4,'R Index'!$A8:$L77,$B13+1)</f>
        <v>118.3</v>
      </c>
      <c r="L13" s="185"/>
      <c r="N13" s="141"/>
      <c r="R13"/>
    </row>
    <row r="14" spans="1:18" ht="15.75" thickBot="1" x14ac:dyDescent="0.3">
      <c r="A14" s="296" t="s">
        <v>223</v>
      </c>
      <c r="B14" s="165">
        <v>9</v>
      </c>
      <c r="C14" s="165">
        <v>100</v>
      </c>
      <c r="D14" s="182"/>
      <c r="E14" s="168">
        <v>22.26</v>
      </c>
      <c r="F14" s="177">
        <f>D14*'Ranch Strategies'!$I$37</f>
        <v>0</v>
      </c>
      <c r="G14" s="19">
        <f ca="1">VLOOKUP(G$4,'R Index'!A9:L78,B14+1)</f>
        <v>96.4</v>
      </c>
      <c r="H14" s="200">
        <f ca="1">VLOOKUP(H$4,'R Index'!$A9:$L78,$B14+1)</f>
        <v>28</v>
      </c>
      <c r="I14" s="200">
        <f ca="1">VLOOKUP(I$4,'R Index'!$A9:$L78,$B14+1)</f>
        <v>194.4</v>
      </c>
      <c r="J14" s="200">
        <f ca="1">VLOOKUP(J$4,'R Index'!$A9:$L78,$B14+1)</f>
        <v>105.6</v>
      </c>
      <c r="K14" s="200">
        <f ca="1">VLOOKUP(K$4,'R Index'!$A9:$L78,$B14+1)</f>
        <v>96.4</v>
      </c>
      <c r="L14" s="185"/>
      <c r="N14" s="141"/>
      <c r="R14"/>
    </row>
    <row r="15" spans="1:18" ht="15.75" thickBot="1" x14ac:dyDescent="0.3">
      <c r="A15" s="296" t="s">
        <v>224</v>
      </c>
      <c r="B15" s="171">
        <v>10</v>
      </c>
      <c r="C15" s="165">
        <v>100</v>
      </c>
      <c r="D15" s="183"/>
      <c r="E15" s="166">
        <v>23.02</v>
      </c>
      <c r="F15" s="177">
        <f>D15*'Ranch Strategies'!$I$37</f>
        <v>0</v>
      </c>
      <c r="G15" s="19">
        <f ca="1">VLOOKUP(G$4,'R Index'!A10:L79,B15+1)</f>
        <v>88.5</v>
      </c>
      <c r="H15" s="200">
        <f ca="1">VLOOKUP(H$4,'R Index'!$A10:$L79,$B15+1)</f>
        <v>30.4</v>
      </c>
      <c r="I15" s="200">
        <f ca="1">VLOOKUP(I$4,'R Index'!$A10:$L79,$B15+1)</f>
        <v>222</v>
      </c>
      <c r="J15" s="200">
        <f ca="1">VLOOKUP(J$4,'R Index'!$A10:$L79,$B15+1)</f>
        <v>168.5</v>
      </c>
      <c r="K15" s="200">
        <f ca="1">VLOOKUP(K$4,'R Index'!$A10:$L79,$B15+1)</f>
        <v>50.5</v>
      </c>
      <c r="L15" s="185"/>
      <c r="N15" s="141"/>
      <c r="R15"/>
    </row>
    <row r="16" spans="1:18" x14ac:dyDescent="0.25">
      <c r="A16" s="297" t="s">
        <v>225</v>
      </c>
      <c r="B16" s="169">
        <v>11</v>
      </c>
      <c r="C16" s="174">
        <v>100</v>
      </c>
      <c r="D16" s="184"/>
      <c r="E16" s="170">
        <v>26.46</v>
      </c>
      <c r="F16" s="178">
        <f>D16*'Ranch Strategies'!$I$37</f>
        <v>0</v>
      </c>
      <c r="G16" s="298">
        <f ca="1">VLOOKUP(G$4,'R Index'!A11:L80,B16+1)</f>
        <v>53</v>
      </c>
      <c r="H16" s="299">
        <f ca="1">VLOOKUP(H$4,'R Index'!$A11:$L80,$B16+1)</f>
        <v>72.900000000000006</v>
      </c>
      <c r="I16" s="299">
        <f ca="1">VLOOKUP(I$4,'R Index'!$A11:$L80,$B16+1)</f>
        <v>146</v>
      </c>
      <c r="J16" s="299">
        <f ca="1">VLOOKUP(J$4,'R Index'!$A11:$L80,$B16+1)</f>
        <v>45.6</v>
      </c>
      <c r="K16" s="299">
        <f ca="1">VLOOKUP(K$4,'R Index'!$A11:$L80,$B16+1)</f>
        <v>137.6</v>
      </c>
      <c r="L16" s="186"/>
      <c r="N16" s="141"/>
      <c r="R16"/>
    </row>
    <row r="17" spans="1:14" x14ac:dyDescent="0.25">
      <c r="A17" s="141"/>
      <c r="B17" s="141"/>
      <c r="D17" s="141"/>
      <c r="E17" s="141"/>
      <c r="F17" s="141"/>
      <c r="J17" s="141"/>
      <c r="N17" s="141"/>
    </row>
    <row r="18" spans="1:14" x14ac:dyDescent="0.25">
      <c r="A18" s="141"/>
      <c r="B18" s="141"/>
      <c r="D18" s="141"/>
      <c r="E18" s="141"/>
      <c r="F18" s="141"/>
      <c r="J18" s="141"/>
      <c r="N18" s="141"/>
    </row>
    <row r="19" spans="1:14" x14ac:dyDescent="0.25">
      <c r="A19" s="141"/>
      <c r="B19" s="141"/>
      <c r="D19" s="141"/>
      <c r="E19" s="141"/>
      <c r="F19" s="141"/>
      <c r="J19" s="141"/>
      <c r="N19" s="141"/>
    </row>
    <row r="20" spans="1:14" x14ac:dyDescent="0.25">
      <c r="A20" s="141"/>
      <c r="B20" s="141"/>
      <c r="D20" s="141"/>
      <c r="E20" s="141"/>
      <c r="F20" s="141"/>
      <c r="J20" s="141"/>
      <c r="N20" s="141"/>
    </row>
    <row r="21" spans="1:14" x14ac:dyDescent="0.25">
      <c r="A21" s="141"/>
      <c r="B21" s="141"/>
      <c r="D21" s="141"/>
      <c r="E21" s="141"/>
      <c r="J21" s="141"/>
      <c r="N21" s="141"/>
    </row>
    <row r="22" spans="1:14" x14ac:dyDescent="0.25">
      <c r="A22" s="141"/>
      <c r="B22" s="141"/>
      <c r="D22" s="141"/>
      <c r="E22" s="141"/>
      <c r="F22" s="141"/>
      <c r="J22" s="141"/>
      <c r="N22" s="141"/>
    </row>
    <row r="23" spans="1:14" x14ac:dyDescent="0.25">
      <c r="A23" s="141"/>
      <c r="B23" s="141"/>
      <c r="D23" s="141"/>
      <c r="E23" s="141"/>
      <c r="F23" s="141"/>
      <c r="H23" s="179"/>
      <c r="J23" s="141"/>
      <c r="N23" s="141"/>
    </row>
    <row r="24" spans="1:14" x14ac:dyDescent="0.25">
      <c r="A24" s="141"/>
      <c r="B24" s="141"/>
      <c r="D24" s="141"/>
      <c r="E24" s="141"/>
      <c r="F24" s="142"/>
      <c r="J24" s="141"/>
      <c r="N24" s="141"/>
    </row>
    <row r="25" spans="1:14" x14ac:dyDescent="0.25">
      <c r="A25" s="141"/>
      <c r="B25" s="141"/>
      <c r="D25" s="141"/>
      <c r="E25" s="141"/>
      <c r="F25" s="141"/>
      <c r="J25" s="141"/>
      <c r="N25" s="141"/>
    </row>
    <row r="26" spans="1:14" x14ac:dyDescent="0.25">
      <c r="A26" s="141"/>
      <c r="B26" s="141"/>
      <c r="D26" s="141"/>
      <c r="E26" s="141"/>
      <c r="I26" s="154"/>
      <c r="J26" s="141"/>
      <c r="N26" s="141"/>
    </row>
    <row r="27" spans="1:14" x14ac:dyDescent="0.25">
      <c r="A27" s="141"/>
      <c r="B27" s="141"/>
      <c r="D27" s="141"/>
      <c r="E27" s="141"/>
      <c r="F27" s="141"/>
      <c r="I27" s="154"/>
      <c r="J27" s="141"/>
      <c r="N27" s="141"/>
    </row>
    <row r="28" spans="1:14" x14ac:dyDescent="0.25">
      <c r="A28" s="141"/>
      <c r="B28" s="141"/>
      <c r="D28" s="141"/>
      <c r="E28" s="141"/>
      <c r="F28" s="141"/>
      <c r="I28" s="154"/>
      <c r="J28" s="141"/>
      <c r="N28" s="141"/>
    </row>
    <row r="29" spans="1:14" x14ac:dyDescent="0.25">
      <c r="A29" s="141"/>
      <c r="B29" s="141"/>
      <c r="D29" s="141"/>
      <c r="E29" s="141"/>
      <c r="F29" s="141"/>
      <c r="J29" s="141"/>
      <c r="N29" s="141"/>
    </row>
    <row r="30" spans="1:14" x14ac:dyDescent="0.25">
      <c r="A30" s="141"/>
      <c r="B30" s="141"/>
      <c r="D30" s="141"/>
      <c r="E30" s="141"/>
      <c r="F30" s="141"/>
      <c r="J30" s="141"/>
      <c r="N30" s="141"/>
    </row>
    <row r="31" spans="1:14" x14ac:dyDescent="0.25">
      <c r="D31" s="141"/>
      <c r="E31" s="141"/>
      <c r="F31" s="141"/>
      <c r="J31" s="141"/>
      <c r="N31" s="141"/>
    </row>
    <row r="32" spans="1:14" x14ac:dyDescent="0.25">
      <c r="D32" s="141"/>
      <c r="E32" s="141"/>
      <c r="F32" s="141"/>
      <c r="J32" s="141"/>
      <c r="N32" s="141"/>
    </row>
    <row r="33" spans="4:14" x14ac:dyDescent="0.25">
      <c r="D33" s="141"/>
      <c r="E33" s="141"/>
      <c r="F33" s="141"/>
      <c r="J33" s="141"/>
      <c r="N33" s="141"/>
    </row>
    <row r="34" spans="4:14" x14ac:dyDescent="0.25">
      <c r="D34" s="141"/>
      <c r="E34" s="141"/>
      <c r="F34" s="141"/>
      <c r="J34" s="141"/>
      <c r="N34" s="141"/>
    </row>
    <row r="35" spans="4:14" x14ac:dyDescent="0.25">
      <c r="D35" s="141"/>
      <c r="E35" s="141"/>
      <c r="F35" s="141"/>
      <c r="J35" s="141"/>
      <c r="N35" s="141"/>
    </row>
    <row r="54" spans="25:26" x14ac:dyDescent="0.25">
      <c r="Z54" s="152"/>
    </row>
    <row r="55" spans="25:26" x14ac:dyDescent="0.25">
      <c r="Z55" s="152"/>
    </row>
    <row r="56" spans="25:26" x14ac:dyDescent="0.25">
      <c r="Z56" s="152"/>
    </row>
    <row r="57" spans="25:26" x14ac:dyDescent="0.25">
      <c r="Z57" s="152"/>
    </row>
    <row r="58" spans="25:26" x14ac:dyDescent="0.25">
      <c r="Z58" s="152"/>
    </row>
    <row r="59" spans="25:26" x14ac:dyDescent="0.25">
      <c r="Z59" s="152"/>
    </row>
    <row r="60" spans="25:26" x14ac:dyDescent="0.25">
      <c r="Y60" s="152"/>
    </row>
  </sheetData>
  <pageMargins left="0.7" right="0.7" top="0.75" bottom="0.75" header="0.3" footer="0.3"/>
  <pageSetup scale="8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D76" sqref="D76"/>
    </sheetView>
  </sheetViews>
  <sheetFormatPr defaultColWidth="8.85546875" defaultRowHeight="15" x14ac:dyDescent="0.25"/>
  <cols>
    <col min="1" max="16384" width="8.85546875" style="198"/>
  </cols>
  <sheetData>
    <row r="1" spans="1:12" x14ac:dyDescent="0.25">
      <c r="A1" s="198">
        <v>25002</v>
      </c>
      <c r="B1" s="198">
        <v>1</v>
      </c>
      <c r="C1" s="198">
        <v>2</v>
      </c>
      <c r="D1" s="198">
        <v>3</v>
      </c>
      <c r="E1" s="198">
        <v>4</v>
      </c>
      <c r="F1" s="198">
        <v>5</v>
      </c>
      <c r="G1" s="198">
        <v>6</v>
      </c>
      <c r="H1" s="198">
        <v>7</v>
      </c>
      <c r="I1" s="198">
        <v>8</v>
      </c>
      <c r="J1" s="198">
        <v>9</v>
      </c>
      <c r="K1" s="198">
        <v>10</v>
      </c>
      <c r="L1" s="198">
        <v>11</v>
      </c>
    </row>
    <row r="2" spans="1:12" x14ac:dyDescent="0.25">
      <c r="A2" s="198">
        <v>1948</v>
      </c>
      <c r="B2" s="198">
        <v>158.69999999999999</v>
      </c>
      <c r="C2" s="198">
        <v>85.6</v>
      </c>
      <c r="D2" s="198">
        <v>50.6</v>
      </c>
      <c r="E2" s="198">
        <v>50.8</v>
      </c>
      <c r="F2" s="198">
        <v>81.099999999999994</v>
      </c>
      <c r="G2" s="198">
        <v>98.1</v>
      </c>
      <c r="H2" s="198">
        <v>85.9</v>
      </c>
      <c r="I2" s="198">
        <v>60.7</v>
      </c>
      <c r="J2" s="198">
        <v>31.3</v>
      </c>
      <c r="K2" s="198">
        <v>45.7</v>
      </c>
      <c r="L2" s="198">
        <v>94.6</v>
      </c>
    </row>
    <row r="3" spans="1:12" x14ac:dyDescent="0.25">
      <c r="A3" s="198">
        <v>1949</v>
      </c>
      <c r="B3" s="198">
        <v>350.9</v>
      </c>
      <c r="C3" s="198">
        <v>149.69999999999999</v>
      </c>
      <c r="D3" s="198">
        <v>121.9</v>
      </c>
      <c r="E3" s="198">
        <v>142.1</v>
      </c>
      <c r="F3" s="198">
        <v>171.8</v>
      </c>
      <c r="G3" s="198">
        <v>111.3</v>
      </c>
      <c r="H3" s="198">
        <v>58</v>
      </c>
      <c r="I3" s="198">
        <v>38.700000000000003</v>
      </c>
      <c r="J3" s="198">
        <v>56.5</v>
      </c>
      <c r="K3" s="198">
        <v>75.900000000000006</v>
      </c>
      <c r="L3" s="198">
        <v>27.2</v>
      </c>
    </row>
    <row r="4" spans="1:12" x14ac:dyDescent="0.25">
      <c r="A4" s="198">
        <v>1950</v>
      </c>
      <c r="B4" s="198">
        <v>72.2</v>
      </c>
      <c r="C4" s="198">
        <v>31.2</v>
      </c>
      <c r="D4" s="198">
        <v>50.1</v>
      </c>
      <c r="E4" s="198">
        <v>92.8</v>
      </c>
      <c r="F4" s="198">
        <v>80.8</v>
      </c>
      <c r="G4" s="198">
        <v>95.4</v>
      </c>
      <c r="H4" s="198">
        <v>84.8</v>
      </c>
      <c r="I4" s="198">
        <v>90.6</v>
      </c>
      <c r="J4" s="198">
        <v>122.8</v>
      </c>
      <c r="K4" s="198">
        <v>60.6</v>
      </c>
      <c r="L4" s="198">
        <v>83.8</v>
      </c>
    </row>
    <row r="5" spans="1:12" x14ac:dyDescent="0.25">
      <c r="A5" s="198">
        <v>1951</v>
      </c>
      <c r="B5" s="198">
        <v>126.8</v>
      </c>
      <c r="C5" s="198">
        <v>30.8</v>
      </c>
      <c r="D5" s="198">
        <v>81</v>
      </c>
      <c r="E5" s="198">
        <v>115.8</v>
      </c>
      <c r="F5" s="198">
        <v>96.5</v>
      </c>
      <c r="G5" s="198">
        <v>79</v>
      </c>
      <c r="H5" s="198">
        <v>100.4</v>
      </c>
      <c r="I5" s="198">
        <v>125.9</v>
      </c>
      <c r="J5" s="198">
        <v>172.2</v>
      </c>
      <c r="K5" s="198">
        <v>195.9</v>
      </c>
      <c r="L5" s="198">
        <v>121.9</v>
      </c>
    </row>
    <row r="6" spans="1:12" x14ac:dyDescent="0.25">
      <c r="A6" s="198">
        <v>1952</v>
      </c>
      <c r="B6" s="198">
        <v>48.8</v>
      </c>
      <c r="C6" s="198">
        <v>139.69999999999999</v>
      </c>
      <c r="D6" s="198">
        <v>111.2</v>
      </c>
      <c r="E6" s="198">
        <v>107.3</v>
      </c>
      <c r="F6" s="198">
        <v>102.4</v>
      </c>
      <c r="G6" s="198">
        <v>57.5</v>
      </c>
      <c r="H6" s="198">
        <v>70.099999999999994</v>
      </c>
      <c r="I6" s="198">
        <v>74.7</v>
      </c>
      <c r="J6" s="198">
        <v>17.600000000000001</v>
      </c>
      <c r="K6" s="198">
        <v>65.099999999999994</v>
      </c>
      <c r="L6" s="198">
        <v>105.6</v>
      </c>
    </row>
    <row r="7" spans="1:12" x14ac:dyDescent="0.25">
      <c r="A7" s="198">
        <v>1953</v>
      </c>
      <c r="B7" s="198">
        <v>146.69999999999999</v>
      </c>
      <c r="C7" s="198">
        <v>126.4</v>
      </c>
      <c r="D7" s="198">
        <v>103.2</v>
      </c>
      <c r="E7" s="198">
        <v>88.7</v>
      </c>
      <c r="F7" s="198">
        <v>113.5</v>
      </c>
      <c r="G7" s="198">
        <v>140.30000000000001</v>
      </c>
      <c r="H7" s="198">
        <v>115.8</v>
      </c>
      <c r="I7" s="198">
        <v>62.8</v>
      </c>
      <c r="J7" s="198">
        <v>11.2</v>
      </c>
      <c r="K7" s="198">
        <v>52.9</v>
      </c>
      <c r="L7" s="198">
        <v>104.1</v>
      </c>
    </row>
    <row r="8" spans="1:12" x14ac:dyDescent="0.25">
      <c r="A8" s="198">
        <v>1954</v>
      </c>
      <c r="B8" s="198">
        <v>50.3</v>
      </c>
      <c r="C8" s="198">
        <v>72.400000000000006</v>
      </c>
      <c r="D8" s="198">
        <v>49.8</v>
      </c>
      <c r="E8" s="198">
        <v>48.6</v>
      </c>
      <c r="F8" s="198">
        <v>49.6</v>
      </c>
      <c r="G8" s="198">
        <v>31.7</v>
      </c>
      <c r="H8" s="198">
        <v>72.2</v>
      </c>
      <c r="I8" s="198">
        <v>82.5</v>
      </c>
      <c r="J8" s="198">
        <v>26.3</v>
      </c>
      <c r="K8" s="198">
        <v>56.5</v>
      </c>
      <c r="L8" s="198">
        <v>111</v>
      </c>
    </row>
    <row r="9" spans="1:12" x14ac:dyDescent="0.25">
      <c r="A9" s="198">
        <v>1955</v>
      </c>
      <c r="B9" s="198">
        <v>188.7</v>
      </c>
      <c r="C9" s="198">
        <v>127</v>
      </c>
      <c r="D9" s="198">
        <v>63.5</v>
      </c>
      <c r="E9" s="198">
        <v>76.900000000000006</v>
      </c>
      <c r="F9" s="198">
        <v>113</v>
      </c>
      <c r="G9" s="198">
        <v>104.2</v>
      </c>
      <c r="H9" s="198">
        <v>104.6</v>
      </c>
      <c r="I9" s="198">
        <v>155.19999999999999</v>
      </c>
      <c r="J9" s="198">
        <v>107</v>
      </c>
      <c r="K9" s="198">
        <v>98.3</v>
      </c>
      <c r="L9" s="198">
        <v>156.5</v>
      </c>
    </row>
    <row r="10" spans="1:12" x14ac:dyDescent="0.25">
      <c r="A10" s="198">
        <v>1956</v>
      </c>
      <c r="B10" s="198">
        <v>202.5</v>
      </c>
      <c r="C10" s="198">
        <v>97.9</v>
      </c>
      <c r="D10" s="198">
        <v>66.900000000000006</v>
      </c>
      <c r="E10" s="198">
        <v>76.599999999999994</v>
      </c>
      <c r="F10" s="198">
        <v>71.2</v>
      </c>
      <c r="G10" s="198">
        <v>67</v>
      </c>
      <c r="H10" s="198">
        <v>75.599999999999994</v>
      </c>
      <c r="I10" s="198">
        <v>50.1</v>
      </c>
      <c r="J10" s="198">
        <v>2.4</v>
      </c>
      <c r="K10" s="198">
        <v>86.8</v>
      </c>
      <c r="L10" s="198">
        <v>191.5</v>
      </c>
    </row>
    <row r="11" spans="1:12" x14ac:dyDescent="0.25">
      <c r="A11" s="198">
        <v>1957</v>
      </c>
      <c r="B11" s="198">
        <v>51.9</v>
      </c>
      <c r="C11" s="198">
        <v>29.8</v>
      </c>
      <c r="D11" s="198">
        <v>109.1</v>
      </c>
      <c r="E11" s="198">
        <v>198.4</v>
      </c>
      <c r="F11" s="198">
        <v>166.6</v>
      </c>
      <c r="G11" s="198">
        <v>130.80000000000001</v>
      </c>
      <c r="H11" s="198">
        <v>141.6</v>
      </c>
      <c r="I11" s="198">
        <v>92.7</v>
      </c>
      <c r="J11" s="198">
        <v>113.1</v>
      </c>
      <c r="K11" s="198">
        <v>166.9</v>
      </c>
      <c r="L11" s="198">
        <v>59.9</v>
      </c>
    </row>
    <row r="12" spans="1:12" x14ac:dyDescent="0.25">
      <c r="A12" s="198">
        <v>1958</v>
      </c>
      <c r="B12" s="198">
        <v>48.8</v>
      </c>
      <c r="C12" s="198">
        <v>193.5</v>
      </c>
      <c r="D12" s="198">
        <v>150</v>
      </c>
      <c r="E12" s="198">
        <v>113</v>
      </c>
      <c r="F12" s="198">
        <v>113.7</v>
      </c>
      <c r="G12" s="198">
        <v>127.1</v>
      </c>
      <c r="H12" s="198">
        <v>102.9</v>
      </c>
      <c r="I12" s="198">
        <v>55.2</v>
      </c>
      <c r="J12" s="198">
        <v>54.2</v>
      </c>
      <c r="K12" s="198">
        <v>54.9</v>
      </c>
      <c r="L12" s="198">
        <v>172.6</v>
      </c>
    </row>
    <row r="13" spans="1:12" x14ac:dyDescent="0.25">
      <c r="A13" s="198">
        <v>1959</v>
      </c>
      <c r="B13" s="198">
        <v>126.7</v>
      </c>
      <c r="C13" s="198">
        <v>206.4</v>
      </c>
      <c r="D13" s="198">
        <v>167.2</v>
      </c>
      <c r="E13" s="198">
        <v>120.3</v>
      </c>
      <c r="F13" s="198">
        <v>83.5</v>
      </c>
      <c r="G13" s="198">
        <v>61.6</v>
      </c>
      <c r="H13" s="198">
        <v>56.9</v>
      </c>
      <c r="I13" s="198">
        <v>67.099999999999994</v>
      </c>
      <c r="J13" s="198">
        <v>190.1</v>
      </c>
      <c r="K13" s="198">
        <v>180.6</v>
      </c>
      <c r="L13" s="198">
        <v>1.5</v>
      </c>
    </row>
    <row r="14" spans="1:12" x14ac:dyDescent="0.25">
      <c r="A14" s="198">
        <v>1960</v>
      </c>
      <c r="B14" s="198">
        <v>83.4</v>
      </c>
      <c r="C14" s="198">
        <v>62.3</v>
      </c>
      <c r="D14" s="198">
        <v>52.5</v>
      </c>
      <c r="E14" s="198">
        <v>73.5</v>
      </c>
      <c r="F14" s="198">
        <v>70.8</v>
      </c>
      <c r="G14" s="198">
        <v>48.5</v>
      </c>
      <c r="H14" s="198">
        <v>36.299999999999997</v>
      </c>
      <c r="I14" s="198">
        <v>30.8</v>
      </c>
      <c r="J14" s="198">
        <v>77.7</v>
      </c>
      <c r="K14" s="198">
        <v>119</v>
      </c>
      <c r="L14" s="198">
        <v>56.8</v>
      </c>
    </row>
    <row r="15" spans="1:12" x14ac:dyDescent="0.25">
      <c r="A15" s="198">
        <v>1961</v>
      </c>
      <c r="B15" s="198">
        <v>35.299999999999997</v>
      </c>
      <c r="C15" s="198">
        <v>208.7</v>
      </c>
      <c r="D15" s="198">
        <v>123.1</v>
      </c>
      <c r="E15" s="198">
        <v>110.6</v>
      </c>
      <c r="F15" s="198">
        <v>133.6</v>
      </c>
      <c r="G15" s="198">
        <v>98.2</v>
      </c>
      <c r="H15" s="198">
        <v>78.7</v>
      </c>
      <c r="I15" s="198">
        <v>128.6</v>
      </c>
      <c r="J15" s="198">
        <v>138.69999999999999</v>
      </c>
      <c r="K15" s="198">
        <v>49.2</v>
      </c>
      <c r="L15" s="198">
        <v>48.8</v>
      </c>
    </row>
    <row r="16" spans="1:12" x14ac:dyDescent="0.25">
      <c r="A16" s="198">
        <v>1962</v>
      </c>
      <c r="B16" s="198">
        <v>198.8</v>
      </c>
      <c r="C16" s="198">
        <v>65.400000000000006</v>
      </c>
      <c r="D16" s="198">
        <v>25</v>
      </c>
      <c r="E16" s="198">
        <v>77.7</v>
      </c>
      <c r="F16" s="198">
        <v>134.19999999999999</v>
      </c>
      <c r="G16" s="198">
        <v>162.80000000000001</v>
      </c>
      <c r="H16" s="198">
        <v>120.4</v>
      </c>
      <c r="I16" s="198">
        <v>51.1</v>
      </c>
      <c r="J16" s="198">
        <v>41.9</v>
      </c>
      <c r="K16" s="198">
        <v>59.6</v>
      </c>
      <c r="L16" s="198">
        <v>58.2</v>
      </c>
    </row>
    <row r="17" spans="1:12" x14ac:dyDescent="0.25">
      <c r="A17" s="198">
        <v>1963</v>
      </c>
      <c r="B17" s="198">
        <v>32.6</v>
      </c>
      <c r="C17" s="198">
        <v>49.2</v>
      </c>
      <c r="D17" s="198">
        <v>43.6</v>
      </c>
      <c r="E17" s="198">
        <v>31.2</v>
      </c>
      <c r="F17" s="198">
        <v>64</v>
      </c>
      <c r="G17" s="198">
        <v>74.5</v>
      </c>
      <c r="H17" s="198">
        <v>100.3</v>
      </c>
      <c r="I17" s="198">
        <v>175</v>
      </c>
      <c r="J17" s="198">
        <v>150.4</v>
      </c>
      <c r="K17" s="198">
        <v>62.4</v>
      </c>
      <c r="L17" s="198">
        <v>41.9</v>
      </c>
    </row>
    <row r="18" spans="1:12" x14ac:dyDescent="0.25">
      <c r="A18" s="198">
        <v>1964</v>
      </c>
      <c r="B18" s="198">
        <v>15.3</v>
      </c>
      <c r="C18" s="198">
        <v>37.4</v>
      </c>
      <c r="D18" s="198">
        <v>75</v>
      </c>
      <c r="E18" s="198">
        <v>69.099999999999994</v>
      </c>
      <c r="F18" s="198">
        <v>48.3</v>
      </c>
      <c r="G18" s="198">
        <v>31.4</v>
      </c>
      <c r="H18" s="198">
        <v>21.7</v>
      </c>
      <c r="I18" s="198">
        <v>31.4</v>
      </c>
      <c r="J18" s="198">
        <v>32.200000000000003</v>
      </c>
      <c r="K18" s="198">
        <v>10.6</v>
      </c>
      <c r="L18" s="198">
        <v>9.9</v>
      </c>
    </row>
    <row r="19" spans="1:12" x14ac:dyDescent="0.25">
      <c r="A19" s="198">
        <v>1965</v>
      </c>
      <c r="B19" s="198">
        <v>85.3</v>
      </c>
      <c r="C19" s="198">
        <v>46.9</v>
      </c>
      <c r="D19" s="198">
        <v>50.4</v>
      </c>
      <c r="E19" s="198">
        <v>108.3</v>
      </c>
      <c r="F19" s="198">
        <v>187.1</v>
      </c>
      <c r="G19" s="198">
        <v>174.1</v>
      </c>
      <c r="H19" s="198">
        <v>90.2</v>
      </c>
      <c r="I19" s="198">
        <v>97.1</v>
      </c>
      <c r="J19" s="198">
        <v>101.5</v>
      </c>
      <c r="K19" s="198">
        <v>37.4</v>
      </c>
      <c r="L19" s="198">
        <v>19.8</v>
      </c>
    </row>
    <row r="20" spans="1:12" x14ac:dyDescent="0.25">
      <c r="A20" s="198">
        <v>1966</v>
      </c>
      <c r="B20" s="198">
        <v>21.6</v>
      </c>
      <c r="C20" s="198">
        <v>9</v>
      </c>
      <c r="D20" s="198">
        <v>32.4</v>
      </c>
      <c r="E20" s="198">
        <v>19.600000000000001</v>
      </c>
      <c r="F20" s="198">
        <v>67</v>
      </c>
      <c r="G20" s="198">
        <v>105.3</v>
      </c>
      <c r="H20" s="198">
        <v>86.7</v>
      </c>
      <c r="I20" s="198">
        <v>119.8</v>
      </c>
      <c r="J20" s="198">
        <v>111</v>
      </c>
      <c r="K20" s="198">
        <v>60.1</v>
      </c>
      <c r="L20" s="198">
        <v>39</v>
      </c>
    </row>
    <row r="21" spans="1:12" x14ac:dyDescent="0.25">
      <c r="A21" s="198">
        <v>1967</v>
      </c>
      <c r="B21" s="198">
        <v>69.5</v>
      </c>
      <c r="C21" s="198">
        <v>43.2</v>
      </c>
      <c r="D21" s="198">
        <v>101</v>
      </c>
      <c r="E21" s="198">
        <v>125</v>
      </c>
      <c r="F21" s="198">
        <v>145.1</v>
      </c>
      <c r="G21" s="198">
        <v>169.7</v>
      </c>
      <c r="H21" s="198">
        <v>122.5</v>
      </c>
      <c r="I21" s="198">
        <v>69.5</v>
      </c>
      <c r="J21" s="198">
        <v>57.9</v>
      </c>
      <c r="K21" s="198">
        <v>68.099999999999994</v>
      </c>
      <c r="L21" s="198">
        <v>89.5</v>
      </c>
    </row>
    <row r="22" spans="1:12" x14ac:dyDescent="0.25">
      <c r="A22" s="198">
        <v>1968</v>
      </c>
      <c r="B22" s="198">
        <v>71.3</v>
      </c>
      <c r="C22" s="198">
        <v>69.400000000000006</v>
      </c>
      <c r="D22" s="198">
        <v>59.8</v>
      </c>
      <c r="E22" s="198">
        <v>102</v>
      </c>
      <c r="F22" s="198">
        <v>91.5</v>
      </c>
      <c r="G22" s="198">
        <v>85</v>
      </c>
      <c r="H22" s="198">
        <v>122</v>
      </c>
      <c r="I22" s="198">
        <v>85.6</v>
      </c>
      <c r="J22" s="198">
        <v>27.9</v>
      </c>
      <c r="K22" s="198">
        <v>63.4</v>
      </c>
      <c r="L22" s="198">
        <v>63.8</v>
      </c>
    </row>
    <row r="23" spans="1:12" x14ac:dyDescent="0.25">
      <c r="A23" s="198">
        <v>1969</v>
      </c>
      <c r="B23" s="198">
        <v>31.4</v>
      </c>
      <c r="C23" s="198">
        <v>33.5</v>
      </c>
      <c r="D23" s="198">
        <v>89.3</v>
      </c>
      <c r="E23" s="198">
        <v>107.6</v>
      </c>
      <c r="F23" s="198">
        <v>108.9</v>
      </c>
      <c r="G23" s="198">
        <v>102.9</v>
      </c>
      <c r="H23" s="198">
        <v>72.5</v>
      </c>
      <c r="I23" s="198">
        <v>64.2</v>
      </c>
      <c r="J23" s="198">
        <v>154.6</v>
      </c>
      <c r="K23" s="198">
        <v>185</v>
      </c>
      <c r="L23" s="198">
        <v>21.6</v>
      </c>
    </row>
    <row r="24" spans="1:12" x14ac:dyDescent="0.25">
      <c r="A24" s="198">
        <v>1970</v>
      </c>
      <c r="B24" s="198">
        <v>13.6</v>
      </c>
      <c r="C24" s="198">
        <v>115.1</v>
      </c>
      <c r="D24" s="198">
        <v>122.7</v>
      </c>
      <c r="E24" s="198">
        <v>74.3</v>
      </c>
      <c r="F24" s="198">
        <v>81.400000000000006</v>
      </c>
      <c r="G24" s="198">
        <v>99.9</v>
      </c>
      <c r="H24" s="198">
        <v>59.8</v>
      </c>
      <c r="I24" s="198">
        <v>62.2</v>
      </c>
      <c r="J24" s="198">
        <v>122.1</v>
      </c>
      <c r="K24" s="198">
        <v>87.7</v>
      </c>
      <c r="L24" s="198">
        <v>56.3</v>
      </c>
    </row>
    <row r="25" spans="1:12" x14ac:dyDescent="0.25">
      <c r="A25" s="198">
        <v>1971</v>
      </c>
      <c r="B25" s="198">
        <v>129.5</v>
      </c>
      <c r="C25" s="198">
        <v>114.4</v>
      </c>
      <c r="D25" s="198">
        <v>191.7</v>
      </c>
      <c r="E25" s="198">
        <v>152.80000000000001</v>
      </c>
      <c r="F25" s="198">
        <v>65.900000000000006</v>
      </c>
      <c r="G25" s="198">
        <v>27.5</v>
      </c>
      <c r="H25" s="198">
        <v>31.8</v>
      </c>
      <c r="I25" s="198">
        <v>105.1</v>
      </c>
      <c r="J25" s="198">
        <v>145.80000000000001</v>
      </c>
      <c r="K25" s="198">
        <v>45.8</v>
      </c>
      <c r="L25" s="198">
        <v>7</v>
      </c>
    </row>
    <row r="26" spans="1:12" x14ac:dyDescent="0.25">
      <c r="A26" s="198">
        <v>1972</v>
      </c>
      <c r="B26" s="198">
        <v>56.9</v>
      </c>
      <c r="C26" s="198">
        <v>40.200000000000003</v>
      </c>
      <c r="D26" s="198">
        <v>57.2</v>
      </c>
      <c r="E26" s="198">
        <v>53</v>
      </c>
      <c r="F26" s="198">
        <v>98.2</v>
      </c>
      <c r="G26" s="198">
        <v>108.8</v>
      </c>
      <c r="H26" s="198">
        <v>96</v>
      </c>
      <c r="I26" s="198">
        <v>127.1</v>
      </c>
      <c r="J26" s="198">
        <v>89.2</v>
      </c>
      <c r="K26" s="198">
        <v>98.5</v>
      </c>
      <c r="L26" s="198">
        <v>152</v>
      </c>
    </row>
    <row r="27" spans="1:12" x14ac:dyDescent="0.25">
      <c r="A27" s="198">
        <v>1973</v>
      </c>
      <c r="B27" s="198">
        <v>57.7</v>
      </c>
      <c r="C27" s="198">
        <v>121.3</v>
      </c>
      <c r="D27" s="198">
        <v>150.5</v>
      </c>
      <c r="E27" s="198">
        <v>69.5</v>
      </c>
      <c r="F27" s="198">
        <v>41.1</v>
      </c>
      <c r="G27" s="198">
        <v>110.2</v>
      </c>
      <c r="H27" s="198">
        <v>116.9</v>
      </c>
      <c r="I27" s="198">
        <v>130.1</v>
      </c>
      <c r="J27" s="198">
        <v>149.80000000000001</v>
      </c>
      <c r="K27" s="198">
        <v>100.4</v>
      </c>
      <c r="L27" s="198">
        <v>220.4</v>
      </c>
    </row>
    <row r="28" spans="1:12" x14ac:dyDescent="0.25">
      <c r="A28" s="198">
        <v>1974</v>
      </c>
      <c r="B28" s="198">
        <v>87.2</v>
      </c>
      <c r="C28" s="198">
        <v>105.6</v>
      </c>
      <c r="D28" s="198">
        <v>96.5</v>
      </c>
      <c r="E28" s="198">
        <v>27.3</v>
      </c>
      <c r="F28" s="198">
        <v>67.8</v>
      </c>
      <c r="G28" s="198">
        <v>112</v>
      </c>
      <c r="H28" s="198">
        <v>65.7</v>
      </c>
      <c r="I28" s="198">
        <v>37.6</v>
      </c>
      <c r="J28" s="198">
        <v>74.400000000000006</v>
      </c>
      <c r="K28" s="198">
        <v>102.1</v>
      </c>
      <c r="L28" s="198">
        <v>42.8</v>
      </c>
    </row>
    <row r="29" spans="1:12" x14ac:dyDescent="0.25">
      <c r="A29" s="198">
        <v>1975</v>
      </c>
      <c r="B29" s="198">
        <v>61.2</v>
      </c>
      <c r="C29" s="198">
        <v>86.8</v>
      </c>
      <c r="D29" s="198">
        <v>89.3</v>
      </c>
      <c r="E29" s="198">
        <v>109</v>
      </c>
      <c r="F29" s="198">
        <v>96.3</v>
      </c>
      <c r="G29" s="198">
        <v>74.900000000000006</v>
      </c>
      <c r="H29" s="198">
        <v>73.8</v>
      </c>
      <c r="I29" s="198">
        <v>50</v>
      </c>
      <c r="J29" s="198">
        <v>46.9</v>
      </c>
      <c r="K29" s="198">
        <v>60.3</v>
      </c>
      <c r="L29" s="198">
        <v>118.1</v>
      </c>
    </row>
    <row r="30" spans="1:12" x14ac:dyDescent="0.25">
      <c r="A30" s="198">
        <v>1976</v>
      </c>
      <c r="B30" s="198">
        <v>92.1</v>
      </c>
      <c r="C30" s="198">
        <v>57.4</v>
      </c>
      <c r="D30" s="198">
        <v>88.2</v>
      </c>
      <c r="E30" s="198">
        <v>80.2</v>
      </c>
      <c r="F30" s="198">
        <v>53.5</v>
      </c>
      <c r="G30" s="198">
        <v>70.900000000000006</v>
      </c>
      <c r="H30" s="198">
        <v>90.4</v>
      </c>
      <c r="I30" s="198">
        <v>83.9</v>
      </c>
      <c r="J30" s="198">
        <v>57.3</v>
      </c>
      <c r="K30" s="198">
        <v>19.2</v>
      </c>
      <c r="L30" s="198">
        <v>17.5</v>
      </c>
    </row>
    <row r="31" spans="1:12" x14ac:dyDescent="0.25">
      <c r="A31" s="198">
        <v>1977</v>
      </c>
      <c r="B31" s="198">
        <v>21.4</v>
      </c>
      <c r="C31" s="198">
        <v>43.9</v>
      </c>
      <c r="D31" s="198">
        <v>116.5</v>
      </c>
      <c r="E31" s="198">
        <v>166.7</v>
      </c>
      <c r="F31" s="198">
        <v>113.6</v>
      </c>
      <c r="G31" s="198">
        <v>95.4</v>
      </c>
      <c r="H31" s="198">
        <v>105</v>
      </c>
      <c r="I31" s="198">
        <v>43</v>
      </c>
      <c r="J31" s="198">
        <v>19.100000000000001</v>
      </c>
      <c r="K31" s="198">
        <v>14.1</v>
      </c>
      <c r="L31" s="198">
        <v>38.9</v>
      </c>
    </row>
    <row r="32" spans="1:12" x14ac:dyDescent="0.25">
      <c r="A32" s="198">
        <v>1978</v>
      </c>
      <c r="B32" s="198">
        <v>95.4</v>
      </c>
      <c r="C32" s="198">
        <v>54.6</v>
      </c>
      <c r="D32" s="198">
        <v>46.4</v>
      </c>
      <c r="E32" s="198">
        <v>110.5</v>
      </c>
      <c r="F32" s="198">
        <v>106</v>
      </c>
      <c r="G32" s="198">
        <v>58</v>
      </c>
      <c r="H32" s="198">
        <v>69.099999999999994</v>
      </c>
      <c r="I32" s="198">
        <v>54.7</v>
      </c>
      <c r="J32" s="198">
        <v>35.5</v>
      </c>
      <c r="K32" s="198">
        <v>76.599999999999994</v>
      </c>
      <c r="L32" s="198">
        <v>161.19999999999999</v>
      </c>
    </row>
    <row r="33" spans="1:12" x14ac:dyDescent="0.25">
      <c r="A33" s="198">
        <v>1979</v>
      </c>
      <c r="B33" s="198">
        <v>27.2</v>
      </c>
      <c r="C33" s="198">
        <v>122.2</v>
      </c>
      <c r="D33" s="198">
        <v>87.5</v>
      </c>
      <c r="E33" s="198">
        <v>93.6</v>
      </c>
      <c r="F33" s="198">
        <v>117.6</v>
      </c>
      <c r="G33" s="198">
        <v>84.3</v>
      </c>
      <c r="H33" s="198">
        <v>114</v>
      </c>
      <c r="I33" s="198">
        <v>136.9</v>
      </c>
      <c r="J33" s="198">
        <v>66</v>
      </c>
      <c r="K33" s="198">
        <v>181.2</v>
      </c>
      <c r="L33" s="198">
        <v>308.8</v>
      </c>
    </row>
    <row r="34" spans="1:12" x14ac:dyDescent="0.25">
      <c r="A34" s="198">
        <v>1980</v>
      </c>
      <c r="B34" s="198">
        <v>380.7</v>
      </c>
      <c r="C34" s="198">
        <v>184.9</v>
      </c>
      <c r="D34" s="198">
        <v>127.8</v>
      </c>
      <c r="E34" s="198">
        <v>92.1</v>
      </c>
      <c r="F34" s="198">
        <v>51.9</v>
      </c>
      <c r="G34" s="198">
        <v>44.3</v>
      </c>
      <c r="H34" s="198">
        <v>68.2</v>
      </c>
      <c r="I34" s="198">
        <v>56.2</v>
      </c>
      <c r="J34" s="198">
        <v>64.5</v>
      </c>
      <c r="K34" s="198">
        <v>64</v>
      </c>
      <c r="L34" s="198">
        <v>37.4</v>
      </c>
    </row>
    <row r="35" spans="1:12" x14ac:dyDescent="0.25">
      <c r="A35" s="198">
        <v>1981</v>
      </c>
      <c r="B35" s="198">
        <v>47.5</v>
      </c>
      <c r="C35" s="198">
        <v>109</v>
      </c>
      <c r="D35" s="198">
        <v>105.1</v>
      </c>
      <c r="E35" s="198">
        <v>153.80000000000001</v>
      </c>
      <c r="F35" s="198">
        <v>144.1</v>
      </c>
      <c r="G35" s="198">
        <v>105.6</v>
      </c>
      <c r="H35" s="198">
        <v>121.9</v>
      </c>
      <c r="I35" s="198">
        <v>107.5</v>
      </c>
      <c r="J35" s="198">
        <v>92.3</v>
      </c>
      <c r="K35" s="198">
        <v>69.7</v>
      </c>
      <c r="L35" s="198">
        <v>51</v>
      </c>
    </row>
    <row r="36" spans="1:12" x14ac:dyDescent="0.25">
      <c r="A36" s="198">
        <v>1982</v>
      </c>
      <c r="B36" s="198">
        <v>50.2</v>
      </c>
      <c r="C36" s="198">
        <v>42.7</v>
      </c>
      <c r="D36" s="198">
        <v>34.5</v>
      </c>
      <c r="E36" s="198">
        <v>86.1</v>
      </c>
      <c r="F36" s="198">
        <v>131.80000000000001</v>
      </c>
      <c r="G36" s="198">
        <v>181.5</v>
      </c>
      <c r="H36" s="198">
        <v>158.1</v>
      </c>
      <c r="I36" s="198">
        <v>124.6</v>
      </c>
      <c r="J36" s="198">
        <v>154.69999999999999</v>
      </c>
      <c r="K36" s="198">
        <v>96</v>
      </c>
      <c r="L36" s="198">
        <v>76.3</v>
      </c>
    </row>
    <row r="37" spans="1:12" x14ac:dyDescent="0.25">
      <c r="A37" s="198">
        <v>1983</v>
      </c>
      <c r="B37" s="198">
        <v>10.7</v>
      </c>
      <c r="C37" s="198">
        <v>164.3</v>
      </c>
      <c r="D37" s="198">
        <v>226.4</v>
      </c>
      <c r="E37" s="198">
        <v>179.3</v>
      </c>
      <c r="F37" s="198">
        <v>139.30000000000001</v>
      </c>
      <c r="G37" s="198">
        <v>101.6</v>
      </c>
      <c r="H37" s="198">
        <v>90</v>
      </c>
      <c r="I37" s="198">
        <v>76.099999999999994</v>
      </c>
      <c r="J37" s="198">
        <v>46.7</v>
      </c>
      <c r="K37" s="198">
        <v>132.30000000000001</v>
      </c>
      <c r="L37" s="198">
        <v>177.8</v>
      </c>
    </row>
    <row r="38" spans="1:12" x14ac:dyDescent="0.25">
      <c r="A38" s="198">
        <v>1984</v>
      </c>
      <c r="B38" s="198">
        <v>109.4</v>
      </c>
      <c r="C38" s="198">
        <v>131.6</v>
      </c>
      <c r="D38" s="198">
        <v>182</v>
      </c>
      <c r="E38" s="198">
        <v>110.1</v>
      </c>
      <c r="F38" s="198">
        <v>77.8</v>
      </c>
      <c r="G38" s="198">
        <v>112.5</v>
      </c>
      <c r="H38" s="198">
        <v>113.6</v>
      </c>
      <c r="I38" s="198">
        <v>82.7</v>
      </c>
      <c r="J38" s="198">
        <v>136.6</v>
      </c>
      <c r="K38" s="198">
        <v>170.1</v>
      </c>
      <c r="L38" s="198">
        <v>35.6</v>
      </c>
    </row>
    <row r="39" spans="1:12" x14ac:dyDescent="0.25">
      <c r="A39" s="198">
        <v>1985</v>
      </c>
      <c r="B39" s="198">
        <v>87</v>
      </c>
      <c r="C39" s="198">
        <v>19</v>
      </c>
      <c r="D39" s="198">
        <v>76.5</v>
      </c>
      <c r="E39" s="198">
        <v>68.5</v>
      </c>
      <c r="F39" s="198">
        <v>51.4</v>
      </c>
      <c r="G39" s="198">
        <v>131.19999999999999</v>
      </c>
      <c r="H39" s="198">
        <v>136.4</v>
      </c>
      <c r="I39" s="198">
        <v>88.1</v>
      </c>
      <c r="J39" s="198">
        <v>133.80000000000001</v>
      </c>
      <c r="K39" s="198">
        <v>157.4</v>
      </c>
      <c r="L39" s="198">
        <v>215.4</v>
      </c>
    </row>
    <row r="40" spans="1:12" x14ac:dyDescent="0.25">
      <c r="A40" s="198">
        <v>1986</v>
      </c>
      <c r="B40" s="198">
        <v>60.9</v>
      </c>
      <c r="C40" s="198">
        <v>67.599999999999994</v>
      </c>
      <c r="D40" s="198">
        <v>100.3</v>
      </c>
      <c r="E40" s="198">
        <v>80.099999999999994</v>
      </c>
      <c r="F40" s="198">
        <v>82.5</v>
      </c>
      <c r="G40" s="198">
        <v>80.599999999999994</v>
      </c>
      <c r="H40" s="198">
        <v>53.1</v>
      </c>
      <c r="I40" s="198">
        <v>79</v>
      </c>
      <c r="J40" s="198">
        <v>133.19999999999999</v>
      </c>
      <c r="K40" s="198">
        <v>180.8</v>
      </c>
      <c r="L40" s="198">
        <v>123.2</v>
      </c>
    </row>
    <row r="41" spans="1:12" x14ac:dyDescent="0.25">
      <c r="A41" s="198">
        <v>1987</v>
      </c>
      <c r="B41" s="198">
        <v>163.19999999999999</v>
      </c>
      <c r="C41" s="198">
        <v>162.4</v>
      </c>
      <c r="D41" s="198">
        <v>63</v>
      </c>
      <c r="E41" s="198">
        <v>114.6</v>
      </c>
      <c r="F41" s="198">
        <v>128.69999999999999</v>
      </c>
      <c r="G41" s="198">
        <v>87.6</v>
      </c>
      <c r="H41" s="198">
        <v>115.5</v>
      </c>
      <c r="I41" s="198">
        <v>121.3</v>
      </c>
      <c r="J41" s="198">
        <v>65.7</v>
      </c>
      <c r="K41" s="198">
        <v>144.69999999999999</v>
      </c>
      <c r="L41" s="198">
        <v>221.3</v>
      </c>
    </row>
    <row r="42" spans="1:12" x14ac:dyDescent="0.25">
      <c r="A42" s="198">
        <v>1988</v>
      </c>
      <c r="B42" s="198">
        <v>133.6</v>
      </c>
      <c r="C42" s="198">
        <v>139</v>
      </c>
      <c r="D42" s="198">
        <v>119</v>
      </c>
      <c r="E42" s="198">
        <v>119.4</v>
      </c>
      <c r="F42" s="198">
        <v>122.2</v>
      </c>
      <c r="G42" s="198">
        <v>86.5</v>
      </c>
      <c r="H42" s="198">
        <v>50.3</v>
      </c>
      <c r="I42" s="198">
        <v>76.5</v>
      </c>
      <c r="J42" s="198">
        <v>74.400000000000006</v>
      </c>
      <c r="K42" s="198">
        <v>24.4</v>
      </c>
      <c r="L42" s="198">
        <v>79.5</v>
      </c>
    </row>
    <row r="43" spans="1:12" x14ac:dyDescent="0.25">
      <c r="A43" s="198">
        <v>1989</v>
      </c>
      <c r="B43" s="198">
        <v>151</v>
      </c>
      <c r="C43" s="198">
        <v>101.3</v>
      </c>
      <c r="D43" s="198">
        <v>50.9</v>
      </c>
      <c r="E43" s="198">
        <v>57.3</v>
      </c>
      <c r="F43" s="198">
        <v>84.1</v>
      </c>
      <c r="G43" s="198">
        <v>100.4</v>
      </c>
      <c r="H43" s="198">
        <v>93.5</v>
      </c>
      <c r="I43" s="198">
        <v>125.2</v>
      </c>
      <c r="J43" s="198">
        <v>111.3</v>
      </c>
      <c r="K43" s="198">
        <v>28.6</v>
      </c>
      <c r="L43" s="198">
        <v>56.6</v>
      </c>
    </row>
    <row r="44" spans="1:12" x14ac:dyDescent="0.25">
      <c r="A44" s="198">
        <v>1990</v>
      </c>
      <c r="B44" s="198">
        <v>127.4</v>
      </c>
      <c r="C44" s="198">
        <v>344.7</v>
      </c>
      <c r="D44" s="198">
        <v>225.4</v>
      </c>
      <c r="E44" s="198">
        <v>108.5</v>
      </c>
      <c r="F44" s="198">
        <v>79.400000000000006</v>
      </c>
      <c r="G44" s="198">
        <v>85.5</v>
      </c>
      <c r="H44" s="198">
        <v>117.6</v>
      </c>
      <c r="I44" s="198">
        <v>107.1</v>
      </c>
      <c r="J44" s="198">
        <v>111.3</v>
      </c>
      <c r="K44" s="198">
        <v>108.9</v>
      </c>
      <c r="L44" s="198">
        <v>95.8</v>
      </c>
    </row>
    <row r="45" spans="1:12" x14ac:dyDescent="0.25">
      <c r="A45" s="198">
        <v>1991</v>
      </c>
      <c r="B45" s="198">
        <v>39.200000000000003</v>
      </c>
      <c r="C45" s="198">
        <v>30</v>
      </c>
      <c r="D45" s="198">
        <v>64.8</v>
      </c>
      <c r="E45" s="198">
        <v>94.6</v>
      </c>
      <c r="F45" s="198">
        <v>121.2</v>
      </c>
      <c r="G45" s="198">
        <v>150.5</v>
      </c>
      <c r="H45" s="198">
        <v>131.1</v>
      </c>
      <c r="I45" s="198">
        <v>90.4</v>
      </c>
      <c r="J45" s="198">
        <v>78.8</v>
      </c>
      <c r="K45" s="198">
        <v>131.69999999999999</v>
      </c>
      <c r="L45" s="198">
        <v>139.30000000000001</v>
      </c>
    </row>
    <row r="46" spans="1:12" x14ac:dyDescent="0.25">
      <c r="A46" s="198">
        <v>1992</v>
      </c>
      <c r="B46" s="198">
        <v>82.6</v>
      </c>
      <c r="C46" s="198">
        <v>180</v>
      </c>
      <c r="D46" s="198">
        <v>116.6</v>
      </c>
      <c r="E46" s="198">
        <v>44.4</v>
      </c>
      <c r="F46" s="198">
        <v>88.3</v>
      </c>
      <c r="G46" s="198">
        <v>112.9</v>
      </c>
      <c r="H46" s="198">
        <v>120.3</v>
      </c>
      <c r="I46" s="198">
        <v>92.2</v>
      </c>
      <c r="J46" s="198">
        <v>27.2</v>
      </c>
      <c r="K46" s="198">
        <v>105.2</v>
      </c>
      <c r="L46" s="198">
        <v>154.80000000000001</v>
      </c>
    </row>
    <row r="47" spans="1:12" x14ac:dyDescent="0.25">
      <c r="A47" s="198">
        <v>1993</v>
      </c>
      <c r="B47" s="198">
        <v>135.1</v>
      </c>
      <c r="C47" s="198">
        <v>131.30000000000001</v>
      </c>
      <c r="D47" s="198">
        <v>143.4</v>
      </c>
      <c r="E47" s="198">
        <v>105.3</v>
      </c>
      <c r="F47" s="198">
        <v>89.3</v>
      </c>
      <c r="G47" s="198">
        <v>72.2</v>
      </c>
      <c r="H47" s="198">
        <v>73.400000000000006</v>
      </c>
      <c r="I47" s="198">
        <v>140.6</v>
      </c>
      <c r="J47" s="198">
        <v>203</v>
      </c>
      <c r="K47" s="198">
        <v>245</v>
      </c>
      <c r="L47" s="198">
        <v>141.30000000000001</v>
      </c>
    </row>
    <row r="48" spans="1:12" x14ac:dyDescent="0.25">
      <c r="A48" s="198">
        <v>1994</v>
      </c>
      <c r="B48" s="198">
        <v>126</v>
      </c>
      <c r="C48" s="198">
        <v>54.7</v>
      </c>
      <c r="D48" s="198">
        <v>85.1</v>
      </c>
      <c r="E48" s="198">
        <v>68.900000000000006</v>
      </c>
      <c r="F48" s="198">
        <v>46.8</v>
      </c>
      <c r="G48" s="198">
        <v>62.3</v>
      </c>
      <c r="H48" s="198">
        <v>95.9</v>
      </c>
      <c r="I48" s="198">
        <v>86.4</v>
      </c>
      <c r="J48" s="198">
        <v>105.2</v>
      </c>
      <c r="K48" s="198">
        <v>156.5</v>
      </c>
      <c r="L48" s="198">
        <v>73.400000000000006</v>
      </c>
    </row>
    <row r="49" spans="1:12" x14ac:dyDescent="0.25">
      <c r="A49" s="198">
        <v>1995</v>
      </c>
      <c r="B49" s="198">
        <v>88.9</v>
      </c>
      <c r="C49" s="198">
        <v>52.3</v>
      </c>
      <c r="D49" s="198">
        <v>68.900000000000006</v>
      </c>
      <c r="E49" s="198">
        <v>181.9</v>
      </c>
      <c r="F49" s="198">
        <v>222.7</v>
      </c>
      <c r="G49" s="198">
        <v>148.4</v>
      </c>
      <c r="H49" s="198">
        <v>60.9</v>
      </c>
      <c r="I49" s="198">
        <v>118.2</v>
      </c>
      <c r="J49" s="198">
        <v>146</v>
      </c>
      <c r="K49" s="198">
        <v>64.8</v>
      </c>
      <c r="L49" s="198">
        <v>78.599999999999994</v>
      </c>
    </row>
    <row r="50" spans="1:12" x14ac:dyDescent="0.25">
      <c r="A50" s="198">
        <v>1996</v>
      </c>
      <c r="B50" s="198">
        <v>78.5</v>
      </c>
      <c r="C50" s="198">
        <v>115.9</v>
      </c>
      <c r="D50" s="198">
        <v>95.9</v>
      </c>
      <c r="E50" s="198">
        <v>98.8</v>
      </c>
      <c r="F50" s="198">
        <v>102</v>
      </c>
      <c r="G50" s="198">
        <v>133</v>
      </c>
      <c r="H50" s="198">
        <v>148.4</v>
      </c>
      <c r="I50" s="198">
        <v>121.7</v>
      </c>
      <c r="J50" s="198">
        <v>108.9</v>
      </c>
      <c r="K50" s="198">
        <v>61.4</v>
      </c>
      <c r="L50" s="198">
        <v>57.7</v>
      </c>
    </row>
    <row r="51" spans="1:12" x14ac:dyDescent="0.25">
      <c r="A51" s="198">
        <v>1997</v>
      </c>
      <c r="B51" s="198">
        <v>108.7</v>
      </c>
      <c r="C51" s="198">
        <v>69.400000000000006</v>
      </c>
      <c r="D51" s="198">
        <v>76.5</v>
      </c>
      <c r="E51" s="198">
        <v>90.5</v>
      </c>
      <c r="F51" s="198">
        <v>118.4</v>
      </c>
      <c r="G51" s="198">
        <v>132.6</v>
      </c>
      <c r="H51" s="198">
        <v>183.7</v>
      </c>
      <c r="I51" s="198">
        <v>214</v>
      </c>
      <c r="J51" s="198">
        <v>136.5</v>
      </c>
      <c r="K51" s="198">
        <v>95.1</v>
      </c>
      <c r="L51" s="198">
        <v>57.4</v>
      </c>
    </row>
    <row r="52" spans="1:12" x14ac:dyDescent="0.25">
      <c r="A52" s="198">
        <v>1998</v>
      </c>
      <c r="B52" s="198">
        <v>62.8</v>
      </c>
      <c r="C52" s="198">
        <v>92.2</v>
      </c>
      <c r="D52" s="198">
        <v>76.7</v>
      </c>
      <c r="E52" s="198">
        <v>87</v>
      </c>
      <c r="F52" s="198">
        <v>85.1</v>
      </c>
      <c r="G52" s="198">
        <v>87.2</v>
      </c>
      <c r="H52" s="198">
        <v>90.5</v>
      </c>
      <c r="I52" s="198">
        <v>75.099999999999994</v>
      </c>
      <c r="J52" s="198">
        <v>118.3</v>
      </c>
      <c r="K52" s="198">
        <v>164</v>
      </c>
      <c r="L52" s="198">
        <v>130.19999999999999</v>
      </c>
    </row>
    <row r="53" spans="1:12" x14ac:dyDescent="0.25">
      <c r="A53" s="198">
        <v>1999</v>
      </c>
      <c r="B53" s="198">
        <v>66.2</v>
      </c>
      <c r="C53" s="198">
        <v>34.5</v>
      </c>
      <c r="D53" s="198">
        <v>230.3</v>
      </c>
      <c r="E53" s="198">
        <v>230.4</v>
      </c>
      <c r="F53" s="198">
        <v>117.5</v>
      </c>
      <c r="G53" s="198">
        <v>73.5</v>
      </c>
      <c r="H53" s="198">
        <v>114.9</v>
      </c>
      <c r="I53" s="198">
        <v>163.30000000000001</v>
      </c>
      <c r="J53" s="198">
        <v>117.7</v>
      </c>
      <c r="K53" s="198">
        <v>39.1</v>
      </c>
      <c r="L53" s="198">
        <v>33.5</v>
      </c>
    </row>
    <row r="54" spans="1:12" x14ac:dyDescent="0.25">
      <c r="A54" s="198">
        <v>2000</v>
      </c>
      <c r="B54" s="198">
        <v>65.8</v>
      </c>
      <c r="C54" s="198">
        <v>112.5</v>
      </c>
      <c r="D54" s="198">
        <v>95</v>
      </c>
      <c r="E54" s="198">
        <v>83.3</v>
      </c>
      <c r="F54" s="198">
        <v>58.2</v>
      </c>
      <c r="G54" s="198">
        <v>31.2</v>
      </c>
      <c r="H54" s="198">
        <v>42.9</v>
      </c>
      <c r="I54" s="198">
        <v>98.2</v>
      </c>
      <c r="J54" s="198">
        <v>110.9</v>
      </c>
      <c r="K54" s="198">
        <v>53.4</v>
      </c>
      <c r="L54" s="198">
        <v>96.5</v>
      </c>
    </row>
    <row r="55" spans="1:12" x14ac:dyDescent="0.25">
      <c r="A55" s="198">
        <v>2001</v>
      </c>
      <c r="B55" s="198">
        <v>99.5</v>
      </c>
      <c r="C55" s="198">
        <v>72.5</v>
      </c>
      <c r="D55" s="198">
        <v>121.5</v>
      </c>
      <c r="E55" s="198">
        <v>131.9</v>
      </c>
      <c r="F55" s="198">
        <v>83.3</v>
      </c>
      <c r="G55" s="198">
        <v>88.3</v>
      </c>
      <c r="H55" s="198">
        <v>95.3</v>
      </c>
      <c r="I55" s="198">
        <v>64.2</v>
      </c>
      <c r="J55" s="198">
        <v>78.400000000000006</v>
      </c>
      <c r="K55" s="198">
        <v>74.400000000000006</v>
      </c>
      <c r="L55" s="198">
        <v>58.1</v>
      </c>
    </row>
    <row r="56" spans="1:12" x14ac:dyDescent="0.25">
      <c r="A56" s="198">
        <v>2002</v>
      </c>
      <c r="B56" s="198">
        <v>47.4</v>
      </c>
      <c r="C56" s="198">
        <v>80.7</v>
      </c>
      <c r="D56" s="198">
        <v>57.8</v>
      </c>
      <c r="E56" s="198">
        <v>46.5</v>
      </c>
      <c r="F56" s="198">
        <v>44.9</v>
      </c>
      <c r="G56" s="198">
        <v>29.7</v>
      </c>
      <c r="H56" s="198">
        <v>52.1</v>
      </c>
      <c r="I56" s="198">
        <v>96.2</v>
      </c>
      <c r="J56" s="198">
        <v>96.4</v>
      </c>
      <c r="K56" s="198">
        <v>88.5</v>
      </c>
      <c r="L56" s="198">
        <v>53</v>
      </c>
    </row>
    <row r="57" spans="1:12" x14ac:dyDescent="0.25">
      <c r="A57" s="198">
        <v>2003</v>
      </c>
      <c r="B57" s="198">
        <v>56.2</v>
      </c>
      <c r="C57" s="198">
        <v>174.9</v>
      </c>
      <c r="D57" s="198">
        <v>163.9</v>
      </c>
      <c r="E57" s="198">
        <v>119.5</v>
      </c>
      <c r="F57" s="198">
        <v>116.6</v>
      </c>
      <c r="G57" s="198">
        <v>88.3</v>
      </c>
      <c r="H57" s="198">
        <v>58</v>
      </c>
      <c r="I57" s="198">
        <v>56.7</v>
      </c>
      <c r="J57" s="198">
        <v>28</v>
      </c>
      <c r="K57" s="198">
        <v>30.4</v>
      </c>
      <c r="L57" s="198">
        <v>72.900000000000006</v>
      </c>
    </row>
    <row r="58" spans="1:12" x14ac:dyDescent="0.25">
      <c r="A58" s="198">
        <v>2004</v>
      </c>
      <c r="B58" s="198">
        <v>64.2</v>
      </c>
      <c r="C58" s="198">
        <v>39</v>
      </c>
      <c r="D58" s="198">
        <v>59.5</v>
      </c>
      <c r="E58" s="198">
        <v>72.3</v>
      </c>
      <c r="F58" s="198">
        <v>80.599999999999994</v>
      </c>
      <c r="G58" s="198">
        <v>96.7</v>
      </c>
      <c r="H58" s="198">
        <v>109.3</v>
      </c>
      <c r="I58" s="198">
        <v>146.69999999999999</v>
      </c>
      <c r="J58" s="198">
        <v>194.4</v>
      </c>
      <c r="K58" s="198">
        <v>222</v>
      </c>
      <c r="L58" s="198">
        <v>146</v>
      </c>
    </row>
    <row r="59" spans="1:12" x14ac:dyDescent="0.25">
      <c r="A59" s="198">
        <v>2005</v>
      </c>
      <c r="B59" s="198">
        <v>110.7</v>
      </c>
      <c r="C59" s="198">
        <v>69.099999999999994</v>
      </c>
      <c r="D59" s="198">
        <v>97.6</v>
      </c>
      <c r="E59" s="198">
        <v>77.3</v>
      </c>
      <c r="F59" s="198">
        <v>164</v>
      </c>
      <c r="G59" s="198">
        <v>192.1</v>
      </c>
      <c r="H59" s="198">
        <v>95.5</v>
      </c>
      <c r="I59" s="198">
        <v>59.6</v>
      </c>
      <c r="J59" s="198">
        <v>105.6</v>
      </c>
      <c r="K59" s="198">
        <v>168.5</v>
      </c>
      <c r="L59" s="198">
        <v>45.6</v>
      </c>
    </row>
    <row r="60" spans="1:12" x14ac:dyDescent="0.25">
      <c r="A60" s="198">
        <v>2006</v>
      </c>
      <c r="B60" s="198">
        <v>38.299999999999997</v>
      </c>
      <c r="C60" s="198">
        <v>104.6</v>
      </c>
      <c r="D60" s="198">
        <v>67.7</v>
      </c>
      <c r="E60" s="198">
        <v>46.3</v>
      </c>
      <c r="F60" s="198">
        <v>42.6</v>
      </c>
      <c r="G60" s="198">
        <v>70.3</v>
      </c>
      <c r="H60" s="198">
        <v>114.8</v>
      </c>
      <c r="I60" s="198">
        <v>118.3</v>
      </c>
      <c r="J60" s="198">
        <v>96.4</v>
      </c>
      <c r="K60" s="198">
        <v>50.5</v>
      </c>
      <c r="L60" s="198">
        <v>137.6</v>
      </c>
    </row>
    <row r="61" spans="1:12" x14ac:dyDescent="0.25">
      <c r="A61" s="198">
        <v>2007</v>
      </c>
      <c r="B61" s="198">
        <v>104.5</v>
      </c>
      <c r="C61" s="198">
        <v>191.8</v>
      </c>
      <c r="D61" s="198">
        <v>156.9</v>
      </c>
      <c r="E61" s="198">
        <v>112.3</v>
      </c>
      <c r="F61" s="198">
        <v>84.6</v>
      </c>
      <c r="G61" s="198">
        <v>116.2</v>
      </c>
      <c r="H61" s="198">
        <v>191</v>
      </c>
      <c r="I61" s="198">
        <v>158.4</v>
      </c>
      <c r="J61" s="198">
        <v>113.6</v>
      </c>
      <c r="K61" s="198">
        <v>99.3</v>
      </c>
      <c r="L61" s="198">
        <v>139.19999999999999</v>
      </c>
    </row>
    <row r="62" spans="1:12" x14ac:dyDescent="0.25">
      <c r="A62" s="198">
        <v>2008</v>
      </c>
      <c r="B62" s="198">
        <v>90.5</v>
      </c>
      <c r="C62" s="198">
        <v>68.5</v>
      </c>
      <c r="D62" s="198">
        <v>66.900000000000006</v>
      </c>
      <c r="E62" s="198">
        <v>82.9</v>
      </c>
      <c r="F62" s="198">
        <v>84.4</v>
      </c>
      <c r="G62" s="198">
        <v>55.1</v>
      </c>
      <c r="H62" s="198">
        <v>160</v>
      </c>
      <c r="I62" s="198">
        <v>231.5</v>
      </c>
      <c r="J62" s="198">
        <v>93.4</v>
      </c>
      <c r="K62" s="198">
        <v>70.3</v>
      </c>
      <c r="L62" s="198">
        <v>98.2</v>
      </c>
    </row>
    <row r="63" spans="1:12" x14ac:dyDescent="0.25">
      <c r="A63" s="198">
        <v>2009</v>
      </c>
      <c r="B63" s="198">
        <v>122.9</v>
      </c>
      <c r="C63" s="198">
        <v>69</v>
      </c>
      <c r="D63" s="198">
        <v>153.30000000000001</v>
      </c>
      <c r="E63" s="198">
        <v>134.1</v>
      </c>
      <c r="F63" s="198">
        <v>189.7</v>
      </c>
      <c r="G63" s="198">
        <v>211.6</v>
      </c>
      <c r="H63" s="198">
        <v>142.1</v>
      </c>
      <c r="I63" s="198">
        <v>142</v>
      </c>
      <c r="J63" s="198">
        <v>156.6</v>
      </c>
      <c r="K63" s="198">
        <v>179.9</v>
      </c>
      <c r="L63" s="198">
        <v>170.7</v>
      </c>
    </row>
    <row r="64" spans="1:12" x14ac:dyDescent="0.25">
      <c r="A64" s="198">
        <v>2010</v>
      </c>
      <c r="B64" s="198">
        <v>130.19999999999999</v>
      </c>
      <c r="C64" s="198">
        <v>190.4</v>
      </c>
      <c r="D64" s="198">
        <v>209.6</v>
      </c>
      <c r="E64" s="198">
        <v>206.5</v>
      </c>
      <c r="F64" s="198">
        <v>161</v>
      </c>
      <c r="G64" s="198">
        <v>144.4</v>
      </c>
      <c r="H64" s="198">
        <v>184.8</v>
      </c>
      <c r="I64" s="198">
        <v>127.3</v>
      </c>
      <c r="J64" s="198">
        <v>52.8</v>
      </c>
      <c r="K64" s="198">
        <v>139</v>
      </c>
      <c r="L64" s="198">
        <v>212.9</v>
      </c>
    </row>
    <row r="65" spans="1:12" x14ac:dyDescent="0.25">
      <c r="A65" s="198">
        <v>2011</v>
      </c>
      <c r="B65" s="198">
        <v>164.5</v>
      </c>
      <c r="C65" s="198">
        <v>148.69999999999999</v>
      </c>
      <c r="D65" s="198">
        <v>120.8</v>
      </c>
      <c r="E65" s="198">
        <v>128.69999999999999</v>
      </c>
      <c r="F65" s="198">
        <v>103.1</v>
      </c>
      <c r="G65" s="198">
        <v>175.6</v>
      </c>
      <c r="H65" s="198">
        <v>207.1</v>
      </c>
      <c r="I65" s="198">
        <v>93</v>
      </c>
      <c r="J65" s="198">
        <v>131.6</v>
      </c>
      <c r="K65" s="198">
        <v>200.4</v>
      </c>
      <c r="L65" s="198">
        <v>197.4</v>
      </c>
    </row>
    <row r="66" spans="1:12" x14ac:dyDescent="0.25">
      <c r="A66" s="198">
        <v>2012</v>
      </c>
      <c r="B66" s="198">
        <v>177.1</v>
      </c>
      <c r="C66" s="198">
        <v>91.6</v>
      </c>
      <c r="D66" s="198">
        <v>39.700000000000003</v>
      </c>
      <c r="E66" s="198">
        <v>44.4</v>
      </c>
      <c r="F66" s="198">
        <v>65.099999999999994</v>
      </c>
      <c r="G66" s="198">
        <v>97.3</v>
      </c>
      <c r="H66" s="198">
        <v>69.7</v>
      </c>
      <c r="I66" s="198">
        <v>92.4</v>
      </c>
      <c r="J66" s="198">
        <v>152.4</v>
      </c>
      <c r="K66" s="198">
        <v>102.2</v>
      </c>
      <c r="L66" s="198">
        <v>97.3</v>
      </c>
    </row>
    <row r="67" spans="1:12" x14ac:dyDescent="0.25">
      <c r="A67" s="198">
        <v>2013</v>
      </c>
      <c r="B67" s="198">
        <v>167.3</v>
      </c>
      <c r="C67" s="198">
        <v>121.2</v>
      </c>
      <c r="D67" s="198">
        <v>123.4</v>
      </c>
      <c r="E67" s="198">
        <v>130.1</v>
      </c>
      <c r="F67" s="198">
        <v>80.599999999999994</v>
      </c>
      <c r="G67" s="198">
        <v>77.599999999999994</v>
      </c>
      <c r="H67" s="198">
        <v>141.6</v>
      </c>
      <c r="I67" s="198">
        <v>305.10000000000002</v>
      </c>
      <c r="J67" s="198">
        <v>387.9</v>
      </c>
      <c r="K67" s="198">
        <v>163.19999999999999</v>
      </c>
      <c r="L67" s="198">
        <v>81</v>
      </c>
    </row>
    <row r="68" spans="1:12" x14ac:dyDescent="0.25">
      <c r="A68" s="198">
        <v>2014</v>
      </c>
      <c r="B68" s="198">
        <v>291.89999999999998</v>
      </c>
      <c r="C68" s="198">
        <v>161.80000000000001</v>
      </c>
      <c r="D68" s="198">
        <v>74.2</v>
      </c>
      <c r="E68" s="198">
        <v>119.8</v>
      </c>
      <c r="F68" s="198">
        <v>120.9</v>
      </c>
      <c r="G68" s="198">
        <v>137.4</v>
      </c>
      <c r="H68" s="198">
        <v>156.19999999999999</v>
      </c>
      <c r="I68" s="198">
        <v>124.5</v>
      </c>
      <c r="J68" s="198">
        <v>131.4</v>
      </c>
      <c r="K68" s="198">
        <v>177.2</v>
      </c>
      <c r="L68" s="198">
        <v>254.8</v>
      </c>
    </row>
    <row r="69" spans="1:12" x14ac:dyDescent="0.25">
      <c r="A69" s="198">
        <v>2015</v>
      </c>
      <c r="B69" s="198">
        <v>122.9</v>
      </c>
      <c r="C69" s="198">
        <v>73.7</v>
      </c>
      <c r="D69" s="198">
        <v>125.3</v>
      </c>
      <c r="E69" s="198">
        <v>218.7</v>
      </c>
      <c r="F69" s="198">
        <v>188.4</v>
      </c>
      <c r="G69" s="198">
        <v>129.1</v>
      </c>
      <c r="H69" s="198">
        <v>91.5</v>
      </c>
      <c r="I69" s="198">
        <v>34.799999999999997</v>
      </c>
      <c r="J69" s="198">
        <v>96.9</v>
      </c>
      <c r="K69" s="198">
        <v>227.9</v>
      </c>
      <c r="L69" s="198">
        <v>223.3</v>
      </c>
    </row>
    <row r="70" spans="1:12" x14ac:dyDescent="0.25">
      <c r="A70" s="198">
        <v>2016</v>
      </c>
      <c r="B70" s="198">
        <v>166.4</v>
      </c>
      <c r="C70" s="198">
        <v>318.5</v>
      </c>
      <c r="D70" s="198">
        <v>261.60000000000002</v>
      </c>
      <c r="E70" s="198" t="s">
        <v>205</v>
      </c>
      <c r="F70" s="198" t="s">
        <v>205</v>
      </c>
      <c r="G70" s="198" t="s">
        <v>205</v>
      </c>
      <c r="H70" s="198" t="s">
        <v>205</v>
      </c>
      <c r="I70" s="198" t="s">
        <v>205</v>
      </c>
      <c r="J70" s="198" t="s">
        <v>205</v>
      </c>
      <c r="K70" s="198" t="s">
        <v>205</v>
      </c>
      <c r="L70" s="198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F32"/>
  <sheetViews>
    <sheetView tabSelected="1" workbookViewId="0">
      <selection activeCell="J37" sqref="J37"/>
    </sheetView>
  </sheetViews>
  <sheetFormatPr defaultRowHeight="12.75" x14ac:dyDescent="0.2"/>
  <cols>
    <col min="2" max="2" width="21.28515625" customWidth="1"/>
    <col min="3" max="4" width="22.42578125" customWidth="1"/>
    <col min="5" max="5" width="29.140625" customWidth="1"/>
    <col min="6" max="6" width="16.7109375" customWidth="1"/>
  </cols>
  <sheetData>
    <row r="11" spans="4:6" ht="12.75" customHeight="1" x14ac:dyDescent="0.2">
      <c r="E11" s="396">
        <v>0.5</v>
      </c>
      <c r="F11" s="383">
        <f ca="1">_xll.PTreeNodeProbability(treeCalc_1!$F$2,10)</f>
        <v>0.5</v>
      </c>
    </row>
    <row r="12" spans="4:6" ht="12.75" customHeight="1" x14ac:dyDescent="0.2">
      <c r="E12" s="388">
        <f ca="1">'Ranch Strategies'!$P$85</f>
        <v>57667.366500000004</v>
      </c>
      <c r="F12" s="382">
        <f ca="1">_xll.PTreeNodeValue(treeCalc_1!$F$2,10)</f>
        <v>57667.366500000004</v>
      </c>
    </row>
    <row r="13" spans="4:6" ht="12.75" customHeight="1" x14ac:dyDescent="0.2">
      <c r="D13" s="387" t="b">
        <f ca="1">_xll.PTreeNodeDecision(treeCalc_1!$F$2,4)</f>
        <v>1</v>
      </c>
      <c r="E13" s="394" t="s">
        <v>325</v>
      </c>
    </row>
    <row r="14" spans="4:6" ht="12.75" customHeight="1" x14ac:dyDescent="0.2">
      <c r="D14" s="384">
        <v>0</v>
      </c>
      <c r="E14" s="395">
        <f ca="1">_xll.PTreeNodeValue(treeCalc_1!$F$2,4)</f>
        <v>56903.917956092861</v>
      </c>
    </row>
    <row r="15" spans="4:6" ht="12.75" customHeight="1" x14ac:dyDescent="0.2">
      <c r="E15" s="396">
        <v>0.5</v>
      </c>
      <c r="F15" s="383">
        <f ca="1">_xll.PTreeNodeProbability(treeCalc_1!$F$2,11)</f>
        <v>0.5</v>
      </c>
    </row>
    <row r="16" spans="4:6" ht="12.75" customHeight="1" x14ac:dyDescent="0.2">
      <c r="E16" s="388">
        <f ca="1">'Ranch Strategies'!$Q$85</f>
        <v>56140.469412185717</v>
      </c>
      <c r="F16" s="382">
        <f ca="1">_xll.PTreeNodeValue(treeCalc_1!$F$2,11)</f>
        <v>56140.469412185717</v>
      </c>
    </row>
    <row r="17" spans="2:5" ht="12.75" customHeight="1" x14ac:dyDescent="0.2">
      <c r="C17" s="387" t="b">
        <f ca="1">_xll.PTreeNodeDecision(treeCalc_1!$F$2,2)</f>
        <v>1</v>
      </c>
      <c r="D17" s="385" t="s">
        <v>324</v>
      </c>
    </row>
    <row r="18" spans="2:5" ht="12.75" customHeight="1" x14ac:dyDescent="0.2">
      <c r="C18" s="391">
        <v>0</v>
      </c>
      <c r="D18" s="386">
        <f ca="1">_xll.PTreeNodeValue(treeCalc_1!$F$2,2)</f>
        <v>56903.917956092861</v>
      </c>
    </row>
    <row r="19" spans="2:5" ht="12.75" customHeight="1" x14ac:dyDescent="0.2">
      <c r="D19" s="387" t="b">
        <f ca="1">_xll.PTreeNodeDecision(treeCalc_1!$F$2,5)</f>
        <v>0</v>
      </c>
      <c r="E19" s="383">
        <f ca="1">_xll.PTreeNodeProbability(treeCalc_1!$F$2,5)</f>
        <v>0</v>
      </c>
    </row>
    <row r="20" spans="2:5" ht="12.75" customHeight="1" x14ac:dyDescent="0.2">
      <c r="D20" s="392">
        <f ca="1">-'Ranch Strategies'!$U$30</f>
        <v>-198000</v>
      </c>
      <c r="E20" s="382">
        <f ca="1">_xll.PTreeNodeValue(treeCalc_1!$F$2,5)</f>
        <v>-198000</v>
      </c>
    </row>
    <row r="21" spans="2:5" ht="12.75" customHeight="1" x14ac:dyDescent="0.2">
      <c r="D21" s="387" t="b">
        <f ca="1">_xll.PTreeNodeDecision(treeCalc_1!$F$2,6)</f>
        <v>0</v>
      </c>
      <c r="E21" s="383">
        <f ca="1">_xll.PTreeNodeProbability(treeCalc_1!$F$2,6)</f>
        <v>0</v>
      </c>
    </row>
    <row r="22" spans="2:5" ht="12.75" customHeight="1" x14ac:dyDescent="0.2">
      <c r="D22" s="392">
        <f ca="1">-'Ranch Strategies'!$U$52</f>
        <v>-113641.08</v>
      </c>
      <c r="E22" s="382">
        <f ca="1">_xll.PTreeNodeValue(treeCalc_1!$F$2,6)</f>
        <v>-113641.08</v>
      </c>
    </row>
    <row r="23" spans="2:5" ht="12.75" customHeight="1" x14ac:dyDescent="0.2">
      <c r="B23" s="384"/>
      <c r="C23" s="385" t="s">
        <v>324</v>
      </c>
    </row>
    <row r="24" spans="2:5" ht="12.75" customHeight="1" x14ac:dyDescent="0.2">
      <c r="B24" s="384"/>
      <c r="C24" s="386">
        <f ca="1">_xll.PTreeNodeValue(treeCalc_1!$F$2,1)</f>
        <v>56903.917956092861</v>
      </c>
    </row>
    <row r="25" spans="2:5" ht="12.75" customHeight="1" x14ac:dyDescent="0.2">
      <c r="D25" s="387" t="b">
        <f ca="1">_xll.PTreeNodeDecision(treeCalc_1!$F$2,7)</f>
        <v>1</v>
      </c>
      <c r="E25" s="383">
        <f ca="1">_xll.PTreeNodeProbability(treeCalc_1!$F$2,7)</f>
        <v>0</v>
      </c>
    </row>
    <row r="26" spans="2:5" ht="12.75" customHeight="1" x14ac:dyDescent="0.2">
      <c r="D26" s="384">
        <v>0</v>
      </c>
      <c r="E26" s="382">
        <f ca="1">_xll.PTreeNodeValue(treeCalc_1!$F$2,7)</f>
        <v>-6832.6335000000008</v>
      </c>
    </row>
    <row r="27" spans="2:5" ht="12.75" customHeight="1" x14ac:dyDescent="0.2">
      <c r="C27" s="387" t="b">
        <f ca="1">_xll.PTreeNodeDecision(treeCalc_1!$F$2,3)</f>
        <v>0</v>
      </c>
      <c r="D27" s="385" t="s">
        <v>324</v>
      </c>
    </row>
    <row r="28" spans="2:5" ht="12.75" customHeight="1" x14ac:dyDescent="0.2">
      <c r="C28" s="388">
        <f>-'Ranch Strategies'!$U$34</f>
        <v>-6832.6335000000008</v>
      </c>
      <c r="D28" s="386">
        <f ca="1">_xll.PTreeNodeValue(treeCalc_1!$F$2,3)</f>
        <v>-6832.6335000000008</v>
      </c>
    </row>
    <row r="29" spans="2:5" ht="12.75" customHeight="1" x14ac:dyDescent="0.2">
      <c r="D29" s="387" t="b">
        <f ca="1">_xll.PTreeNodeDecision(treeCalc_1!$F$2,8)</f>
        <v>0</v>
      </c>
      <c r="E29" s="383">
        <f ca="1">_xll.PTreeNodeProbability(treeCalc_1!$F$2,8)</f>
        <v>0</v>
      </c>
    </row>
    <row r="30" spans="2:5" ht="12.75" customHeight="1" x14ac:dyDescent="0.2">
      <c r="D30" s="388">
        <f ca="1">-'Ranch Strategies'!$U$30</f>
        <v>-198000</v>
      </c>
      <c r="E30" s="382">
        <f ca="1">_xll.PTreeNodeValue(treeCalc_1!$F$2,8)</f>
        <v>-204832.6335</v>
      </c>
    </row>
    <row r="31" spans="2:5" ht="12.75" customHeight="1" x14ac:dyDescent="0.2">
      <c r="D31" s="387" t="b">
        <f ca="1">_xll.PTreeNodeDecision(treeCalc_1!$F$2,9)</f>
        <v>0</v>
      </c>
      <c r="E31" s="383">
        <f ca="1">_xll.PTreeNodeProbability(treeCalc_1!$F$2,9)</f>
        <v>0</v>
      </c>
    </row>
    <row r="32" spans="2:5" ht="12.75" customHeight="1" x14ac:dyDescent="0.2">
      <c r="D32" s="388">
        <f ca="1">-'Ranch Strategies'!$U$52</f>
        <v>-113641.08</v>
      </c>
      <c r="E32" s="382">
        <f ca="1">_xll.PTreeNodeValue(treeCalc_1!$F$2,9)</f>
        <v>-120473.7135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E14"/>
  <sheetViews>
    <sheetView workbookViewId="0"/>
  </sheetViews>
  <sheetFormatPr defaultRowHeight="12.75" x14ac:dyDescent="0.2"/>
  <sheetData>
    <row r="12" spans="3:5" x14ac:dyDescent="0.2">
      <c r="C12" s="389"/>
      <c r="D12" s="120"/>
      <c r="E12" s="120"/>
    </row>
    <row r="14" spans="3:5" x14ac:dyDescent="0.2">
      <c r="C14" s="38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ColWidth="15.7109375" defaultRowHeight="12.75" x14ac:dyDescent="0.2"/>
  <cols>
    <col min="1" max="16384" width="15.7109375" style="380"/>
  </cols>
  <sheetData>
    <row r="1" spans="1:16" x14ac:dyDescent="0.2">
      <c r="A1" s="380" t="s">
        <v>281</v>
      </c>
      <c r="B1" s="379" t="s">
        <v>334</v>
      </c>
      <c r="E1" s="380" t="s">
        <v>289</v>
      </c>
      <c r="F1" s="380">
        <v>3</v>
      </c>
      <c r="H1" s="380" t="s">
        <v>296</v>
      </c>
      <c r="I1" s="379" t="s">
        <v>147</v>
      </c>
      <c r="K1" s="380" t="s">
        <v>301</v>
      </c>
      <c r="L1" s="380">
        <v>100</v>
      </c>
    </row>
    <row r="2" spans="1:16" x14ac:dyDescent="0.2">
      <c r="A2" s="380" t="s">
        <v>282</v>
      </c>
      <c r="B2" s="380" t="e">
        <f>Sheet3!#REF!</f>
        <v>#REF!</v>
      </c>
      <c r="E2" s="380" t="s">
        <v>291</v>
      </c>
      <c r="F2" s="380">
        <f ca="1">_xll.PTreeEvaluate5(B3,$L$11:$L$21,$J$11:$J$21,$K$11:$K$21,$N$11:$N$21,$G$11:$G$21,,L1)</f>
        <v>3499411</v>
      </c>
    </row>
    <row r="3" spans="1:16" x14ac:dyDescent="0.2">
      <c r="A3" s="380" t="s">
        <v>283</v>
      </c>
      <c r="B3" s="380" t="s">
        <v>323</v>
      </c>
      <c r="E3" s="380" t="s">
        <v>292</v>
      </c>
      <c r="F3" s="379" t="s">
        <v>318</v>
      </c>
      <c r="H3" s="380" t="s">
        <v>297</v>
      </c>
      <c r="I3" s="381" t="s">
        <v>320</v>
      </c>
    </row>
    <row r="4" spans="1:16" x14ac:dyDescent="0.2">
      <c r="A4" s="380" t="s">
        <v>284</v>
      </c>
      <c r="B4" s="380" t="s">
        <v>317</v>
      </c>
      <c r="E4" s="380" t="s">
        <v>293</v>
      </c>
      <c r="F4" s="379" t="s">
        <v>319</v>
      </c>
      <c r="H4" s="380" t="s">
        <v>298</v>
      </c>
      <c r="I4" s="379" t="s">
        <v>321</v>
      </c>
    </row>
    <row r="5" spans="1:16" x14ac:dyDescent="0.2">
      <c r="A5" s="380" t="s">
        <v>285</v>
      </c>
      <c r="B5" s="380">
        <v>0</v>
      </c>
      <c r="E5" s="380" t="s">
        <v>294</v>
      </c>
      <c r="F5" s="379" t="s">
        <v>319</v>
      </c>
      <c r="H5" s="380" t="s">
        <v>299</v>
      </c>
      <c r="I5" s="381" t="s">
        <v>320</v>
      </c>
    </row>
    <row r="6" spans="1:16" x14ac:dyDescent="0.2">
      <c r="A6" s="380" t="s">
        <v>286</v>
      </c>
      <c r="E6" s="380" t="s">
        <v>295</v>
      </c>
      <c r="F6" s="379" t="s">
        <v>318</v>
      </c>
      <c r="H6" s="380" t="s">
        <v>300</v>
      </c>
      <c r="I6" s="379" t="s">
        <v>321</v>
      </c>
    </row>
    <row r="7" spans="1:16" x14ac:dyDescent="0.2">
      <c r="A7" s="380" t="s">
        <v>287</v>
      </c>
      <c r="E7" s="380" t="s">
        <v>290</v>
      </c>
      <c r="F7" s="379" t="s">
        <v>333</v>
      </c>
    </row>
    <row r="8" spans="1:16" x14ac:dyDescent="0.2">
      <c r="A8" s="380" t="s">
        <v>288</v>
      </c>
      <c r="B8" s="380">
        <v>11</v>
      </c>
    </row>
    <row r="10" spans="1:16" x14ac:dyDescent="0.2">
      <c r="A10" s="380" t="s">
        <v>302</v>
      </c>
      <c r="B10" s="380" t="s">
        <v>303</v>
      </c>
      <c r="C10" s="380" t="s">
        <v>304</v>
      </c>
      <c r="D10" s="380" t="s">
        <v>305</v>
      </c>
      <c r="E10" s="380" t="s">
        <v>306</v>
      </c>
      <c r="F10" s="380" t="s">
        <v>307</v>
      </c>
      <c r="G10" s="380" t="s">
        <v>308</v>
      </c>
      <c r="H10" s="380" t="s">
        <v>309</v>
      </c>
      <c r="I10" s="380" t="s">
        <v>310</v>
      </c>
      <c r="J10" s="380" t="s">
        <v>311</v>
      </c>
      <c r="K10" s="380" t="s">
        <v>312</v>
      </c>
      <c r="L10" s="380" t="s">
        <v>283</v>
      </c>
      <c r="M10" s="380" t="s">
        <v>313</v>
      </c>
      <c r="N10" s="380" t="s">
        <v>314</v>
      </c>
      <c r="O10" s="380" t="s">
        <v>315</v>
      </c>
      <c r="P10" s="380" t="s">
        <v>316</v>
      </c>
    </row>
    <row r="11" spans="1:16" x14ac:dyDescent="0.2">
      <c r="A11" s="380">
        <f ca="1">Sheet3!$C$24</f>
        <v>56903.917956092861</v>
      </c>
      <c r="B11" s="380" t="str">
        <f>B1</f>
        <v>Drought Decision</v>
      </c>
      <c r="C11" s="380">
        <v>0</v>
      </c>
      <c r="I11" s="380" t="s">
        <v>322</v>
      </c>
      <c r="J11" s="380">
        <f>Sheet3!$B$24</f>
        <v>0</v>
      </c>
      <c r="K11" s="380">
        <f>Sheet3!$B$23</f>
        <v>0</v>
      </c>
      <c r="L11" s="380" t="s">
        <v>335</v>
      </c>
      <c r="M11" s="379" t="s">
        <v>148</v>
      </c>
      <c r="O11" s="380" t="str">
        <f>Sheet3!$C$23</f>
        <v>Decision</v>
      </c>
      <c r="P11" s="380" t="b">
        <v>0</v>
      </c>
    </row>
    <row r="12" spans="1:16" x14ac:dyDescent="0.2">
      <c r="A12" s="380">
        <f ca="1">Sheet3!$D$18</f>
        <v>56903.917956092861</v>
      </c>
      <c r="B12" s="379" t="s">
        <v>326</v>
      </c>
      <c r="C12" s="380">
        <v>0</v>
      </c>
      <c r="I12" s="380" t="s">
        <v>322</v>
      </c>
      <c r="J12" s="390">
        <f>Sheet3!$C$18</f>
        <v>0</v>
      </c>
      <c r="L12" s="380" t="s">
        <v>337</v>
      </c>
      <c r="M12" s="379" t="s">
        <v>148</v>
      </c>
      <c r="O12" s="380" t="str">
        <f>Sheet3!$D$17</f>
        <v>Decision</v>
      </c>
      <c r="P12" s="380" t="b">
        <v>0</v>
      </c>
    </row>
    <row r="13" spans="1:16" x14ac:dyDescent="0.2">
      <c r="A13" s="380">
        <f ca="1">Sheet3!$D$28</f>
        <v>-6832.6335000000008</v>
      </c>
      <c r="B13" s="379" t="s">
        <v>332</v>
      </c>
      <c r="C13" s="380">
        <v>0</v>
      </c>
      <c r="I13" s="380" t="s">
        <v>322</v>
      </c>
      <c r="J13" s="390">
        <f>Sheet3!$C$28</f>
        <v>-6832.6335000000008</v>
      </c>
      <c r="L13" s="380" t="s">
        <v>339</v>
      </c>
      <c r="M13" s="379" t="s">
        <v>148</v>
      </c>
      <c r="O13" s="380" t="str">
        <f>Sheet3!$D$27</f>
        <v>Decision</v>
      </c>
      <c r="P13" s="380" t="b">
        <v>0</v>
      </c>
    </row>
    <row r="14" spans="1:16" x14ac:dyDescent="0.2">
      <c r="A14" s="380">
        <f ca="1">Sheet3!$E$14</f>
        <v>56903.917956092861</v>
      </c>
      <c r="B14" s="379" t="s">
        <v>338</v>
      </c>
      <c r="C14" s="380">
        <v>0</v>
      </c>
      <c r="I14" s="380" t="s">
        <v>322</v>
      </c>
      <c r="J14" s="380">
        <f>Sheet3!$D$14</f>
        <v>0</v>
      </c>
      <c r="L14" s="380" t="s">
        <v>331</v>
      </c>
      <c r="M14" s="379" t="s">
        <v>148</v>
      </c>
      <c r="O14" s="380" t="str">
        <f>Sheet3!$E$13</f>
        <v>Chance</v>
      </c>
      <c r="P14" s="380" t="b">
        <v>0</v>
      </c>
    </row>
    <row r="15" spans="1:16" x14ac:dyDescent="0.2">
      <c r="A15" s="380">
        <f ca="1">Sheet3!$E$20</f>
        <v>-198000</v>
      </c>
      <c r="B15" s="379" t="s">
        <v>330</v>
      </c>
      <c r="C15" s="380">
        <v>0</v>
      </c>
      <c r="H15" s="380" t="s">
        <v>322</v>
      </c>
      <c r="I15" s="380" t="s">
        <v>322</v>
      </c>
      <c r="J15" s="380">
        <f ca="1">Sheet3!$D$20</f>
        <v>-198000</v>
      </c>
      <c r="L15" s="380" t="s">
        <v>336</v>
      </c>
      <c r="M15" s="379" t="s">
        <v>148</v>
      </c>
      <c r="P15" s="380" t="b">
        <v>0</v>
      </c>
    </row>
    <row r="16" spans="1:16" x14ac:dyDescent="0.2">
      <c r="A16" s="380">
        <f ca="1">Sheet3!$E$22</f>
        <v>-113641.08</v>
      </c>
      <c r="B16" s="379" t="s">
        <v>259</v>
      </c>
      <c r="C16" s="380">
        <v>0</v>
      </c>
      <c r="H16" s="380" t="s">
        <v>322</v>
      </c>
      <c r="I16" s="380" t="s">
        <v>322</v>
      </c>
      <c r="J16" s="380">
        <f ca="1">Sheet3!$D$22</f>
        <v>-113641.08</v>
      </c>
      <c r="L16" s="380" t="s">
        <v>336</v>
      </c>
      <c r="M16" s="379" t="s">
        <v>148</v>
      </c>
      <c r="P16" s="380" t="b">
        <v>0</v>
      </c>
    </row>
    <row r="17" spans="1:16" x14ac:dyDescent="0.2">
      <c r="A17" s="380">
        <f ca="1">Sheet3!$E$26</f>
        <v>-6832.6335000000008</v>
      </c>
      <c r="B17" s="379" t="s">
        <v>338</v>
      </c>
      <c r="C17" s="380">
        <v>0</v>
      </c>
      <c r="H17" s="380" t="s">
        <v>322</v>
      </c>
      <c r="I17" s="380" t="s">
        <v>322</v>
      </c>
      <c r="J17" s="380">
        <f>Sheet3!$D$26</f>
        <v>0</v>
      </c>
      <c r="L17" s="380" t="s">
        <v>328</v>
      </c>
      <c r="M17" s="379" t="s">
        <v>148</v>
      </c>
      <c r="P17" s="380" t="b">
        <v>0</v>
      </c>
    </row>
    <row r="18" spans="1:16" x14ac:dyDescent="0.2">
      <c r="A18" s="380">
        <f ca="1">Sheet3!$E$30</f>
        <v>-204832.6335</v>
      </c>
      <c r="B18" s="379" t="s">
        <v>330</v>
      </c>
      <c r="C18" s="380">
        <v>0</v>
      </c>
      <c r="H18" s="380" t="s">
        <v>322</v>
      </c>
      <c r="I18" s="380" t="s">
        <v>322</v>
      </c>
      <c r="J18" s="393">
        <f ca="1">Sheet3!$D$30</f>
        <v>-198000</v>
      </c>
      <c r="L18" s="380" t="s">
        <v>328</v>
      </c>
      <c r="M18" s="379" t="s">
        <v>148</v>
      </c>
      <c r="P18" s="380" t="b">
        <v>0</v>
      </c>
    </row>
    <row r="19" spans="1:16" x14ac:dyDescent="0.2">
      <c r="A19" s="380">
        <f ca="1">Sheet3!$E$32</f>
        <v>-120473.7135</v>
      </c>
      <c r="B19" s="379" t="s">
        <v>259</v>
      </c>
      <c r="C19" s="380">
        <v>0</v>
      </c>
      <c r="H19" s="380" t="s">
        <v>322</v>
      </c>
      <c r="I19" s="380" t="s">
        <v>322</v>
      </c>
      <c r="J19" s="393">
        <f ca="1">Sheet3!$D$32</f>
        <v>-113641.08</v>
      </c>
      <c r="L19" s="380" t="s">
        <v>328</v>
      </c>
      <c r="M19" s="379" t="s">
        <v>148</v>
      </c>
      <c r="P19" s="380" t="b">
        <v>0</v>
      </c>
    </row>
    <row r="20" spans="1:16" x14ac:dyDescent="0.2">
      <c r="A20" s="380">
        <f ca="1">Sheet3!$F$12</f>
        <v>57667.366500000004</v>
      </c>
      <c r="B20" s="379" t="s">
        <v>329</v>
      </c>
      <c r="C20" s="380">
        <v>0</v>
      </c>
      <c r="H20" s="380" t="s">
        <v>322</v>
      </c>
      <c r="I20" s="380" t="s">
        <v>322</v>
      </c>
      <c r="J20" s="380">
        <f ca="1">Sheet3!$E$12</f>
        <v>57667.366500000004</v>
      </c>
      <c r="K20" s="380">
        <f>Sheet3!$E$11</f>
        <v>0.5</v>
      </c>
      <c r="L20" s="380" t="s">
        <v>340</v>
      </c>
      <c r="M20" s="379" t="s">
        <v>148</v>
      </c>
      <c r="P20" s="380" t="b">
        <v>0</v>
      </c>
    </row>
    <row r="21" spans="1:16" x14ac:dyDescent="0.2">
      <c r="A21" s="380">
        <f ca="1">Sheet3!$F$16</f>
        <v>56140.469412185717</v>
      </c>
      <c r="B21" s="379" t="s">
        <v>327</v>
      </c>
      <c r="C21" s="380">
        <v>0</v>
      </c>
      <c r="H21" s="380" t="s">
        <v>322</v>
      </c>
      <c r="I21" s="380" t="s">
        <v>322</v>
      </c>
      <c r="J21" s="380">
        <f ca="1">Sheet3!$E$16</f>
        <v>56140.469412185717</v>
      </c>
      <c r="K21" s="380">
        <f>Sheet3!$E$15</f>
        <v>0.5</v>
      </c>
      <c r="L21" s="380" t="s">
        <v>340</v>
      </c>
      <c r="M21" s="379" t="s">
        <v>148</v>
      </c>
      <c r="P21" s="3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senseInfo</vt:lpstr>
      <vt:lpstr>Drought Calculator</vt:lpstr>
      <vt:lpstr>CPER Precip</vt:lpstr>
      <vt:lpstr>Ranch Strategies</vt:lpstr>
      <vt:lpstr>RI-Insurance</vt:lpstr>
      <vt:lpstr>R Index</vt:lpstr>
      <vt:lpstr>Sheet3</vt:lpstr>
      <vt:lpstr>_PalUtilTempWorksheet</vt:lpstr>
      <vt:lpstr>treeCalc_1</vt:lpstr>
      <vt:lpstr>'Ranch Strategies'!Print_Area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wtravis</cp:lastModifiedBy>
  <cp:lastPrinted>2016-07-14T19:38:59Z</cp:lastPrinted>
  <dcterms:created xsi:type="dcterms:W3CDTF">2011-06-21T14:11:52Z</dcterms:created>
  <dcterms:modified xsi:type="dcterms:W3CDTF">2016-07-20T05:30:43Z</dcterms:modified>
</cp:coreProperties>
</file>