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codeName="ThisWorkbook" autoCompressPictures="0"/>
  <bookViews>
    <workbookView xWindow="0" yWindow="0" windowWidth="25600" windowHeight="14580" tabRatio="653" firstSheet="1" activeTab="4"/>
  </bookViews>
  <sheets>
    <sheet name="senseInfo" sheetId="12" state="hidden" r:id="rId1"/>
    <sheet name="UI" sheetId="22" r:id="rId2"/>
    <sheet name="Drought Calculator" sheetId="13" r:id="rId3"/>
    <sheet name="CPER Precip" sheetId="14" r:id="rId4"/>
    <sheet name="Ranch Strategies" sheetId="5" r:id="rId5"/>
    <sheet name="RI-Insurance" sheetId="20" r:id="rId6"/>
    <sheet name="R Index" sheetId="21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4">#REF!</definedName>
    <definedName name="a" localSheetId="5">#REF!</definedName>
    <definedName name="a">#REF!</definedName>
    <definedName name="j" localSheetId="4">#REF!</definedName>
    <definedName name="j" localSheetId="5">#REF!</definedName>
    <definedName name="j">#REF!</definedName>
    <definedName name="jeff" localSheetId="4">#REF!</definedName>
    <definedName name="jeff" localSheetId="5">#REF!</definedName>
    <definedName name="jeff">#REF!</definedName>
    <definedName name="Pal_Workbook_GUID" localSheetId="3" hidden="1">"2Q2NV3LS4EFZJR2GJZ15YAEH"</definedName>
    <definedName name="Pal_Workbook_GUID" localSheetId="2" hidden="1">"2Q2NV3LS4EFZJR2GJZ15YAEH"</definedName>
    <definedName name="Pal_Workbook_GUID" hidden="1">"J7G69ZAVDHPYIUSQEB922MS1"</definedName>
    <definedName name="_xlnm.Print_Area" localSheetId="4">'Ranch Strategies'!$B$2:$V$148</definedName>
    <definedName name="Print_Area_MI" localSheetId="4">#REF!</definedName>
    <definedName name="Print_Area_MI" localSheetId="5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1" i="5" l="1"/>
  <c r="E16" i="13"/>
  <c r="F16" i="13"/>
  <c r="G16" i="13"/>
  <c r="H16" i="13"/>
  <c r="I16" i="13"/>
  <c r="J16" i="13"/>
  <c r="K16" i="13"/>
  <c r="L16" i="13"/>
  <c r="M16" i="13"/>
  <c r="N16" i="13"/>
  <c r="O16" i="13"/>
  <c r="E17" i="13"/>
  <c r="F17" i="13"/>
  <c r="G17" i="13"/>
  <c r="H17" i="13"/>
  <c r="I17" i="13"/>
  <c r="J17" i="13"/>
  <c r="K17" i="13"/>
  <c r="L17" i="13"/>
  <c r="M17" i="13"/>
  <c r="N17" i="13"/>
  <c r="O17" i="13"/>
  <c r="E18" i="13"/>
  <c r="F18" i="13"/>
  <c r="G18" i="13"/>
  <c r="H18" i="13"/>
  <c r="I18" i="13"/>
  <c r="J18" i="13"/>
  <c r="K18" i="13"/>
  <c r="L18" i="13"/>
  <c r="M18" i="13"/>
  <c r="N18" i="13"/>
  <c r="O18" i="13"/>
  <c r="E19" i="13"/>
  <c r="F19" i="13"/>
  <c r="G19" i="13"/>
  <c r="H19" i="13"/>
  <c r="I19" i="13"/>
  <c r="J19" i="13"/>
  <c r="K19" i="13"/>
  <c r="L19" i="13"/>
  <c r="M19" i="13"/>
  <c r="N19" i="13"/>
  <c r="O19" i="13"/>
  <c r="D19" i="13"/>
  <c r="D17" i="13"/>
  <c r="D18" i="13"/>
  <c r="E10" i="13"/>
  <c r="F10" i="13"/>
  <c r="G10" i="13"/>
  <c r="H10" i="13"/>
  <c r="I10" i="13"/>
  <c r="J10" i="13"/>
  <c r="K10" i="13"/>
  <c r="L10" i="13"/>
  <c r="M10" i="13"/>
  <c r="N10" i="13"/>
  <c r="O10" i="13"/>
  <c r="F9" i="13"/>
  <c r="G9" i="13"/>
  <c r="H9" i="13"/>
  <c r="I9" i="13"/>
  <c r="J9" i="13"/>
  <c r="K9" i="13"/>
  <c r="L9" i="13"/>
  <c r="M9" i="13"/>
  <c r="N9" i="13"/>
  <c r="O9" i="13"/>
  <c r="E9" i="13"/>
  <c r="E8" i="13"/>
  <c r="F8" i="13"/>
  <c r="G8" i="13"/>
  <c r="H8" i="13"/>
  <c r="I8" i="13"/>
  <c r="J8" i="13"/>
  <c r="K8" i="13"/>
  <c r="L8" i="13"/>
  <c r="M8" i="13"/>
  <c r="N8" i="13"/>
  <c r="O8" i="13"/>
  <c r="I8" i="5"/>
  <c r="I9" i="5"/>
  <c r="U10" i="5"/>
  <c r="AB37" i="5"/>
  <c r="AB39" i="5"/>
  <c r="U45" i="5"/>
  <c r="AB38" i="5"/>
  <c r="AB40" i="5"/>
  <c r="U46" i="5"/>
  <c r="I45" i="5"/>
  <c r="U19" i="5"/>
  <c r="U18" i="5"/>
  <c r="I21" i="5"/>
  <c r="AA16" i="5"/>
  <c r="AB16" i="5"/>
  <c r="I46" i="5"/>
  <c r="U47" i="5"/>
  <c r="U48" i="5"/>
  <c r="I15" i="5"/>
  <c r="U50" i="5"/>
  <c r="B9" i="13"/>
  <c r="D9" i="13"/>
  <c r="B81" i="14"/>
  <c r="D8" i="13"/>
  <c r="D10" i="13"/>
  <c r="C9" i="13"/>
  <c r="C81" i="14"/>
  <c r="D81" i="14"/>
  <c r="E81" i="14"/>
  <c r="F81" i="14"/>
  <c r="F3" i="13"/>
  <c r="I13" i="5"/>
  <c r="U11" i="5"/>
  <c r="I22" i="5"/>
  <c r="E163" i="5"/>
  <c r="U9" i="5"/>
  <c r="U14" i="5"/>
  <c r="Q164" i="5"/>
  <c r="I19" i="5"/>
  <c r="E80" i="5"/>
  <c r="E94" i="5"/>
  <c r="E109" i="5"/>
  <c r="E123" i="5"/>
  <c r="Q125" i="5"/>
  <c r="I12" i="5"/>
  <c r="I33" i="5"/>
  <c r="Q81" i="5"/>
  <c r="Q96" i="5"/>
  <c r="U15" i="5"/>
  <c r="Q95" i="5"/>
  <c r="Q111" i="5"/>
  <c r="U16" i="5"/>
  <c r="Q110" i="5"/>
  <c r="Q124" i="5"/>
  <c r="Q208" i="5"/>
  <c r="Q209" i="5"/>
  <c r="Q165" i="5"/>
  <c r="Q166" i="5"/>
  <c r="Q167" i="5"/>
  <c r="Q168" i="5"/>
  <c r="Q169" i="5"/>
  <c r="Q174" i="5"/>
  <c r="Q179" i="5"/>
  <c r="Q180" i="5"/>
  <c r="I16" i="5"/>
  <c r="Q181" i="5"/>
  <c r="Q178" i="5"/>
  <c r="Q182" i="5"/>
  <c r="Q183" i="5"/>
  <c r="Q184" i="5"/>
  <c r="Q189" i="5"/>
  <c r="Q194" i="5"/>
  <c r="Q195" i="5"/>
  <c r="Q196" i="5"/>
  <c r="Q193" i="5"/>
  <c r="Q197" i="5"/>
  <c r="Q198" i="5"/>
  <c r="Q199" i="5"/>
  <c r="Q203" i="5"/>
  <c r="Q210" i="5"/>
  <c r="E177" i="5"/>
  <c r="E192" i="5"/>
  <c r="E206" i="5"/>
  <c r="Q207" i="5"/>
  <c r="Q211" i="5"/>
  <c r="T110" i="5"/>
  <c r="T195" i="5"/>
  <c r="S81" i="5"/>
  <c r="E22" i="5"/>
  <c r="S95" i="5"/>
  <c r="Y16" i="5"/>
  <c r="Y17" i="5"/>
  <c r="AA17" i="5"/>
  <c r="AB17" i="5"/>
  <c r="P28" i="5"/>
  <c r="I27" i="5"/>
  <c r="U51" i="5"/>
  <c r="U35" i="5"/>
  <c r="S96" i="5"/>
  <c r="S111" i="5"/>
  <c r="Y18" i="5"/>
  <c r="AA18" i="5"/>
  <c r="AB18" i="5"/>
  <c r="S110" i="5"/>
  <c r="S125" i="5"/>
  <c r="Y19" i="5"/>
  <c r="AA19" i="5"/>
  <c r="AB19" i="5"/>
  <c r="S124" i="5"/>
  <c r="E137" i="5"/>
  <c r="S139" i="5"/>
  <c r="Y20" i="5"/>
  <c r="AA20" i="5"/>
  <c r="AB20" i="5"/>
  <c r="S138" i="5"/>
  <c r="S165" i="5"/>
  <c r="S166" i="5"/>
  <c r="S164" i="5"/>
  <c r="S167" i="5"/>
  <c r="S168" i="5"/>
  <c r="S169" i="5"/>
  <c r="S174" i="5"/>
  <c r="S179" i="5"/>
  <c r="S180" i="5"/>
  <c r="S181" i="5"/>
  <c r="S178" i="5"/>
  <c r="S182" i="5"/>
  <c r="S183" i="5"/>
  <c r="S184" i="5"/>
  <c r="S189" i="5"/>
  <c r="S194" i="5"/>
  <c r="S195" i="5"/>
  <c r="S196" i="5"/>
  <c r="S193" i="5"/>
  <c r="S197" i="5"/>
  <c r="S198" i="5"/>
  <c r="S199" i="5"/>
  <c r="S203" i="5"/>
  <c r="S208" i="5"/>
  <c r="S209" i="5"/>
  <c r="S210" i="5"/>
  <c r="S207" i="5"/>
  <c r="S211" i="5"/>
  <c r="S212" i="5"/>
  <c r="S213" i="5"/>
  <c r="S217" i="5"/>
  <c r="S222" i="5"/>
  <c r="S223" i="5"/>
  <c r="S224" i="5"/>
  <c r="E220" i="5"/>
  <c r="S221" i="5"/>
  <c r="S225" i="5"/>
  <c r="S226" i="5"/>
  <c r="S227" i="5"/>
  <c r="S231" i="5"/>
  <c r="I10" i="5"/>
  <c r="S158" i="5"/>
  <c r="S173" i="5"/>
  <c r="S188" i="5"/>
  <c r="S202" i="5"/>
  <c r="S216" i="5"/>
  <c r="S230" i="5"/>
  <c r="S232" i="5"/>
  <c r="U13" i="5"/>
  <c r="S159" i="5"/>
  <c r="S160" i="5"/>
  <c r="S161" i="5"/>
  <c r="S235" i="5"/>
  <c r="S75" i="5"/>
  <c r="S90" i="5"/>
  <c r="S105" i="5"/>
  <c r="S119" i="5"/>
  <c r="S133" i="5"/>
  <c r="S147" i="5"/>
  <c r="U40" i="22"/>
  <c r="R165" i="5"/>
  <c r="I29" i="5"/>
  <c r="R166" i="5"/>
  <c r="R164" i="5"/>
  <c r="R167" i="5"/>
  <c r="R168" i="5"/>
  <c r="R169" i="5"/>
  <c r="R174" i="5"/>
  <c r="R179" i="5"/>
  <c r="R180" i="5"/>
  <c r="R181" i="5"/>
  <c r="R178" i="5"/>
  <c r="R182" i="5"/>
  <c r="R183" i="5"/>
  <c r="R184" i="5"/>
  <c r="R189" i="5"/>
  <c r="R194" i="5"/>
  <c r="R195" i="5"/>
  <c r="R196" i="5"/>
  <c r="R193" i="5"/>
  <c r="R197" i="5"/>
  <c r="R198" i="5"/>
  <c r="R199" i="5"/>
  <c r="R203" i="5"/>
  <c r="R208" i="5"/>
  <c r="R209" i="5"/>
  <c r="R210" i="5"/>
  <c r="R207" i="5"/>
  <c r="R211" i="5"/>
  <c r="R212" i="5"/>
  <c r="R213" i="5"/>
  <c r="R217" i="5"/>
  <c r="R222" i="5"/>
  <c r="R223" i="5"/>
  <c r="R224" i="5"/>
  <c r="R221" i="5"/>
  <c r="R225" i="5"/>
  <c r="R226" i="5"/>
  <c r="R227" i="5"/>
  <c r="R231" i="5"/>
  <c r="R158" i="5"/>
  <c r="R173" i="5"/>
  <c r="R188" i="5"/>
  <c r="R202" i="5"/>
  <c r="R216" i="5"/>
  <c r="R230" i="5"/>
  <c r="R232" i="5"/>
  <c r="R159" i="5"/>
  <c r="R160" i="5"/>
  <c r="R161" i="5"/>
  <c r="R235" i="5"/>
  <c r="R96" i="5"/>
  <c r="R111" i="5"/>
  <c r="R125" i="5"/>
  <c r="R139" i="5"/>
  <c r="P75" i="5"/>
  <c r="P90" i="5"/>
  <c r="P105" i="5"/>
  <c r="P119" i="5"/>
  <c r="P133" i="5"/>
  <c r="P147" i="5"/>
  <c r="P81" i="5"/>
  <c r="Q75" i="5"/>
  <c r="Q90" i="5"/>
  <c r="Q105" i="5"/>
  <c r="Q119" i="5"/>
  <c r="Q133" i="5"/>
  <c r="Q147" i="5"/>
  <c r="R75" i="5"/>
  <c r="R90" i="5"/>
  <c r="R105" i="5"/>
  <c r="R119" i="5"/>
  <c r="R133" i="5"/>
  <c r="R147" i="5"/>
  <c r="R81" i="5"/>
  <c r="T75" i="5"/>
  <c r="T87" i="5"/>
  <c r="T90" i="5"/>
  <c r="T102" i="5"/>
  <c r="T105" i="5"/>
  <c r="T117" i="5"/>
  <c r="T119" i="5"/>
  <c r="T131" i="5"/>
  <c r="T133" i="5"/>
  <c r="T145" i="5"/>
  <c r="T147" i="5"/>
  <c r="U8" i="5"/>
  <c r="AC44" i="5"/>
  <c r="T81" i="5"/>
  <c r="U75" i="5"/>
  <c r="U87" i="5"/>
  <c r="U90" i="5"/>
  <c r="U105" i="5"/>
  <c r="U119" i="5"/>
  <c r="U133" i="5"/>
  <c r="U147" i="5"/>
  <c r="U81" i="5"/>
  <c r="U96" i="5"/>
  <c r="U111" i="5"/>
  <c r="U125" i="5"/>
  <c r="U139" i="5"/>
  <c r="U165" i="5"/>
  <c r="U166" i="5"/>
  <c r="U164" i="5"/>
  <c r="U167" i="5"/>
  <c r="U168" i="5"/>
  <c r="U169" i="5"/>
  <c r="U170" i="5"/>
  <c r="I17" i="5"/>
  <c r="U171" i="5"/>
  <c r="U174" i="5"/>
  <c r="U179" i="5"/>
  <c r="U181" i="5"/>
  <c r="U180" i="5"/>
  <c r="U182" i="5"/>
  <c r="U183" i="5"/>
  <c r="U184" i="5"/>
  <c r="U189" i="5"/>
  <c r="U194" i="5"/>
  <c r="U196" i="5"/>
  <c r="U195" i="5"/>
  <c r="U197" i="5"/>
  <c r="U198" i="5"/>
  <c r="U199" i="5"/>
  <c r="U203" i="5"/>
  <c r="U208" i="5"/>
  <c r="U210" i="5"/>
  <c r="U209" i="5"/>
  <c r="U211" i="5"/>
  <c r="U212" i="5"/>
  <c r="U213" i="5"/>
  <c r="U217" i="5"/>
  <c r="U222" i="5"/>
  <c r="U224" i="5"/>
  <c r="U223" i="5"/>
  <c r="U225" i="5"/>
  <c r="U226" i="5"/>
  <c r="U227" i="5"/>
  <c r="U231" i="5"/>
  <c r="U158" i="5"/>
  <c r="U173" i="5"/>
  <c r="U188" i="5"/>
  <c r="U202" i="5"/>
  <c r="U216" i="5"/>
  <c r="U230" i="5"/>
  <c r="U232" i="5"/>
  <c r="U159" i="5"/>
  <c r="U160" i="5"/>
  <c r="U161" i="5"/>
  <c r="U235" i="5"/>
  <c r="U97" i="5"/>
  <c r="U112" i="5"/>
  <c r="U126" i="5"/>
  <c r="U140" i="5"/>
  <c r="X40" i="22"/>
  <c r="T95" i="5"/>
  <c r="T96" i="5"/>
  <c r="T97" i="5"/>
  <c r="T111" i="5"/>
  <c r="T124" i="5"/>
  <c r="T125" i="5"/>
  <c r="T138" i="5"/>
  <c r="T139" i="5"/>
  <c r="T165" i="5"/>
  <c r="T166" i="5"/>
  <c r="T164" i="5"/>
  <c r="T167" i="5"/>
  <c r="T168" i="5"/>
  <c r="T169" i="5"/>
  <c r="T170" i="5"/>
  <c r="T174" i="5"/>
  <c r="T178" i="5"/>
  <c r="T179" i="5"/>
  <c r="T180" i="5"/>
  <c r="T181" i="5"/>
  <c r="T182" i="5"/>
  <c r="T183" i="5"/>
  <c r="T184" i="5"/>
  <c r="T185" i="5"/>
  <c r="T189" i="5"/>
  <c r="T193" i="5"/>
  <c r="T194" i="5"/>
  <c r="T196" i="5"/>
  <c r="T197" i="5"/>
  <c r="T198" i="5"/>
  <c r="T199" i="5"/>
  <c r="T200" i="5"/>
  <c r="T203" i="5"/>
  <c r="T207" i="5"/>
  <c r="T208" i="5"/>
  <c r="T209" i="5"/>
  <c r="T210" i="5"/>
  <c r="T211" i="5"/>
  <c r="T212" i="5"/>
  <c r="T213" i="5"/>
  <c r="T214" i="5"/>
  <c r="T217" i="5"/>
  <c r="T221" i="5"/>
  <c r="T222" i="5"/>
  <c r="T223" i="5"/>
  <c r="T224" i="5"/>
  <c r="T225" i="5"/>
  <c r="T226" i="5"/>
  <c r="T227" i="5"/>
  <c r="T228" i="5"/>
  <c r="T231" i="5"/>
  <c r="T158" i="5"/>
  <c r="T173" i="5"/>
  <c r="T188" i="5"/>
  <c r="T202" i="5"/>
  <c r="T216" i="5"/>
  <c r="T230" i="5"/>
  <c r="T232" i="5"/>
  <c r="T159" i="5"/>
  <c r="T160" i="5"/>
  <c r="T161" i="5"/>
  <c r="T235" i="5"/>
  <c r="V40" i="22"/>
  <c r="R95" i="5"/>
  <c r="R110" i="5"/>
  <c r="R124" i="5"/>
  <c r="R138" i="5"/>
  <c r="T40" i="22"/>
  <c r="Q139" i="5"/>
  <c r="Q138" i="5"/>
  <c r="Q212" i="5"/>
  <c r="Q213" i="5"/>
  <c r="Q217" i="5"/>
  <c r="Q222" i="5"/>
  <c r="Q223" i="5"/>
  <c r="Q224" i="5"/>
  <c r="Q221" i="5"/>
  <c r="Q225" i="5"/>
  <c r="Q226" i="5"/>
  <c r="Q227" i="5"/>
  <c r="Q231" i="5"/>
  <c r="Q158" i="5"/>
  <c r="Q173" i="5"/>
  <c r="Q188" i="5"/>
  <c r="Q202" i="5"/>
  <c r="Q216" i="5"/>
  <c r="Q230" i="5"/>
  <c r="Q232" i="5"/>
  <c r="Q159" i="5"/>
  <c r="Q160" i="5"/>
  <c r="Q161" i="5"/>
  <c r="Q235" i="5"/>
  <c r="R40" i="22"/>
  <c r="P95" i="5"/>
  <c r="P110" i="5"/>
  <c r="P124" i="5"/>
  <c r="P138" i="5"/>
  <c r="P166" i="5"/>
  <c r="P164" i="5"/>
  <c r="P167" i="5"/>
  <c r="P168" i="5"/>
  <c r="P169" i="5"/>
  <c r="P174" i="5"/>
  <c r="P180" i="5"/>
  <c r="P181" i="5"/>
  <c r="P178" i="5"/>
  <c r="P182" i="5"/>
  <c r="P183" i="5"/>
  <c r="P184" i="5"/>
  <c r="P189" i="5"/>
  <c r="P195" i="5"/>
  <c r="P196" i="5"/>
  <c r="P193" i="5"/>
  <c r="P197" i="5"/>
  <c r="P198" i="5"/>
  <c r="P199" i="5"/>
  <c r="P203" i="5"/>
  <c r="P209" i="5"/>
  <c r="P210" i="5"/>
  <c r="P207" i="5"/>
  <c r="P211" i="5"/>
  <c r="P212" i="5"/>
  <c r="P213" i="5"/>
  <c r="P217" i="5"/>
  <c r="P223" i="5"/>
  <c r="P224" i="5"/>
  <c r="P221" i="5"/>
  <c r="P225" i="5"/>
  <c r="P226" i="5"/>
  <c r="P227" i="5"/>
  <c r="P231" i="5"/>
  <c r="P158" i="5"/>
  <c r="P173" i="5"/>
  <c r="P188" i="5"/>
  <c r="P202" i="5"/>
  <c r="P216" i="5"/>
  <c r="P230" i="5"/>
  <c r="P232" i="5"/>
  <c r="P159" i="5"/>
  <c r="P160" i="5"/>
  <c r="P161" i="5"/>
  <c r="P235" i="5"/>
  <c r="Q40" i="22"/>
  <c r="U88" i="5"/>
  <c r="N33" i="22"/>
  <c r="N32" i="22"/>
  <c r="N31" i="22"/>
  <c r="N30" i="22"/>
  <c r="N29" i="22"/>
  <c r="N28" i="22"/>
  <c r="N40" i="22"/>
  <c r="N39" i="22"/>
  <c r="N38" i="22"/>
  <c r="N37" i="22"/>
  <c r="N36" i="22"/>
  <c r="N35" i="22"/>
  <c r="N26" i="22"/>
  <c r="N25" i="22"/>
  <c r="N24" i="22"/>
  <c r="N23" i="22"/>
  <c r="N22" i="22"/>
  <c r="N21" i="22"/>
  <c r="N19" i="22"/>
  <c r="N18" i="22"/>
  <c r="N17" i="22"/>
  <c r="N16" i="22"/>
  <c r="N15" i="22"/>
  <c r="N14" i="22"/>
  <c r="N12" i="22"/>
  <c r="N11" i="22"/>
  <c r="N10" i="22"/>
  <c r="N9" i="22"/>
  <c r="N8" i="22"/>
  <c r="N7" i="22"/>
  <c r="S204" i="5"/>
  <c r="N64" i="22"/>
  <c r="Q204" i="5"/>
  <c r="N62" i="22"/>
  <c r="N80" i="22"/>
  <c r="N79" i="22"/>
  <c r="N77" i="22"/>
  <c r="N78" i="22"/>
  <c r="N76" i="22"/>
  <c r="N75" i="22"/>
  <c r="U218" i="5"/>
  <c r="N73" i="22"/>
  <c r="T218" i="5"/>
  <c r="N72" i="22"/>
  <c r="S218" i="5"/>
  <c r="N71" i="22"/>
  <c r="R218" i="5"/>
  <c r="N70" i="22"/>
  <c r="Q218" i="5"/>
  <c r="N69" i="22"/>
  <c r="P218" i="5"/>
  <c r="N68" i="22"/>
  <c r="U204" i="5"/>
  <c r="N66" i="22"/>
  <c r="T204" i="5"/>
  <c r="N65" i="22"/>
  <c r="R204" i="5"/>
  <c r="N63" i="22"/>
  <c r="P204" i="5"/>
  <c r="N61" i="22"/>
  <c r="R190" i="5"/>
  <c r="N56" i="22"/>
  <c r="T190" i="5"/>
  <c r="N58" i="22"/>
  <c r="U190" i="5"/>
  <c r="N59" i="22"/>
  <c r="S190" i="5"/>
  <c r="N57" i="22"/>
  <c r="Q190" i="5"/>
  <c r="N55" i="22"/>
  <c r="P190" i="5"/>
  <c r="N54" i="22"/>
  <c r="U175" i="5"/>
  <c r="N52" i="22"/>
  <c r="T175" i="5"/>
  <c r="N51" i="22"/>
  <c r="S175" i="5"/>
  <c r="N50" i="22"/>
  <c r="R175" i="5"/>
  <c r="N49" i="22"/>
  <c r="Q175" i="5"/>
  <c r="N48" i="22"/>
  <c r="P175" i="5"/>
  <c r="N47" i="22"/>
  <c r="Q63" i="22"/>
  <c r="Q62" i="22"/>
  <c r="Q61" i="22"/>
  <c r="Q60" i="22"/>
  <c r="Q59" i="22"/>
  <c r="P15" i="22"/>
  <c r="P76" i="5"/>
  <c r="P77" i="5"/>
  <c r="P78" i="5"/>
  <c r="Q14" i="22"/>
  <c r="Q76" i="5"/>
  <c r="Q77" i="5"/>
  <c r="Q78" i="5"/>
  <c r="R14" i="22"/>
  <c r="R76" i="5"/>
  <c r="R77" i="5"/>
  <c r="R78" i="5"/>
  <c r="S14" i="22"/>
  <c r="S76" i="5"/>
  <c r="S77" i="5"/>
  <c r="S78" i="5"/>
  <c r="T14" i="22"/>
  <c r="T76" i="5"/>
  <c r="T77" i="5"/>
  <c r="T78" i="5"/>
  <c r="U14" i="22"/>
  <c r="U76" i="5"/>
  <c r="U77" i="5"/>
  <c r="U78" i="5"/>
  <c r="V14" i="22"/>
  <c r="P16" i="22"/>
  <c r="P17" i="22"/>
  <c r="P18" i="22"/>
  <c r="P19" i="22"/>
  <c r="I35" i="5"/>
  <c r="I34" i="5"/>
  <c r="I32" i="5"/>
  <c r="I18" i="5"/>
  <c r="I11" i="5"/>
  <c r="I37" i="5"/>
  <c r="G4" i="20"/>
  <c r="H4" i="20"/>
  <c r="I4" i="20"/>
  <c r="J4" i="20"/>
  <c r="K4" i="20"/>
  <c r="K10" i="20"/>
  <c r="I36" i="5"/>
  <c r="U38" i="5"/>
  <c r="U37" i="5"/>
  <c r="U36" i="5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/>
  <c r="M81" i="14"/>
  <c r="L81" i="14"/>
  <c r="K81" i="14"/>
  <c r="J81" i="14"/>
  <c r="G81" i="14"/>
  <c r="H81" i="14"/>
  <c r="I81" i="14"/>
  <c r="K7" i="20"/>
  <c r="K8" i="20"/>
  <c r="K9" i="20"/>
  <c r="K11" i="20"/>
  <c r="K12" i="20"/>
  <c r="K13" i="20"/>
  <c r="K14" i="20"/>
  <c r="K15" i="20"/>
  <c r="K16" i="20"/>
  <c r="K6" i="20"/>
  <c r="J7" i="20"/>
  <c r="J8" i="20"/>
  <c r="J9" i="20"/>
  <c r="J10" i="20"/>
  <c r="J11" i="20"/>
  <c r="J12" i="20"/>
  <c r="J13" i="20"/>
  <c r="J14" i="20"/>
  <c r="J15" i="20"/>
  <c r="J16" i="20"/>
  <c r="J6" i="20"/>
  <c r="I7" i="20"/>
  <c r="I8" i="20"/>
  <c r="I9" i="20"/>
  <c r="I10" i="20"/>
  <c r="I11" i="20"/>
  <c r="I12" i="20"/>
  <c r="I13" i="20"/>
  <c r="I14" i="20"/>
  <c r="I15" i="20"/>
  <c r="I16" i="20"/>
  <c r="I6" i="20"/>
  <c r="H7" i="20"/>
  <c r="H8" i="20"/>
  <c r="H9" i="20"/>
  <c r="H10" i="20"/>
  <c r="H11" i="20"/>
  <c r="H12" i="20"/>
  <c r="H13" i="20"/>
  <c r="H14" i="20"/>
  <c r="H15" i="20"/>
  <c r="H16" i="20"/>
  <c r="H6" i="20"/>
  <c r="G6" i="20"/>
  <c r="G7" i="20"/>
  <c r="G8" i="20"/>
  <c r="G9" i="20"/>
  <c r="G10" i="20"/>
  <c r="G11" i="20"/>
  <c r="G12" i="20"/>
  <c r="G13" i="20"/>
  <c r="G14" i="20"/>
  <c r="G15" i="20"/>
  <c r="G16" i="20"/>
  <c r="D16" i="13"/>
  <c r="D3" i="13"/>
  <c r="E3" i="13"/>
  <c r="G3" i="13"/>
  <c r="B83" i="14"/>
  <c r="Y57" i="5"/>
  <c r="F7" i="20"/>
  <c r="U64" i="5"/>
  <c r="T64" i="5"/>
  <c r="U61" i="5"/>
  <c r="T61" i="5"/>
  <c r="U57" i="5"/>
  <c r="T57" i="5"/>
  <c r="AC47" i="5"/>
  <c r="AC43" i="5"/>
  <c r="AC45" i="5"/>
  <c r="U56" i="5"/>
  <c r="T46" i="5"/>
  <c r="AB33" i="5"/>
  <c r="T48" i="5"/>
  <c r="AC8" i="5"/>
  <c r="C83" i="14"/>
  <c r="D83" i="14"/>
  <c r="E83" i="14"/>
  <c r="T47" i="5"/>
  <c r="U65" i="5"/>
  <c r="T65" i="5"/>
  <c r="AC49" i="5"/>
  <c r="AC51" i="5"/>
  <c r="AC52" i="5"/>
  <c r="U58" i="5"/>
  <c r="T58" i="5"/>
  <c r="AC57" i="5"/>
  <c r="X86" i="5"/>
  <c r="T45" i="5"/>
  <c r="F83" i="14"/>
  <c r="G83" i="14"/>
  <c r="H83" i="14"/>
  <c r="I83" i="14"/>
  <c r="J83" i="14"/>
  <c r="K83" i="14"/>
  <c r="L83" i="14"/>
  <c r="M83" i="14"/>
  <c r="X5" i="5"/>
  <c r="AA57" i="5"/>
  <c r="AD57" i="5"/>
  <c r="AB57" i="5"/>
  <c r="F15" i="20"/>
  <c r="AA21" i="5"/>
  <c r="I51" i="5"/>
  <c r="F6" i="20"/>
  <c r="F8" i="20"/>
  <c r="F9" i="20"/>
  <c r="F10" i="20"/>
  <c r="F11" i="20"/>
  <c r="F12" i="20"/>
  <c r="F13" i="20"/>
  <c r="F14" i="20"/>
  <c r="F16" i="20"/>
  <c r="AB21" i="5"/>
  <c r="Z57" i="5"/>
  <c r="AC53" i="5"/>
  <c r="AC54" i="5"/>
  <c r="U62" i="5"/>
  <c r="T50" i="5"/>
  <c r="T51" i="5"/>
  <c r="X58" i="5"/>
  <c r="P27" i="5"/>
  <c r="T27" i="5"/>
  <c r="U27" i="5"/>
  <c r="U59" i="5"/>
  <c r="T59" i="5"/>
  <c r="AB32" i="5"/>
  <c r="AB35" i="5"/>
  <c r="AB34" i="5"/>
  <c r="AB36" i="5"/>
  <c r="U49" i="5"/>
  <c r="T49" i="5"/>
  <c r="T56" i="5"/>
  <c r="AC48" i="5"/>
  <c r="U63" i="5"/>
  <c r="T63" i="5"/>
  <c r="T62" i="5"/>
  <c r="U60" i="5"/>
  <c r="T60" i="5"/>
  <c r="P29" i="5"/>
  <c r="I50" i="5"/>
  <c r="X87" i="5"/>
  <c r="X59" i="5"/>
  <c r="T66" i="5"/>
  <c r="T67" i="5"/>
  <c r="U66" i="5"/>
  <c r="U67" i="5"/>
  <c r="X60" i="5"/>
  <c r="X88" i="5"/>
  <c r="E5" i="12"/>
  <c r="T28" i="5"/>
  <c r="U28" i="5"/>
  <c r="T29" i="5"/>
  <c r="U29" i="5"/>
  <c r="X89" i="5"/>
  <c r="X61" i="5"/>
  <c r="X90" i="5"/>
  <c r="X62" i="5"/>
  <c r="P236" i="5"/>
  <c r="Q236" i="5"/>
  <c r="R236" i="5"/>
  <c r="S236" i="5"/>
  <c r="T236" i="5"/>
  <c r="U236" i="5"/>
  <c r="U34" i="5" a="1"/>
  <c r="U34" i="5"/>
  <c r="T82" i="5"/>
  <c r="U32" i="5" a="1"/>
  <c r="U32" i="5"/>
  <c r="U33" i="5"/>
  <c r="T83" i="5"/>
  <c r="T84" i="5"/>
  <c r="T85" i="5"/>
  <c r="T86" i="5"/>
  <c r="T91" i="5"/>
  <c r="T98" i="5"/>
  <c r="T99" i="5"/>
  <c r="T100" i="5"/>
  <c r="T101" i="5"/>
  <c r="T106" i="5"/>
  <c r="T112" i="5"/>
  <c r="T113" i="5"/>
  <c r="T114" i="5"/>
  <c r="T115" i="5"/>
  <c r="T116" i="5"/>
  <c r="T120" i="5"/>
  <c r="T126" i="5"/>
  <c r="T127" i="5"/>
  <c r="T128" i="5"/>
  <c r="T129" i="5"/>
  <c r="T130" i="5"/>
  <c r="T134" i="5"/>
  <c r="T140" i="5"/>
  <c r="T141" i="5"/>
  <c r="T142" i="5"/>
  <c r="T143" i="5"/>
  <c r="T144" i="5"/>
  <c r="T148" i="5"/>
  <c r="T149" i="5"/>
  <c r="T152" i="5"/>
  <c r="V39" i="22"/>
  <c r="R82" i="5"/>
  <c r="R83" i="5"/>
  <c r="R84" i="5"/>
  <c r="R85" i="5"/>
  <c r="R86" i="5"/>
  <c r="R91" i="5"/>
  <c r="R97" i="5"/>
  <c r="R98" i="5"/>
  <c r="R99" i="5"/>
  <c r="R100" i="5"/>
  <c r="R101" i="5"/>
  <c r="R106" i="5"/>
  <c r="R112" i="5"/>
  <c r="R113" i="5"/>
  <c r="R114" i="5"/>
  <c r="R115" i="5"/>
  <c r="R116" i="5"/>
  <c r="R120" i="5"/>
  <c r="R126" i="5"/>
  <c r="R127" i="5"/>
  <c r="R128" i="5"/>
  <c r="R129" i="5"/>
  <c r="R130" i="5"/>
  <c r="R134" i="5"/>
  <c r="R140" i="5"/>
  <c r="R141" i="5"/>
  <c r="R142" i="5"/>
  <c r="R143" i="5"/>
  <c r="R144" i="5"/>
  <c r="R148" i="5"/>
  <c r="R149" i="5"/>
  <c r="R152" i="5"/>
  <c r="T39" i="22"/>
  <c r="Q82" i="5"/>
  <c r="Q83" i="5"/>
  <c r="Q84" i="5"/>
  <c r="Q85" i="5"/>
  <c r="Q86" i="5"/>
  <c r="Q91" i="5"/>
  <c r="Q97" i="5"/>
  <c r="Q98" i="5"/>
  <c r="Q99" i="5"/>
  <c r="Q100" i="5"/>
  <c r="Q101" i="5"/>
  <c r="Q106" i="5"/>
  <c r="Q112" i="5"/>
  <c r="Q113" i="5"/>
  <c r="Q114" i="5"/>
  <c r="Q115" i="5"/>
  <c r="Q116" i="5"/>
  <c r="Q120" i="5"/>
  <c r="Q126" i="5"/>
  <c r="Q127" i="5"/>
  <c r="Q128" i="5"/>
  <c r="Q129" i="5"/>
  <c r="Q130" i="5"/>
  <c r="Q134" i="5"/>
  <c r="Q140" i="5"/>
  <c r="Q141" i="5"/>
  <c r="Q142" i="5"/>
  <c r="Q143" i="5"/>
  <c r="Q144" i="5"/>
  <c r="Q148" i="5"/>
  <c r="Q149" i="5"/>
  <c r="Q152" i="5"/>
  <c r="R39" i="22"/>
  <c r="S82" i="5"/>
  <c r="S83" i="5"/>
  <c r="S84" i="5"/>
  <c r="S85" i="5"/>
  <c r="S86" i="5"/>
  <c r="S91" i="5"/>
  <c r="S97" i="5"/>
  <c r="S98" i="5"/>
  <c r="S99" i="5"/>
  <c r="S100" i="5"/>
  <c r="S101" i="5"/>
  <c r="S106" i="5"/>
  <c r="S112" i="5"/>
  <c r="S113" i="5"/>
  <c r="S114" i="5"/>
  <c r="S115" i="5"/>
  <c r="S116" i="5"/>
  <c r="S120" i="5"/>
  <c r="S126" i="5"/>
  <c r="S127" i="5"/>
  <c r="S128" i="5"/>
  <c r="S129" i="5"/>
  <c r="S130" i="5"/>
  <c r="S134" i="5"/>
  <c r="S140" i="5"/>
  <c r="S141" i="5"/>
  <c r="S142" i="5"/>
  <c r="S143" i="5"/>
  <c r="S144" i="5"/>
  <c r="S148" i="5"/>
  <c r="S149" i="5"/>
  <c r="S152" i="5"/>
  <c r="U39" i="22"/>
  <c r="U82" i="5"/>
  <c r="U83" i="5"/>
  <c r="U84" i="5"/>
  <c r="U85" i="5"/>
  <c r="U86" i="5"/>
  <c r="U91" i="5"/>
  <c r="U98" i="5"/>
  <c r="U99" i="5"/>
  <c r="U100" i="5"/>
  <c r="U101" i="5"/>
  <c r="U106" i="5"/>
  <c r="U113" i="5"/>
  <c r="U114" i="5"/>
  <c r="U115" i="5"/>
  <c r="U116" i="5"/>
  <c r="U120" i="5"/>
  <c r="U127" i="5"/>
  <c r="U128" i="5"/>
  <c r="U129" i="5"/>
  <c r="U130" i="5"/>
  <c r="U134" i="5"/>
  <c r="U141" i="5"/>
  <c r="U142" i="5"/>
  <c r="U143" i="5"/>
  <c r="U144" i="5"/>
  <c r="U148" i="5"/>
  <c r="U149" i="5"/>
  <c r="U152" i="5"/>
  <c r="X39" i="22"/>
  <c r="M40" i="22"/>
  <c r="M39" i="22"/>
  <c r="M38" i="22"/>
  <c r="M37" i="22"/>
  <c r="M36" i="22"/>
  <c r="M31" i="22"/>
  <c r="M30" i="22"/>
  <c r="M32" i="22"/>
  <c r="M33" i="22"/>
  <c r="M26" i="22"/>
  <c r="M25" i="22"/>
  <c r="M24" i="22"/>
  <c r="M23" i="22"/>
  <c r="M22" i="22"/>
  <c r="M19" i="22"/>
  <c r="M18" i="22"/>
  <c r="M17" i="22"/>
  <c r="M16" i="22"/>
  <c r="M15" i="22"/>
  <c r="M12" i="22"/>
  <c r="M11" i="22"/>
  <c r="M10" i="22"/>
  <c r="M9" i="22"/>
  <c r="M8" i="22"/>
  <c r="M80" i="22"/>
  <c r="M79" i="22"/>
  <c r="M78" i="22"/>
  <c r="M77" i="22"/>
  <c r="M76" i="22"/>
  <c r="U135" i="5"/>
  <c r="M73" i="22"/>
  <c r="T135" i="5"/>
  <c r="M72" i="22"/>
  <c r="S135" i="5"/>
  <c r="M71" i="22"/>
  <c r="R135" i="5"/>
  <c r="M70" i="22"/>
  <c r="Q135" i="5"/>
  <c r="M69" i="22"/>
  <c r="U121" i="5"/>
  <c r="M66" i="22"/>
  <c r="T121" i="5"/>
  <c r="M65" i="22"/>
  <c r="S121" i="5"/>
  <c r="M64" i="22"/>
  <c r="R121" i="5"/>
  <c r="M63" i="22"/>
  <c r="Q121" i="5"/>
  <c r="M62" i="22"/>
  <c r="U107" i="5"/>
  <c r="M59" i="22"/>
  <c r="T107" i="5"/>
  <c r="M58" i="22"/>
  <c r="S107" i="5"/>
  <c r="M57" i="22"/>
  <c r="R107" i="5"/>
  <c r="M56" i="22"/>
  <c r="Q107" i="5"/>
  <c r="M55" i="22"/>
  <c r="R92" i="5"/>
  <c r="M52" i="22"/>
  <c r="T92" i="5"/>
  <c r="M51" i="22"/>
  <c r="S92" i="5"/>
  <c r="M50" i="22"/>
  <c r="M49" i="22"/>
  <c r="Q92" i="5"/>
  <c r="M48" i="22"/>
  <c r="R15" i="22"/>
  <c r="S15" i="22"/>
  <c r="T15" i="22"/>
  <c r="U15" i="22"/>
  <c r="U92" i="5"/>
  <c r="V15" i="22"/>
  <c r="R16" i="22"/>
  <c r="S16" i="22"/>
  <c r="T16" i="22"/>
  <c r="U16" i="22"/>
  <c r="V16" i="22"/>
  <c r="R17" i="22"/>
  <c r="S17" i="22"/>
  <c r="T17" i="22"/>
  <c r="U17" i="22"/>
  <c r="V17" i="22"/>
  <c r="R18" i="22"/>
  <c r="S18" i="22"/>
  <c r="T18" i="22"/>
  <c r="U18" i="22"/>
  <c r="V18" i="22"/>
  <c r="R19" i="22"/>
  <c r="S19" i="22"/>
  <c r="T19" i="22"/>
  <c r="U19" i="22"/>
  <c r="V19" i="22"/>
  <c r="AC86" i="5"/>
  <c r="AA86" i="5"/>
  <c r="AB86" i="5"/>
  <c r="AC58" i="5"/>
  <c r="AD86" i="5"/>
  <c r="AA87" i="5"/>
  <c r="AB58" i="5"/>
  <c r="Z86" i="5"/>
  <c r="AD58" i="5"/>
  <c r="AB87" i="5"/>
  <c r="AA58" i="5"/>
  <c r="Z87" i="5"/>
  <c r="Z58" i="5"/>
  <c r="AB59" i="5"/>
  <c r="AD87" i="5"/>
  <c r="AC87" i="5"/>
  <c r="AA59" i="5"/>
  <c r="AD59" i="5"/>
  <c r="AB88" i="5"/>
  <c r="AC59" i="5"/>
  <c r="AA88" i="5"/>
  <c r="Z59" i="5"/>
  <c r="Z88" i="5"/>
  <c r="AC88" i="5"/>
  <c r="AD88" i="5"/>
  <c r="AB89" i="5"/>
  <c r="AA89" i="5"/>
  <c r="S153" i="5"/>
  <c r="AB60" i="5"/>
  <c r="AA60" i="5"/>
  <c r="R153" i="5"/>
  <c r="Z60" i="5"/>
  <c r="AB61" i="5"/>
  <c r="AA61" i="5"/>
  <c r="AC89" i="5"/>
  <c r="Z89" i="5"/>
  <c r="U153" i="5"/>
  <c r="AD60" i="5"/>
  <c r="AD89" i="5"/>
  <c r="T153" i="5"/>
  <c r="AC60" i="5"/>
  <c r="Q153" i="5"/>
  <c r="Z61" i="5"/>
  <c r="AB90" i="5"/>
  <c r="AD61" i="5"/>
  <c r="AC61" i="5"/>
  <c r="AA90" i="5"/>
  <c r="AB62" i="5"/>
  <c r="AA62" i="5"/>
  <c r="AD90" i="5"/>
  <c r="Z90" i="5"/>
  <c r="AC90" i="5"/>
  <c r="AD62" i="5"/>
  <c r="AC62" i="5"/>
  <c r="E2" i="12"/>
  <c r="Z62" i="5"/>
  <c r="S59" i="22"/>
  <c r="T59" i="22"/>
  <c r="U59" i="22"/>
  <c r="V59" i="22"/>
  <c r="W59" i="22"/>
  <c r="S60" i="22"/>
  <c r="T60" i="22"/>
  <c r="U60" i="22"/>
  <c r="V60" i="22"/>
  <c r="W60" i="22"/>
  <c r="S61" i="22"/>
  <c r="T61" i="22"/>
  <c r="U61" i="22"/>
  <c r="V61" i="22"/>
  <c r="W61" i="22"/>
  <c r="S62" i="22"/>
  <c r="T62" i="22"/>
  <c r="U62" i="22"/>
  <c r="V62" i="22"/>
  <c r="W62" i="22"/>
  <c r="S63" i="22"/>
  <c r="T63" i="22"/>
  <c r="W63" i="22"/>
  <c r="V63" i="22"/>
  <c r="U63" i="22"/>
  <c r="P83" i="5"/>
  <c r="P84" i="5"/>
  <c r="P85" i="5"/>
  <c r="P86" i="5"/>
  <c r="P91" i="5"/>
  <c r="P97" i="5"/>
  <c r="P98" i="5"/>
  <c r="P99" i="5"/>
  <c r="P100" i="5"/>
  <c r="P101" i="5"/>
  <c r="P106" i="5"/>
  <c r="P112" i="5"/>
  <c r="P113" i="5"/>
  <c r="P114" i="5"/>
  <c r="P115" i="5"/>
  <c r="P116" i="5"/>
  <c r="P120" i="5"/>
  <c r="P126" i="5"/>
  <c r="P127" i="5"/>
  <c r="P128" i="5"/>
  <c r="P129" i="5"/>
  <c r="P130" i="5"/>
  <c r="P134" i="5"/>
  <c r="P140" i="5"/>
  <c r="P141" i="5"/>
  <c r="P142" i="5"/>
  <c r="P143" i="5"/>
  <c r="P144" i="5"/>
  <c r="P148" i="5"/>
  <c r="P149" i="5"/>
  <c r="P152" i="5"/>
  <c r="Q39" i="22"/>
  <c r="M28" i="22"/>
  <c r="M35" i="22"/>
  <c r="M21" i="22"/>
  <c r="M14" i="22"/>
  <c r="M7" i="22"/>
  <c r="M75" i="22"/>
  <c r="P135" i="5"/>
  <c r="M68" i="22"/>
  <c r="P121" i="5"/>
  <c r="M61" i="22"/>
  <c r="P107" i="5"/>
  <c r="M54" i="22"/>
  <c r="P92" i="5"/>
  <c r="M47" i="22"/>
  <c r="U39" i="5"/>
  <c r="R63" i="22"/>
  <c r="R62" i="22"/>
  <c r="R61" i="22"/>
  <c r="R60" i="22"/>
  <c r="R59" i="22"/>
  <c r="W58" i="22"/>
  <c r="V58" i="22"/>
  <c r="U58" i="22"/>
  <c r="T58" i="22"/>
  <c r="S58" i="22"/>
  <c r="R58" i="22"/>
  <c r="Y62" i="5"/>
  <c r="Y90" i="5"/>
  <c r="Y61" i="5"/>
  <c r="P153" i="5"/>
  <c r="Y60" i="5"/>
  <c r="Y89" i="5"/>
  <c r="Y88" i="5"/>
  <c r="Y59" i="5"/>
  <c r="Y87" i="5"/>
  <c r="Y58" i="5"/>
  <c r="AC85" i="5"/>
  <c r="Y86" i="5"/>
  <c r="Z85" i="5"/>
  <c r="AB85" i="5"/>
  <c r="AD85" i="5"/>
  <c r="AA85" i="5"/>
  <c r="Q19" i="22"/>
  <c r="Q18" i="22"/>
  <c r="Q17" i="22"/>
  <c r="Q16" i="22"/>
  <c r="Q15" i="22"/>
  <c r="Y85" i="5"/>
  <c r="U40" i="5"/>
  <c r="M29" i="22"/>
</calcChain>
</file>

<file path=xl/comments1.xml><?xml version="1.0" encoding="utf-8"?>
<comments xmlns="http://schemas.openxmlformats.org/spreadsheetml/2006/main">
  <authors>
    <author>wtravis</author>
    <author>Jeffrey E. Tranel</author>
  </authors>
  <commentList>
    <comment ref="AA16" authorId="0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I changed the calculaiton of months of drought to halve the feed days</t>
        </r>
      </text>
    </comment>
    <comment ref="C26" authorId="1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</commentList>
</comments>
</file>

<file path=xl/sharedStrings.xml><?xml version="1.0" encoding="utf-8"?>
<sst xmlns="http://schemas.openxmlformats.org/spreadsheetml/2006/main" count="592" uniqueCount="313">
  <si>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</si>
  <si>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</si>
  <si>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</si>
  <si>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</si>
  <si>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</si>
  <si>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</si>
  <si>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</si>
  <si>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</si>
  <si>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</si>
  <si>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</si>
  <si>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</si>
  <si>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</si>
  <si>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</si>
  <si>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</si>
  <si>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</si>
  <si>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</si>
  <si>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</si>
  <si>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</si>
  <si>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</si>
  <si>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</si>
  <si>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</si>
  <si>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</si>
  <si>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</si>
  <si>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</si>
  <si>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</si>
  <si>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</si>
  <si>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</si>
  <si>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</si>
  <si>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</si>
  <si>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</si>
  <si>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</si>
  <si>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</si>
  <si>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</si>
  <si>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</si>
  <si>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</si>
  <si>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</si>
  <si>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</si>
  <si>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</si>
  <si>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</si>
  <si>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</si>
  <si>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</si>
  <si>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</si>
  <si>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</si>
  <si>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</si>
  <si>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</si>
  <si>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</si>
  <si>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</si>
  <si>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</si>
  <si>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</si>
  <si>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</si>
  <si>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</si>
  <si>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</si>
  <si>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</si>
  <si>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</si>
  <si>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</si>
  <si>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</si>
  <si>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</si>
  <si>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</si>
  <si>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</si>
  <si>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</si>
  <si>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</si>
  <si>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</si>
  <si>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</si>
  <si>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</si>
  <si>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</si>
  <si>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</si>
  <si>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</si>
  <si>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</si>
  <si>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</si>
  <si>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</si>
  <si>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</si>
  <si>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</si>
  <si>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</si>
  <si>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</si>
  <si>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</si>
  <si>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</si>
  <si>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</si>
  <si>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</si>
  <si>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</si>
  <si>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</si>
  <si>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</si>
  <si>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</si>
  <si>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</si>
  <si>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</si>
  <si>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</si>
  <si>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</si>
  <si>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</si>
  <si>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</si>
  <si>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</si>
  <si>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</si>
  <si>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</si>
  <si>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</si>
  <si>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</si>
  <si>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</si>
  <si>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</si>
  <si>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</si>
  <si>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</si>
  <si>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</si>
  <si>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</si>
  <si>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</si>
  <si>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</si>
  <si>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</si>
  <si>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</si>
  <si>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</si>
  <si>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</si>
  <si>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</si>
  <si>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</si>
  <si>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</si>
  <si>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</si>
  <si>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</si>
  <si>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</si>
  <si>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</si>
  <si>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</si>
  <si>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</si>
  <si>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</si>
  <si>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</si>
  <si>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</si>
  <si>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</si>
  <si>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</si>
  <si>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</si>
  <si>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</si>
  <si>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</si>
  <si>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</si>
  <si>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</si>
  <si>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</si>
  <si>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</si>
  <si>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</si>
  <si>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</si>
  <si>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</si>
  <si>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</si>
  <si>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</si>
  <si>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</si>
  <si>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</si>
  <si>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</si>
  <si>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</si>
  <si>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</si>
  <si>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</si>
  <si>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</si>
  <si>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</si>
  <si>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</si>
  <si>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</si>
  <si>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</si>
  <si>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</si>
  <si>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</si>
  <si>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</si>
  <si>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</si>
  <si>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</si>
  <si>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</si>
  <si>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</si>
  <si>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</si>
  <si>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</si>
  <si>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</si>
  <si>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</si>
  <si>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</si>
  <si>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</si>
  <si>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</si>
  <si>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</si>
  <si>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</si>
  <si>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</si>
  <si>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</si>
  <si>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</si>
  <si>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</si>
  <si>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</si>
  <si>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</si>
  <si>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</si>
  <si>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</si>
  <si>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</si>
  <si>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</si>
  <si>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</si>
  <si>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</si>
  <si>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</si>
  <si>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Sims</t>
  </si>
  <si>
    <t>Original values by Tranel et al.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</si>
  <si>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</si>
  <si>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</si>
  <si>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</si>
  <si>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</si>
  <si>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</si>
  <si>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</si>
  <si>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</si>
  <si>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</si>
  <si>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</si>
  <si>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</si>
  <si>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</si>
  <si>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</si>
  <si>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</si>
  <si>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</si>
  <si>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</si>
  <si>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</si>
  <si>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</si>
  <si>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</si>
  <si>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</si>
  <si>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</si>
  <si>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</si>
  <si>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</si>
  <si>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</si>
  <si>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</si>
  <si>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</si>
  <si>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</si>
  <si>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</si>
  <si>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</si>
  <si>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</si>
  <si>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</si>
  <si>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</si>
  <si>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</si>
  <si>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</si>
  <si>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</si>
  <si>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</si>
  <si>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</si>
  <si>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</si>
  <si>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</si>
  <si>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</si>
  <si>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</si>
  <si>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Simulations run with these 3-5 year prices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</si>
  <si>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</si>
  <si>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</si>
  <si>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</si>
  <si>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</si>
  <si>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</si>
  <si>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</si>
  <si>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</si>
  <si>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</si>
  <si>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</si>
  <si>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</si>
  <si>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</si>
  <si>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</si>
  <si>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</si>
  <si>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</si>
  <si>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</si>
  <si>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</si>
  <si>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</si>
  <si>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</si>
  <si>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</si>
  <si>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</si>
  <si>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</si>
  <si>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</si>
  <si>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</si>
  <si>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</si>
  <si>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</si>
  <si>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</si>
  <si>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</si>
  <si>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</si>
  <si>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</si>
  <si>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</si>
  <si>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</si>
  <si>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</si>
  <si>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</si>
  <si>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</si>
  <si>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START YEAR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</si>
  <si>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</si>
  <si>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</si>
  <si>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</si>
  <si>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</si>
  <si>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</si>
  <si>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</si>
  <si>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</si>
  <si>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</si>
  <si>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</si>
  <si>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</si>
  <si>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</si>
  <si>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</si>
  <si>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</si>
  <si>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</si>
  <si>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</si>
  <si>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Zone1</t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</si>
  <si>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</si>
  <si>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</si>
  <si>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4</t>
    </r>
  </si>
  <si>
    <t>Value1</t>
  </si>
  <si>
    <t>Interval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</si>
  <si>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</si>
  <si>
    <t>Drought Facts</t>
  </si>
  <si>
    <t>Herd Size</t>
  </si>
  <si>
    <t>Average Cow Weight</t>
  </si>
  <si>
    <t>Expected at Weaning (This Year)</t>
  </si>
  <si>
    <t>Expected at Weaning (Year 2)</t>
  </si>
  <si>
    <t>Expected at Weaning (Year2 3-5)</t>
  </si>
  <si>
    <t>Other Information</t>
  </si>
  <si>
    <t>Total Income Tax Rate (US &amp; State)</t>
  </si>
  <si>
    <t>Insurance</t>
  </si>
  <si>
    <t>Purchase Insurance (1=Yes, 2=No)</t>
  </si>
  <si>
    <t>Start Month (Decision)</t>
  </si>
  <si>
    <t>Drought No-Adaptation</t>
  </si>
  <si>
    <t>Buy Feed</t>
  </si>
  <si>
    <t>Sell Cows/Replace</t>
  </si>
  <si>
    <t>Sell Cows/Don't Replace</t>
  </si>
  <si>
    <t>No Insurance</t>
  </si>
  <si>
    <t>Year One</t>
  </si>
  <si>
    <t>Year Two</t>
  </si>
  <si>
    <t>Year Three</t>
  </si>
  <si>
    <t>Year Four</t>
  </si>
  <si>
    <t>Year Five</t>
  </si>
  <si>
    <t>Results (Annual Profit)</t>
  </si>
  <si>
    <t>Results (Year-End Net Worth)</t>
  </si>
  <si>
    <t>Change in Net Worth Over Five Years</t>
  </si>
  <si>
    <t>Inputs</t>
  </si>
  <si>
    <t>Sell Cows/Don’t Replace</t>
  </si>
  <si>
    <t>Loan Interest</t>
  </si>
  <si>
    <t>Prices Received (per pound)</t>
  </si>
  <si>
    <t>PRICES RECEIVED (PER POUND)</t>
  </si>
  <si>
    <t>No Drought</t>
  </si>
  <si>
    <t>Price of Hay ($/Ton)</t>
  </si>
  <si>
    <t>DROUGHT ACTION ENDS (in yr 1 or 2):</t>
  </si>
  <si>
    <t>End Decision Year</t>
  </si>
  <si>
    <t>Drought End Month</t>
  </si>
  <si>
    <t>Start Month (Drought)</t>
  </si>
  <si>
    <t>Predicted End Month (Drought)</t>
  </si>
  <si>
    <t>Predicted End Month (Decision)</t>
  </si>
  <si>
    <t>Full Year</t>
  </si>
  <si>
    <t>Calf wean weight Drought Factor</t>
  </si>
  <si>
    <t>Drought Wt</t>
  </si>
  <si>
    <t>One Year/One Drought Model</t>
  </si>
  <si>
    <t>Index values generated from "NOAAIndex.Rdata" using "CPER_NOAA.R".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</si>
</sst>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$&quot;#,##0_);[Red]\(&quot;$&quot;#,##0\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0_);[Red]\(0\)"/>
    <numFmt numFmtId="170" formatCode="0_);\(0\)"/>
    <numFmt numFmtId="171" formatCode="0.000"/>
    <numFmt numFmtId="172" formatCode="&quot;$&quot;#,##0.00"/>
    <numFmt numFmtId="173" formatCode="&quot;$&quot;#,##0"/>
    <numFmt numFmtId="174" formatCode="0.0"/>
    <numFmt numFmtId="175" formatCode="_(* #,##0_);_(* \(#,##0\);_(* &quot;-&quot;??_);_(@_)"/>
    <numFmt numFmtId="176" formatCode="_(&quot;$&quot;* #,##0_);_(&quot;$&quot;* \(#,##0\);_(&quot;$&quot;* &quot;-&quot;??_);_(@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rgb="FFFF800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168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3" borderId="14" applyNumberFormat="0" applyAlignment="0" applyProtection="0"/>
    <xf numFmtId="0" fontId="7" fillId="14" borderId="15" applyNumberFormat="0" applyFont="0" applyAlignment="0" applyProtection="0"/>
    <xf numFmtId="0" fontId="25" fillId="15" borderId="16" applyNumberFormat="0" applyAlignment="0" applyProtection="0"/>
    <xf numFmtId="0" fontId="6" fillId="0" borderId="0"/>
    <xf numFmtId="0" fontId="7" fillId="0" borderId="0"/>
    <xf numFmtId="16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7" borderId="17" applyNumberFormat="0" applyAlignment="0" applyProtection="0"/>
    <xf numFmtId="0" fontId="29" fillId="15" borderId="14" applyNumberFormat="0" applyAlignment="0" applyProtection="0"/>
    <xf numFmtId="0" fontId="30" fillId="0" borderId="18" applyNumberFormat="0" applyFill="0" applyAlignment="0" applyProtection="0"/>
    <xf numFmtId="0" fontId="34" fillId="21" borderId="0" applyNumberFormat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91">
    <xf numFmtId="0" fontId="0" fillId="0" borderId="0" xfId="0"/>
    <xf numFmtId="38" fontId="12" fillId="2" borderId="1" xfId="0" applyNumberFormat="1" applyFont="1" applyFill="1" applyBorder="1" applyAlignment="1" applyProtection="1">
      <alignment horizontal="right"/>
      <protection locked="0"/>
    </xf>
    <xf numFmtId="164" fontId="12" fillId="2" borderId="1" xfId="0" applyNumberFormat="1" applyFont="1" applyFill="1" applyBorder="1" applyAlignment="1" applyProtection="1">
      <alignment horizontal="right"/>
      <protection locked="0"/>
    </xf>
    <xf numFmtId="10" fontId="12" fillId="2" borderId="1" xfId="3" applyNumberFormat="1" applyFont="1" applyFill="1" applyBorder="1" applyAlignment="1" applyProtection="1">
      <alignment horizontal="right"/>
      <protection locked="0"/>
    </xf>
    <xf numFmtId="9" fontId="12" fillId="2" borderId="1" xfId="3" applyNumberFormat="1" applyFont="1" applyFill="1" applyBorder="1" applyAlignment="1" applyProtection="1">
      <alignment horizontal="right"/>
      <protection locked="0"/>
    </xf>
    <xf numFmtId="40" fontId="12" fillId="4" borderId="1" xfId="0" applyNumberFormat="1" applyFont="1" applyFill="1" applyBorder="1" applyAlignment="1" applyProtection="1">
      <alignment horizontal="center"/>
      <protection locked="0"/>
    </xf>
    <xf numFmtId="164" fontId="12" fillId="4" borderId="1" xfId="0" applyNumberFormat="1" applyFont="1" applyFill="1" applyBorder="1" applyAlignment="1" applyProtection="1">
      <alignment horizontal="center"/>
      <protection locked="0"/>
    </xf>
    <xf numFmtId="38" fontId="9" fillId="3" borderId="0" xfId="0" applyNumberFormat="1" applyFont="1" applyFill="1" applyBorder="1" applyAlignment="1" applyProtection="1">
      <alignment horizontal="center"/>
    </xf>
    <xf numFmtId="38" fontId="9" fillId="3" borderId="2" xfId="0" applyNumberFormat="1" applyFont="1" applyFill="1" applyBorder="1" applyAlignment="1" applyProtection="1">
      <alignment horizontal="center"/>
    </xf>
    <xf numFmtId="166" fontId="12" fillId="4" borderId="1" xfId="0" applyNumberFormat="1" applyFont="1" applyFill="1" applyBorder="1" applyProtection="1">
      <protection locked="0"/>
    </xf>
    <xf numFmtId="165" fontId="12" fillId="4" borderId="1" xfId="2" applyNumberFormat="1" applyFont="1" applyFill="1" applyBorder="1" applyProtection="1">
      <protection locked="0"/>
    </xf>
    <xf numFmtId="164" fontId="12" fillId="4" borderId="1" xfId="2" applyNumberFormat="1" applyFont="1" applyFill="1" applyBorder="1" applyProtection="1">
      <protection locked="0"/>
    </xf>
    <xf numFmtId="164" fontId="12" fillId="4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40" fontId="9" fillId="3" borderId="3" xfId="0" applyNumberFormat="1" applyFont="1" applyFill="1" applyBorder="1" applyProtection="1"/>
    <xf numFmtId="40" fontId="9" fillId="3" borderId="10" xfId="0" applyNumberFormat="1" applyFont="1" applyFill="1" applyBorder="1" applyProtection="1"/>
    <xf numFmtId="0" fontId="0" fillId="5" borderId="3" xfId="0" applyFill="1" applyBorder="1" applyProtection="1"/>
    <xf numFmtId="0" fontId="9" fillId="5" borderId="0" xfId="0" applyFont="1" applyFill="1" applyBorder="1" applyProtection="1"/>
    <xf numFmtId="0" fontId="9" fillId="5" borderId="11" xfId="0" applyFont="1" applyFill="1" applyBorder="1" applyProtection="1"/>
    <xf numFmtId="0" fontId="9" fillId="6" borderId="0" xfId="0" applyFont="1" applyFill="1" applyBorder="1" applyProtection="1"/>
    <xf numFmtId="40" fontId="9" fillId="6" borderId="0" xfId="0" applyNumberFormat="1" applyFont="1" applyFill="1" applyBorder="1" applyProtection="1"/>
    <xf numFmtId="40" fontId="9" fillId="6" borderId="11" xfId="0" applyNumberFormat="1" applyFont="1" applyFill="1" applyBorder="1" applyProtection="1"/>
    <xf numFmtId="0" fontId="9" fillId="7" borderId="0" xfId="0" applyFont="1" applyFill="1" applyBorder="1" applyAlignment="1" applyProtection="1">
      <alignment horizontal="left"/>
    </xf>
    <xf numFmtId="38" fontId="9" fillId="7" borderId="0" xfId="0" applyNumberFormat="1" applyFont="1" applyFill="1" applyBorder="1" applyAlignment="1" applyProtection="1">
      <alignment horizontal="right"/>
    </xf>
    <xf numFmtId="38" fontId="9" fillId="7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40" fontId="9" fillId="3" borderId="4" xfId="0" applyNumberFormat="1" applyFont="1" applyFill="1" applyBorder="1" applyProtection="1"/>
    <xf numFmtId="40" fontId="9" fillId="3" borderId="0" xfId="0" applyNumberFormat="1" applyFont="1" applyFill="1" applyBorder="1" applyProtection="1"/>
    <xf numFmtId="0" fontId="0" fillId="6" borderId="4" xfId="0" applyFill="1" applyBorder="1" applyProtection="1"/>
    <xf numFmtId="0" fontId="0" fillId="6" borderId="0" xfId="0" applyFill="1" applyBorder="1" applyProtection="1"/>
    <xf numFmtId="0" fontId="0" fillId="6" borderId="2" xfId="0" applyFill="1" applyBorder="1" applyProtection="1"/>
    <xf numFmtId="40" fontId="9" fillId="3" borderId="0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center"/>
    </xf>
    <xf numFmtId="165" fontId="12" fillId="4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5" borderId="4" xfId="0" applyFont="1" applyFill="1" applyBorder="1" applyAlignment="1" applyProtection="1">
      <alignment horizontal="left"/>
    </xf>
    <xf numFmtId="0" fontId="9" fillId="5" borderId="0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6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3" borderId="5" xfId="0" applyNumberFormat="1" applyFont="1" applyFill="1" applyBorder="1" applyAlignment="1" applyProtection="1">
      <alignment horizontal="center"/>
    </xf>
    <xf numFmtId="40" fontId="9" fillId="3" borderId="9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left" indent="1"/>
    </xf>
    <xf numFmtId="40" fontId="9" fillId="6" borderId="4" xfId="0" applyNumberFormat="1" applyFont="1" applyFill="1" applyBorder="1" applyAlignment="1" applyProtection="1"/>
    <xf numFmtId="40" fontId="9" fillId="6" borderId="0" xfId="0" applyNumberFormat="1" applyFont="1" applyFill="1" applyBorder="1" applyAlignment="1" applyProtection="1">
      <alignment wrapText="1"/>
    </xf>
    <xf numFmtId="40" fontId="9" fillId="6" borderId="0" xfId="0" applyNumberFormat="1" applyFont="1" applyFill="1" applyBorder="1" applyAlignment="1" applyProtection="1"/>
    <xf numFmtId="0" fontId="0" fillId="7" borderId="3" xfId="0" applyFill="1" applyBorder="1"/>
    <xf numFmtId="0" fontId="0" fillId="7" borderId="7" xfId="0" applyFill="1" applyBorder="1"/>
    <xf numFmtId="0" fontId="0" fillId="7" borderId="10" xfId="0" applyFill="1" applyBorder="1"/>
    <xf numFmtId="0" fontId="9" fillId="7" borderId="2" xfId="0" applyFont="1" applyFill="1" applyBorder="1" applyAlignment="1" applyProtection="1">
      <alignment horizontal="left"/>
    </xf>
    <xf numFmtId="38" fontId="9" fillId="7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0" fontId="9" fillId="3" borderId="4" xfId="0" applyFont="1" applyFill="1" applyBorder="1" applyAlignment="1" applyProtection="1">
      <alignment horizontal="center"/>
    </xf>
    <xf numFmtId="40" fontId="11" fillId="0" borderId="0" xfId="0" applyNumberFormat="1" applyFont="1" applyFill="1" applyBorder="1" applyAlignment="1" applyProtection="1">
      <alignment horizontal="left"/>
    </xf>
    <xf numFmtId="0" fontId="9" fillId="3" borderId="12" xfId="0" applyFont="1" applyFill="1" applyBorder="1" applyAlignment="1" applyProtection="1">
      <alignment horizontal="center"/>
    </xf>
    <xf numFmtId="40" fontId="9" fillId="5" borderId="0" xfId="2" applyNumberFormat="1" applyFont="1" applyFill="1" applyBorder="1" applyAlignment="1" applyProtection="1"/>
    <xf numFmtId="40" fontId="9" fillId="5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3" borderId="4" xfId="0" applyFill="1" applyBorder="1" applyProtection="1"/>
    <xf numFmtId="0" fontId="0" fillId="3" borderId="0" xfId="0" applyFill="1" applyBorder="1" applyProtection="1"/>
    <xf numFmtId="0" fontId="0" fillId="3" borderId="0" xfId="0" applyFill="1" applyProtection="1"/>
    <xf numFmtId="0" fontId="0" fillId="3" borderId="12" xfId="0" applyFill="1" applyBorder="1" applyAlignment="1" applyProtection="1">
      <alignment horizontal="right"/>
    </xf>
    <xf numFmtId="40" fontId="9" fillId="3" borderId="0" xfId="0" applyNumberFormat="1" applyFont="1" applyFill="1" applyBorder="1" applyAlignment="1" applyProtection="1">
      <alignment horizontal="left" indent="1"/>
    </xf>
    <xf numFmtId="0" fontId="0" fillId="3" borderId="2" xfId="0" applyFill="1" applyBorder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5" borderId="2" xfId="0" applyFill="1" applyBorder="1" applyProtection="1"/>
    <xf numFmtId="0" fontId="0" fillId="6" borderId="3" xfId="0" applyFill="1" applyBorder="1" applyProtection="1"/>
    <xf numFmtId="0" fontId="0" fillId="6" borderId="12" xfId="0" applyFill="1" applyBorder="1" applyProtection="1"/>
    <xf numFmtId="0" fontId="0" fillId="6" borderId="12" xfId="0" applyFill="1" applyBorder="1" applyAlignment="1" applyProtection="1">
      <alignment horizontal="right"/>
    </xf>
    <xf numFmtId="0" fontId="0" fillId="8" borderId="0" xfId="0" applyFill="1" applyBorder="1" applyProtection="1"/>
    <xf numFmtId="38" fontId="9" fillId="8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8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10" borderId="0" xfId="0" applyFill="1" applyBorder="1" applyProtection="1"/>
    <xf numFmtId="0" fontId="9" fillId="0" borderId="0" xfId="0" applyFont="1" applyAlignment="1" applyProtection="1">
      <alignment horizontal="right"/>
    </xf>
    <xf numFmtId="169" fontId="0" fillId="0" borderId="0" xfId="0" applyNumberFormat="1"/>
    <xf numFmtId="170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11" fillId="12" borderId="2" xfId="0" applyFont="1" applyFill="1" applyBorder="1" applyProtection="1"/>
    <xf numFmtId="38" fontId="11" fillId="12" borderId="2" xfId="1" applyNumberFormat="1" applyFont="1" applyFill="1" applyBorder="1" applyAlignment="1" applyProtection="1">
      <alignment horizontal="right"/>
    </xf>
    <xf numFmtId="0" fontId="0" fillId="7" borderId="4" xfId="0" applyFill="1" applyBorder="1"/>
    <xf numFmtId="0" fontId="9" fillId="7" borderId="7" xfId="0" applyFont="1" applyFill="1" applyBorder="1" applyAlignment="1" applyProtection="1">
      <alignment horizontal="left"/>
    </xf>
    <xf numFmtId="0" fontId="0" fillId="7" borderId="0" xfId="0" applyFill="1" applyBorder="1"/>
    <xf numFmtId="0" fontId="9" fillId="7" borderId="10" xfId="0" applyFont="1" applyFill="1" applyBorder="1" applyAlignment="1" applyProtection="1">
      <alignment horizontal="left"/>
    </xf>
    <xf numFmtId="0" fontId="0" fillId="7" borderId="2" xfId="0" applyFill="1" applyBorder="1"/>
    <xf numFmtId="164" fontId="0" fillId="7" borderId="2" xfId="0" applyNumberFormat="1" applyFill="1" applyBorder="1"/>
    <xf numFmtId="164" fontId="0" fillId="7" borderId="5" xfId="0" applyNumberFormat="1" applyFill="1" applyBorder="1"/>
    <xf numFmtId="164" fontId="0" fillId="7" borderId="8" xfId="0" applyNumberFormat="1" applyFill="1" applyBorder="1"/>
    <xf numFmtId="164" fontId="0" fillId="7" borderId="9" xfId="0" applyNumberFormat="1" applyFill="1" applyBorder="1"/>
    <xf numFmtId="0" fontId="0" fillId="7" borderId="9" xfId="0" applyFill="1" applyBorder="1"/>
    <xf numFmtId="0" fontId="0" fillId="7" borderId="7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38" fontId="0" fillId="7" borderId="9" xfId="0" applyNumberFormat="1" applyFill="1" applyBorder="1"/>
    <xf numFmtId="0" fontId="0" fillId="7" borderId="7" xfId="0" applyFill="1" applyBorder="1" applyAlignment="1"/>
    <xf numFmtId="0" fontId="0" fillId="7" borderId="0" xfId="0" applyFill="1" applyBorder="1" applyAlignment="1">
      <alignment wrapText="1"/>
    </xf>
    <xf numFmtId="0" fontId="0" fillId="7" borderId="10" xfId="0" applyFill="1" applyBorder="1" applyAlignment="1"/>
    <xf numFmtId="38" fontId="0" fillId="7" borderId="8" xfId="0" applyNumberFormat="1" applyFill="1" applyBorder="1"/>
    <xf numFmtId="38" fontId="0" fillId="7" borderId="4" xfId="0" applyNumberFormat="1" applyFill="1" applyBorder="1"/>
    <xf numFmtId="0" fontId="0" fillId="7" borderId="5" xfId="0" applyFill="1" applyBorder="1"/>
    <xf numFmtId="38" fontId="0" fillId="7" borderId="0" xfId="0" applyNumberFormat="1" applyFill="1" applyBorder="1"/>
    <xf numFmtId="164" fontId="0" fillId="7" borderId="0" xfId="0" applyNumberFormat="1" applyFill="1" applyBorder="1"/>
    <xf numFmtId="0" fontId="0" fillId="7" borderId="8" xfId="0" applyFill="1" applyBorder="1"/>
    <xf numFmtId="169" fontId="0" fillId="7" borderId="2" xfId="0" applyNumberFormat="1" applyFill="1" applyBorder="1"/>
    <xf numFmtId="0" fontId="9" fillId="5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6" borderId="11" xfId="0" applyFont="1" applyFill="1" applyBorder="1" applyProtection="1"/>
    <xf numFmtId="0" fontId="16" fillId="11" borderId="0" xfId="0" applyFont="1" applyFill="1" applyBorder="1" applyProtection="1"/>
    <xf numFmtId="40" fontId="16" fillId="11" borderId="0" xfId="0" applyNumberFormat="1" applyFont="1" applyFill="1" applyBorder="1" applyProtection="1"/>
    <xf numFmtId="0" fontId="16" fillId="11" borderId="2" xfId="0" applyFont="1" applyFill="1" applyBorder="1" applyProtection="1"/>
    <xf numFmtId="40" fontId="16" fillId="11" borderId="2" xfId="0" applyNumberFormat="1" applyFont="1" applyFill="1" applyBorder="1" applyProtection="1"/>
    <xf numFmtId="40" fontId="18" fillId="0" borderId="0" xfId="0" applyNumberFormat="1" applyFont="1" applyFill="1" applyBorder="1" applyAlignment="1" applyProtection="1">
      <alignment vertical="center" wrapText="1"/>
    </xf>
    <xf numFmtId="0" fontId="19" fillId="5" borderId="4" xfId="0" applyFont="1" applyFill="1" applyBorder="1" applyProtection="1"/>
    <xf numFmtId="0" fontId="19" fillId="5" borderId="2" xfId="0" applyFont="1" applyFill="1" applyBorder="1" applyProtection="1"/>
    <xf numFmtId="170" fontId="0" fillId="0" borderId="0" xfId="0" applyNumberFormat="1" applyProtection="1"/>
    <xf numFmtId="38" fontId="0" fillId="0" borderId="0" xfId="0" applyNumberFormat="1"/>
    <xf numFmtId="170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7" borderId="0" xfId="0" applyFill="1" applyBorder="1" applyAlignment="1"/>
    <xf numFmtId="0" fontId="0" fillId="7" borderId="2" xfId="0" applyFill="1" applyBorder="1" applyAlignment="1"/>
    <xf numFmtId="0" fontId="0" fillId="0" borderId="0" xfId="0" applyFill="1" applyBorder="1" applyAlignment="1"/>
    <xf numFmtId="0" fontId="0" fillId="14" borderId="15" xfId="6" applyFont="1"/>
    <xf numFmtId="38" fontId="21" fillId="13" borderId="14" xfId="5" applyNumberFormat="1" applyAlignment="1" applyProtection="1">
      <alignment horizontal="right"/>
      <protection locked="0"/>
    </xf>
    <xf numFmtId="169" fontId="21" fillId="13" borderId="14" xfId="5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169" fontId="21" fillId="13" borderId="14" xfId="5" applyNumberFormat="1" applyAlignment="1" applyProtection="1">
      <alignment horizontal="right"/>
    </xf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5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5" borderId="1" xfId="8" applyFill="1" applyBorder="1" applyAlignment="1">
      <alignment horizontal="right"/>
    </xf>
    <xf numFmtId="171" fontId="6" fillId="0" borderId="0" xfId="8" applyNumberFormat="1"/>
    <xf numFmtId="172" fontId="6" fillId="0" borderId="0" xfId="8" applyNumberFormat="1"/>
    <xf numFmtId="0" fontId="6" fillId="0" borderId="0" xfId="8" applyAlignment="1">
      <alignment horizontal="center"/>
    </xf>
    <xf numFmtId="173" fontId="6" fillId="0" borderId="0" xfId="8" applyNumberFormat="1"/>
    <xf numFmtId="9" fontId="25" fillId="15" borderId="16" xfId="7" applyNumberFormat="1" applyAlignment="1" applyProtection="1">
      <alignment horizontal="right"/>
    </xf>
    <xf numFmtId="1" fontId="12" fillId="2" borderId="1" xfId="3" applyNumberFormat="1" applyFont="1" applyFill="1" applyBorder="1" applyAlignment="1" applyProtection="1">
      <alignment horizontal="right"/>
      <protection locked="0"/>
    </xf>
    <xf numFmtId="0" fontId="9" fillId="18" borderId="4" xfId="0" applyFont="1" applyFill="1" applyBorder="1" applyAlignment="1" applyProtection="1">
      <alignment horizontal="left"/>
    </xf>
    <xf numFmtId="0" fontId="0" fillId="18" borderId="4" xfId="0" applyFill="1" applyBorder="1" applyProtection="1"/>
    <xf numFmtId="0" fontId="9" fillId="18" borderId="0" xfId="0" applyFont="1" applyFill="1" applyBorder="1" applyAlignment="1" applyProtection="1">
      <alignment horizontal="left"/>
    </xf>
    <xf numFmtId="0" fontId="0" fillId="18" borderId="0" xfId="0" applyFill="1" applyBorder="1" applyProtection="1"/>
    <xf numFmtId="0" fontId="9" fillId="18" borderId="2" xfId="0" applyFont="1" applyFill="1" applyBorder="1" applyAlignment="1" applyProtection="1">
      <alignment horizontal="left"/>
    </xf>
    <xf numFmtId="0" fontId="0" fillId="18" borderId="2" xfId="0" applyFill="1" applyBorder="1" applyProtection="1"/>
    <xf numFmtId="164" fontId="12" fillId="18" borderId="1" xfId="2" applyNumberFormat="1" applyFont="1" applyFill="1" applyBorder="1" applyProtection="1">
      <protection locked="0"/>
    </xf>
    <xf numFmtId="0" fontId="19" fillId="18" borderId="4" xfId="0" applyFont="1" applyFill="1" applyBorder="1" applyProtection="1"/>
    <xf numFmtId="0" fontId="19" fillId="18" borderId="2" xfId="0" applyFont="1" applyFill="1" applyBorder="1" applyProtection="1"/>
    <xf numFmtId="0" fontId="9" fillId="19" borderId="4" xfId="0" applyFont="1" applyFill="1" applyBorder="1" applyAlignment="1"/>
    <xf numFmtId="0" fontId="9" fillId="19" borderId="0" xfId="0" applyFont="1" applyFill="1" applyBorder="1" applyAlignment="1">
      <alignment horizontal="left" indent="1"/>
    </xf>
    <xf numFmtId="0" fontId="0" fillId="19" borderId="0" xfId="0" applyFont="1" applyFill="1" applyBorder="1"/>
    <xf numFmtId="0" fontId="0" fillId="19" borderId="9" xfId="0" applyFont="1" applyFill="1" applyBorder="1"/>
    <xf numFmtId="0" fontId="9" fillId="19" borderId="0" xfId="0" applyFont="1" applyFill="1" applyBorder="1"/>
    <xf numFmtId="0" fontId="9" fillId="19" borderId="2" xfId="0" applyFont="1" applyFill="1" applyBorder="1" applyAlignment="1">
      <alignment horizontal="left" indent="1"/>
    </xf>
    <xf numFmtId="0" fontId="0" fillId="19" borderId="2" xfId="0" applyFont="1" applyFill="1" applyBorder="1"/>
    <xf numFmtId="0" fontId="9" fillId="19" borderId="13" xfId="0" applyFont="1" applyFill="1" applyBorder="1" applyAlignment="1">
      <alignment horizontal="left" indent="1"/>
    </xf>
    <xf numFmtId="0" fontId="0" fillId="19" borderId="13" xfId="0" applyFont="1" applyFill="1" applyBorder="1"/>
    <xf numFmtId="0" fontId="9" fillId="19" borderId="5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left" indent="1"/>
    </xf>
    <xf numFmtId="173" fontId="9" fillId="19" borderId="13" xfId="0" applyNumberFormat="1" applyFont="1" applyFill="1" applyBorder="1" applyAlignment="1">
      <alignment horizontal="left" indent="1"/>
    </xf>
    <xf numFmtId="173" fontId="9" fillId="19" borderId="0" xfId="0" applyNumberFormat="1" applyFont="1" applyFill="1" applyBorder="1" applyAlignment="1">
      <alignment horizontal="left" indent="1"/>
    </xf>
    <xf numFmtId="173" fontId="0" fillId="19" borderId="0" xfId="0" applyNumberFormat="1" applyFont="1" applyFill="1" applyBorder="1" applyAlignment="1">
      <alignment horizontal="left" indent="1"/>
    </xf>
    <xf numFmtId="173" fontId="0" fillId="19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9" borderId="13" xfId="3" applyFont="1" applyFill="1" applyBorder="1" applyAlignment="1">
      <alignment horizontal="left" indent="1"/>
    </xf>
    <xf numFmtId="9" fontId="9" fillId="19" borderId="0" xfId="3" applyFont="1" applyFill="1" applyBorder="1" applyAlignment="1">
      <alignment horizontal="left" indent="1"/>
    </xf>
    <xf numFmtId="9" fontId="9" fillId="19" borderId="0" xfId="3" applyFont="1" applyFill="1" applyBorder="1"/>
    <xf numFmtId="9" fontId="0" fillId="19" borderId="0" xfId="3" applyFont="1" applyFill="1" applyBorder="1"/>
    <xf numFmtId="9" fontId="0" fillId="19" borderId="2" xfId="3" applyFont="1" applyFill="1" applyBorder="1"/>
    <xf numFmtId="1" fontId="0" fillId="19" borderId="9" xfId="0" applyNumberFormat="1" applyFont="1" applyFill="1" applyBorder="1"/>
    <xf numFmtId="1" fontId="0" fillId="19" borderId="8" xfId="0" applyNumberFormat="1" applyFont="1" applyFill="1" applyBorder="1"/>
    <xf numFmtId="9" fontId="12" fillId="4" borderId="1" xfId="3" applyFont="1" applyFill="1" applyBorder="1" applyProtection="1">
      <protection locked="0"/>
    </xf>
    <xf numFmtId="167" fontId="12" fillId="18" borderId="1" xfId="2" applyFont="1" applyFill="1" applyBorder="1" applyAlignment="1" applyProtection="1">
      <alignment horizontal="right"/>
      <protection locked="0"/>
    </xf>
    <xf numFmtId="165" fontId="5" fillId="18" borderId="1" xfId="2" applyNumberFormat="1" applyFont="1" applyFill="1" applyBorder="1" applyProtection="1">
      <protection locked="0"/>
    </xf>
    <xf numFmtId="166" fontId="5" fillId="18" borderId="1" xfId="0" applyNumberFormat="1" applyFont="1" applyFill="1" applyBorder="1" applyProtection="1">
      <protection locked="0"/>
    </xf>
    <xf numFmtId="40" fontId="9" fillId="20" borderId="0" xfId="2" applyNumberFormat="1" applyFont="1" applyFill="1" applyBorder="1" applyAlignment="1" applyProtection="1"/>
    <xf numFmtId="0" fontId="4" fillId="0" borderId="0" xfId="8" applyFont="1"/>
    <xf numFmtId="0" fontId="21" fillId="13" borderId="14" xfId="5"/>
    <xf numFmtId="1" fontId="6" fillId="0" borderId="0" xfId="8" applyNumberFormat="1"/>
    <xf numFmtId="2" fontId="33" fillId="0" borderId="0" xfId="0" applyNumberFormat="1" applyFont="1" applyAlignment="1">
      <alignment vertical="top" wrapText="1"/>
    </xf>
    <xf numFmtId="0" fontId="9" fillId="19" borderId="0" xfId="0" applyFont="1" applyFill="1" applyBorder="1" applyAlignment="1">
      <alignment horizontal="left" wrapText="1"/>
    </xf>
    <xf numFmtId="0" fontId="9" fillId="19" borderId="0" xfId="0" applyFont="1" applyFill="1" applyBorder="1" applyAlignment="1">
      <alignment wrapText="1"/>
    </xf>
    <xf numFmtId="0" fontId="0" fillId="19" borderId="0" xfId="0" applyFont="1" applyFill="1" applyBorder="1" applyAlignment="1">
      <alignment wrapText="1"/>
    </xf>
    <xf numFmtId="0" fontId="3" fillId="0" borderId="0" xfId="16"/>
    <xf numFmtId="0" fontId="34" fillId="21" borderId="4" xfId="15" applyBorder="1" applyAlignment="1">
      <alignment horizontal="center"/>
    </xf>
    <xf numFmtId="174" fontId="9" fillId="19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5" borderId="20" xfId="0" applyFill="1" applyBorder="1" applyAlignment="1" applyProtection="1">
      <alignment horizontal="right"/>
    </xf>
    <xf numFmtId="38" fontId="9" fillId="5" borderId="9" xfId="0" applyNumberFormat="1" applyFont="1" applyFill="1" applyBorder="1" applyAlignment="1" applyProtection="1">
      <alignment horizontal="right"/>
    </xf>
    <xf numFmtId="38" fontId="9" fillId="5" borderId="9" xfId="1" applyNumberFormat="1" applyFont="1" applyFill="1" applyBorder="1" applyAlignment="1" applyProtection="1">
      <alignment horizontal="right"/>
    </xf>
    <xf numFmtId="0" fontId="9" fillId="20" borderId="0" xfId="0" applyFont="1" applyFill="1" applyBorder="1" applyProtection="1"/>
    <xf numFmtId="0" fontId="0" fillId="20" borderId="0" xfId="0" applyFill="1" applyBorder="1" applyProtection="1"/>
    <xf numFmtId="38" fontId="0" fillId="20" borderId="9" xfId="0" applyNumberFormat="1" applyFill="1" applyBorder="1" applyProtection="1"/>
    <xf numFmtId="38" fontId="9" fillId="5" borderId="21" xfId="1" applyNumberFormat="1" applyFont="1" applyFill="1" applyBorder="1" applyAlignment="1" applyProtection="1">
      <alignment horizontal="right"/>
    </xf>
    <xf numFmtId="38" fontId="11" fillId="12" borderId="8" xfId="1" applyNumberFormat="1" applyFont="1" applyFill="1" applyBorder="1" applyAlignment="1" applyProtection="1">
      <alignment horizontal="right"/>
    </xf>
    <xf numFmtId="0" fontId="0" fillId="6" borderId="20" xfId="0" applyFill="1" applyBorder="1" applyAlignment="1" applyProtection="1">
      <alignment horizontal="right"/>
    </xf>
    <xf numFmtId="38" fontId="9" fillId="6" borderId="9" xfId="2" applyNumberFormat="1" applyFont="1" applyFill="1" applyBorder="1" applyProtection="1"/>
    <xf numFmtId="38" fontId="9" fillId="6" borderId="9" xfId="0" applyNumberFormat="1" applyFont="1" applyFill="1" applyBorder="1" applyProtection="1"/>
    <xf numFmtId="38" fontId="9" fillId="6" borderId="21" xfId="0" applyNumberFormat="1" applyFont="1" applyFill="1" applyBorder="1" applyProtection="1"/>
    <xf numFmtId="38" fontId="16" fillId="11" borderId="9" xfId="0" applyNumberFormat="1" applyFont="1" applyFill="1" applyBorder="1" applyProtection="1"/>
    <xf numFmtId="38" fontId="16" fillId="11" borderId="8" xfId="0" applyNumberFormat="1" applyFont="1" applyFill="1" applyBorder="1" applyProtection="1"/>
    <xf numFmtId="165" fontId="19" fillId="18" borderId="8" xfId="0" applyNumberFormat="1" applyFont="1" applyFill="1" applyBorder="1" applyProtection="1"/>
    <xf numFmtId="167" fontId="19" fillId="18" borderId="8" xfId="2" applyFont="1" applyFill="1" applyBorder="1" applyProtection="1"/>
    <xf numFmtId="0" fontId="0" fillId="3" borderId="20" xfId="0" applyFill="1" applyBorder="1" applyAlignment="1" applyProtection="1">
      <alignment horizontal="right"/>
    </xf>
    <xf numFmtId="40" fontId="29" fillId="15" borderId="14" xfId="13" applyNumberFormat="1" applyBorder="1" applyProtection="1"/>
    <xf numFmtId="38" fontId="29" fillId="15" borderId="22" xfId="13" applyNumberFormat="1" applyBorder="1" applyProtection="1"/>
    <xf numFmtId="40" fontId="29" fillId="15" borderId="23" xfId="13" applyNumberFormat="1" applyBorder="1" applyProtection="1"/>
    <xf numFmtId="38" fontId="29" fillId="15" borderId="24" xfId="13" applyNumberFormat="1" applyBorder="1" applyProtection="1"/>
    <xf numFmtId="38" fontId="21" fillId="13" borderId="25" xfId="5" applyNumberFormat="1" applyBorder="1" applyAlignment="1" applyProtection="1">
      <alignment horizontal="right"/>
      <protection locked="0"/>
    </xf>
    <xf numFmtId="38" fontId="21" fillId="13" borderId="26" xfId="5" applyNumberFormat="1" applyBorder="1" applyAlignment="1" applyProtection="1">
      <alignment horizontal="right"/>
      <protection locked="0"/>
    </xf>
    <xf numFmtId="169" fontId="21" fillId="13" borderId="27" xfId="5" applyNumberFormat="1" applyBorder="1" applyAlignment="1" applyProtection="1">
      <alignment horizontal="right"/>
      <protection locked="0"/>
    </xf>
    <xf numFmtId="169" fontId="21" fillId="13" borderId="26" xfId="5" applyNumberFormat="1" applyBorder="1" applyAlignment="1" applyProtection="1">
      <alignment horizontal="right"/>
      <protection locked="0"/>
    </xf>
    <xf numFmtId="0" fontId="0" fillId="8" borderId="4" xfId="0" applyFill="1" applyBorder="1" applyProtection="1"/>
    <xf numFmtId="38" fontId="9" fillId="8" borderId="9" xfId="0" applyNumberFormat="1" applyFont="1" applyFill="1" applyBorder="1" applyProtection="1"/>
    <xf numFmtId="40" fontId="11" fillId="9" borderId="2" xfId="0" applyNumberFormat="1" applyFont="1" applyFill="1" applyBorder="1" applyAlignment="1" applyProtection="1">
      <alignment horizontal="left"/>
    </xf>
    <xf numFmtId="0" fontId="0" fillId="9" borderId="2" xfId="0" applyFill="1" applyBorder="1" applyProtection="1"/>
    <xf numFmtId="38" fontId="11" fillId="9" borderId="2" xfId="0" applyNumberFormat="1" applyFont="1" applyFill="1" applyBorder="1" applyProtection="1"/>
    <xf numFmtId="38" fontId="11" fillId="9" borderId="8" xfId="0" applyNumberFormat="1" applyFont="1" applyFill="1" applyBorder="1" applyProtection="1"/>
    <xf numFmtId="38" fontId="9" fillId="8" borderId="9" xfId="0" applyNumberFormat="1" applyFont="1" applyFill="1" applyBorder="1" applyAlignment="1" applyProtection="1"/>
    <xf numFmtId="0" fontId="36" fillId="0" borderId="0" xfId="8" applyFont="1" applyFill="1"/>
    <xf numFmtId="0" fontId="4" fillId="16" borderId="28" xfId="8" applyFont="1" applyFill="1" applyBorder="1"/>
    <xf numFmtId="0" fontId="17" fillId="7" borderId="4" xfId="0" applyFont="1" applyFill="1" applyBorder="1" applyAlignment="1">
      <alignment horizontal="right"/>
    </xf>
    <xf numFmtId="169" fontId="17" fillId="7" borderId="5" xfId="0" applyNumberFormat="1" applyFont="1" applyFill="1" applyBorder="1" applyAlignment="1">
      <alignment horizontal="right"/>
    </xf>
    <xf numFmtId="169" fontId="0" fillId="7" borderId="7" xfId="0" applyNumberFormat="1" applyFill="1" applyBorder="1"/>
    <xf numFmtId="169" fontId="0" fillId="7" borderId="0" xfId="0" applyNumberFormat="1" applyFill="1" applyBorder="1"/>
    <xf numFmtId="169" fontId="0" fillId="7" borderId="9" xfId="0" applyNumberFormat="1" applyFill="1" applyBorder="1"/>
    <xf numFmtId="169" fontId="0" fillId="7" borderId="10" xfId="0" applyNumberFormat="1" applyFill="1" applyBorder="1"/>
    <xf numFmtId="169" fontId="0" fillId="7" borderId="8" xfId="0" applyNumberFormat="1" applyFill="1" applyBorder="1"/>
    <xf numFmtId="0" fontId="0" fillId="7" borderId="29" xfId="0" applyFill="1" applyBorder="1"/>
    <xf numFmtId="0" fontId="0" fillId="7" borderId="6" xfId="0" applyFill="1" applyBorder="1"/>
    <xf numFmtId="38" fontId="0" fillId="7" borderId="6" xfId="0" applyNumberFormat="1" applyFill="1" applyBorder="1"/>
    <xf numFmtId="0" fontId="0" fillId="7" borderId="19" xfId="0" applyFill="1" applyBorder="1"/>
    <xf numFmtId="40" fontId="9" fillId="3" borderId="7" xfId="0" applyNumberFormat="1" applyFont="1" applyFill="1" applyBorder="1" applyAlignment="1" applyProtection="1">
      <alignment horizontal="left" indent="1"/>
    </xf>
    <xf numFmtId="40" fontId="9" fillId="3" borderId="10" xfId="0" applyNumberFormat="1" applyFont="1" applyFill="1" applyBorder="1" applyAlignment="1" applyProtection="1">
      <alignment horizontal="left" indent="1"/>
    </xf>
    <xf numFmtId="0" fontId="9" fillId="18" borderId="3" xfId="0" applyFont="1" applyFill="1" applyBorder="1" applyAlignment="1" applyProtection="1">
      <alignment horizontal="left"/>
    </xf>
    <xf numFmtId="0" fontId="9" fillId="18" borderId="7" xfId="0" applyFont="1" applyFill="1" applyBorder="1" applyAlignment="1" applyProtection="1">
      <alignment horizontal="left"/>
    </xf>
    <xf numFmtId="0" fontId="9" fillId="18" borderId="10" xfId="0" applyFont="1" applyFill="1" applyBorder="1" applyAlignment="1" applyProtection="1">
      <alignment horizontal="left"/>
    </xf>
    <xf numFmtId="0" fontId="14" fillId="18" borderId="3" xfId="0" applyFont="1" applyFill="1" applyBorder="1" applyAlignment="1" applyProtection="1">
      <alignment horizontal="left"/>
    </xf>
    <xf numFmtId="0" fontId="14" fillId="18" borderId="10" xfId="0" applyFont="1" applyFill="1" applyBorder="1" applyAlignment="1" applyProtection="1">
      <alignment horizontal="left"/>
    </xf>
    <xf numFmtId="0" fontId="9" fillId="5" borderId="3" xfId="0" applyFont="1" applyFill="1" applyBorder="1" applyAlignment="1" applyProtection="1">
      <alignment horizontal="left"/>
    </xf>
    <xf numFmtId="0" fontId="9" fillId="5" borderId="7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left"/>
    </xf>
    <xf numFmtId="0" fontId="14" fillId="5" borderId="3" xfId="0" applyFont="1" applyFill="1" applyBorder="1" applyAlignment="1" applyProtection="1">
      <alignment horizontal="left"/>
    </xf>
    <xf numFmtId="0" fontId="14" fillId="5" borderId="10" xfId="0" applyFont="1" applyFill="1" applyBorder="1" applyAlignment="1" applyProtection="1">
      <alignment horizontal="left"/>
    </xf>
    <xf numFmtId="40" fontId="9" fillId="6" borderId="3" xfId="0" applyNumberFormat="1" applyFont="1" applyFill="1" applyBorder="1" applyAlignment="1" applyProtection="1"/>
    <xf numFmtId="40" fontId="9" fillId="6" borderId="7" xfId="0" applyNumberFormat="1" applyFont="1" applyFill="1" applyBorder="1" applyAlignment="1" applyProtection="1"/>
    <xf numFmtId="40" fontId="9" fillId="6" borderId="7" xfId="0" applyNumberFormat="1" applyFont="1" applyFill="1" applyBorder="1" applyProtection="1"/>
    <xf numFmtId="0" fontId="9" fillId="6" borderId="10" xfId="0" applyFont="1" applyFill="1" applyBorder="1" applyAlignment="1" applyProtection="1">
      <alignment horizontal="left"/>
    </xf>
    <xf numFmtId="169" fontId="19" fillId="5" borderId="5" xfId="0" applyNumberFormat="1" applyFont="1" applyFill="1" applyBorder="1" applyProtection="1"/>
    <xf numFmtId="169" fontId="19" fillId="5" borderId="8" xfId="0" applyNumberFormat="1" applyFont="1" applyFill="1" applyBorder="1" applyProtection="1"/>
    <xf numFmtId="169" fontId="19" fillId="18" borderId="5" xfId="0" applyNumberFormat="1" applyFont="1" applyFill="1" applyBorder="1" applyProtection="1"/>
    <xf numFmtId="169" fontId="19" fillId="18" borderId="8" xfId="0" applyNumberFormat="1" applyFont="1" applyFill="1" applyBorder="1" applyProtection="1"/>
    <xf numFmtId="40" fontId="29" fillId="15" borderId="22" xfId="13" applyNumberFormat="1" applyBorder="1" applyProtection="1"/>
    <xf numFmtId="38" fontId="9" fillId="8" borderId="4" xfId="0" applyNumberFormat="1" applyFont="1" applyFill="1" applyBorder="1" applyProtection="1"/>
    <xf numFmtId="38" fontId="9" fillId="8" borderId="5" xfId="0" applyNumberFormat="1" applyFont="1" applyFill="1" applyBorder="1" applyProtection="1"/>
    <xf numFmtId="0" fontId="0" fillId="8" borderId="5" xfId="0" applyFill="1" applyBorder="1" applyProtection="1"/>
    <xf numFmtId="0" fontId="11" fillId="8" borderId="30" xfId="0" applyFont="1" applyFill="1" applyBorder="1" applyAlignment="1" applyProtection="1">
      <alignment horizontal="left"/>
    </xf>
    <xf numFmtId="0" fontId="9" fillId="8" borderId="7" xfId="0" applyFont="1" applyFill="1" applyBorder="1" applyAlignment="1" applyProtection="1">
      <alignment horizontal="left" indent="1"/>
    </xf>
    <xf numFmtId="0" fontId="11" fillId="9" borderId="10" xfId="0" applyFont="1" applyFill="1" applyBorder="1" applyAlignment="1" applyProtection="1">
      <alignment horizontal="left" indent="1"/>
    </xf>
    <xf numFmtId="38" fontId="9" fillId="8" borderId="7" xfId="0" applyNumberFormat="1" applyFont="1" applyFill="1" applyBorder="1" applyAlignment="1" applyProtection="1">
      <alignment horizontal="left" wrapText="1" indent="1"/>
    </xf>
    <xf numFmtId="38" fontId="9" fillId="8" borderId="7" xfId="0" applyNumberFormat="1" applyFont="1" applyFill="1" applyBorder="1" applyAlignment="1" applyProtection="1">
      <alignment horizontal="left" indent="1"/>
    </xf>
    <xf numFmtId="38" fontId="11" fillId="9" borderId="2" xfId="0" applyNumberFormat="1" applyFont="1" applyFill="1" applyBorder="1" applyAlignment="1" applyProtection="1"/>
    <xf numFmtId="38" fontId="11" fillId="9" borderId="8" xfId="0" applyNumberFormat="1" applyFont="1" applyFill="1" applyBorder="1" applyAlignment="1" applyProtection="1"/>
    <xf numFmtId="38" fontId="9" fillId="8" borderId="4" xfId="0" applyNumberFormat="1" applyFont="1" applyFill="1" applyBorder="1" applyAlignment="1" applyProtection="1"/>
    <xf numFmtId="38" fontId="9" fillId="8" borderId="5" xfId="0" applyNumberFormat="1" applyFont="1" applyFill="1" applyBorder="1" applyAlignment="1" applyProtection="1"/>
    <xf numFmtId="0" fontId="9" fillId="10" borderId="7" xfId="0" applyFont="1" applyFill="1" applyBorder="1" applyAlignment="1" applyProtection="1">
      <alignment horizontal="left" indent="1"/>
    </xf>
    <xf numFmtId="0" fontId="9" fillId="10" borderId="10" xfId="0" applyFont="1" applyFill="1" applyBorder="1" applyAlignment="1" applyProtection="1">
      <alignment horizontal="left" indent="1"/>
    </xf>
    <xf numFmtId="0" fontId="0" fillId="10" borderId="2" xfId="0" applyFill="1" applyBorder="1" applyProtection="1"/>
    <xf numFmtId="0" fontId="11" fillId="10" borderId="3" xfId="0" applyFont="1" applyFill="1" applyBorder="1" applyProtection="1"/>
    <xf numFmtId="0" fontId="0" fillId="10" borderId="4" xfId="0" applyFill="1" applyBorder="1" applyProtection="1"/>
    <xf numFmtId="0" fontId="0" fillId="10" borderId="5" xfId="0" applyFill="1" applyBorder="1" applyProtection="1"/>
    <xf numFmtId="40" fontId="9" fillId="10" borderId="2" xfId="0" applyNumberFormat="1" applyFont="1" applyFill="1" applyBorder="1" applyProtection="1"/>
    <xf numFmtId="40" fontId="9" fillId="10" borderId="8" xfId="0" applyNumberFormat="1" applyFont="1" applyFill="1" applyBorder="1" applyProtection="1"/>
    <xf numFmtId="38" fontId="9" fillId="10" borderId="4" xfId="0" applyNumberFormat="1" applyFont="1" applyFill="1" applyBorder="1" applyProtection="1"/>
    <xf numFmtId="38" fontId="9" fillId="10" borderId="5" xfId="0" applyNumberFormat="1" applyFont="1" applyFill="1" applyBorder="1" applyProtection="1"/>
    <xf numFmtId="0" fontId="9" fillId="3" borderId="3" xfId="0" applyFont="1" applyFill="1" applyBorder="1" applyAlignment="1" applyProtection="1">
      <alignment horizontal="center"/>
    </xf>
    <xf numFmtId="0" fontId="9" fillId="3" borderId="31" xfId="0" applyFont="1" applyFill="1" applyBorder="1" applyAlignment="1" applyProtection="1">
      <alignment horizontal="center"/>
    </xf>
    <xf numFmtId="38" fontId="30" fillId="3" borderId="32" xfId="14" applyNumberFormat="1" applyFill="1" applyBorder="1" applyAlignment="1" applyProtection="1">
      <alignment horizontal="center"/>
    </xf>
    <xf numFmtId="38" fontId="29" fillId="15" borderId="33" xfId="13" applyNumberFormat="1" applyBorder="1" applyAlignment="1" applyProtection="1">
      <alignment horizontal="center"/>
    </xf>
    <xf numFmtId="38" fontId="30" fillId="3" borderId="10" xfId="14" applyNumberFormat="1" applyFill="1" applyBorder="1" applyAlignment="1" applyProtection="1">
      <alignment horizontal="center"/>
    </xf>
    <xf numFmtId="0" fontId="0" fillId="5" borderId="31" xfId="0" applyFill="1" applyBorder="1" applyProtection="1"/>
    <xf numFmtId="0" fontId="9" fillId="20" borderId="7" xfId="0" applyFont="1" applyFill="1" applyBorder="1" applyProtection="1"/>
    <xf numFmtId="0" fontId="9" fillId="5" borderId="34" xfId="0" applyFont="1" applyFill="1" applyBorder="1" applyProtection="1"/>
    <xf numFmtId="0" fontId="11" fillId="12" borderId="10" xfId="0" applyFont="1" applyFill="1" applyBorder="1" applyProtection="1"/>
    <xf numFmtId="0" fontId="0" fillId="6" borderId="31" xfId="0" applyFill="1" applyBorder="1" applyProtection="1"/>
    <xf numFmtId="0" fontId="9" fillId="6" borderId="7" xfId="0" applyFont="1" applyFill="1" applyBorder="1" applyProtection="1"/>
    <xf numFmtId="0" fontId="9" fillId="6" borderId="34" xfId="0" applyFont="1" applyFill="1" applyBorder="1" applyProtection="1"/>
    <xf numFmtId="0" fontId="16" fillId="11" borderId="7" xfId="0" applyFont="1" applyFill="1" applyBorder="1" applyProtection="1"/>
    <xf numFmtId="0" fontId="16" fillId="11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4" borderId="35" xfId="6" applyFont="1" applyBorder="1" applyAlignment="1" applyProtection="1">
      <alignment horizontal="right" wrapText="1"/>
    </xf>
    <xf numFmtId="1" fontId="28" fillId="14" borderId="35" xfId="6" applyNumberFormat="1" applyFont="1" applyBorder="1" applyAlignment="1" applyProtection="1">
      <alignment horizontal="right" wrapText="1"/>
    </xf>
    <xf numFmtId="0" fontId="28" fillId="14" borderId="36" xfId="6" applyFont="1" applyBorder="1" applyAlignment="1" applyProtection="1">
      <alignment horizontal="right" wrapText="1"/>
    </xf>
    <xf numFmtId="0" fontId="28" fillId="14" borderId="29" xfId="6" applyFont="1" applyBorder="1" applyAlignment="1" applyProtection="1">
      <alignment wrapText="1"/>
    </xf>
    <xf numFmtId="0" fontId="28" fillId="14" borderId="6" xfId="6" applyFont="1" applyBorder="1" applyAlignment="1" applyProtection="1">
      <alignment wrapText="1"/>
    </xf>
    <xf numFmtId="0" fontId="28" fillId="14" borderId="37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9" borderId="3" xfId="0" applyFont="1" applyFill="1" applyBorder="1" applyAlignment="1">
      <alignment horizontal="center"/>
    </xf>
    <xf numFmtId="0" fontId="21" fillId="13" borderId="38" xfId="5" applyBorder="1" applyAlignment="1"/>
    <xf numFmtId="0" fontId="9" fillId="19" borderId="7" xfId="0" applyFont="1" applyFill="1" applyBorder="1" applyAlignment="1">
      <alignment horizontal="left" wrapText="1"/>
    </xf>
    <xf numFmtId="0" fontId="9" fillId="19" borderId="39" xfId="0" applyFont="1" applyFill="1" applyBorder="1" applyAlignment="1">
      <alignment horizontal="left" indent="1"/>
    </xf>
    <xf numFmtId="0" fontId="9" fillId="19" borderId="7" xfId="0" applyFont="1" applyFill="1" applyBorder="1" applyAlignment="1">
      <alignment horizontal="left" indent="1"/>
    </xf>
    <xf numFmtId="0" fontId="9" fillId="19" borderId="10" xfId="0" applyFont="1" applyFill="1" applyBorder="1" applyAlignment="1">
      <alignment horizontal="left" indent="1"/>
    </xf>
    <xf numFmtId="0" fontId="0" fillId="0" borderId="2" xfId="0" applyBorder="1"/>
    <xf numFmtId="174" fontId="9" fillId="19" borderId="40" xfId="0" applyNumberFormat="1" applyFont="1" applyFill="1" applyBorder="1" applyAlignment="1">
      <alignment horizontal="center"/>
    </xf>
    <xf numFmtId="0" fontId="20" fillId="0" borderId="0" xfId="0" applyFont="1"/>
    <xf numFmtId="9" fontId="20" fillId="0" borderId="0" xfId="0" applyNumberFormat="1" applyFont="1"/>
    <xf numFmtId="2" fontId="39" fillId="0" borderId="0" xfId="0" applyNumberFormat="1" applyFont="1"/>
    <xf numFmtId="2" fontId="39" fillId="0" borderId="0" xfId="0" applyNumberFormat="1" applyFont="1" applyAlignment="1">
      <alignment wrapText="1"/>
    </xf>
    <xf numFmtId="2" fontId="39" fillId="0" borderId="0" xfId="0" applyNumberFormat="1" applyFont="1" applyAlignment="1">
      <alignment horizontal="right" wrapText="1"/>
    </xf>
    <xf numFmtId="2" fontId="40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22" borderId="1" xfId="0" applyFill="1" applyBorder="1"/>
    <xf numFmtId="0" fontId="42" fillId="22" borderId="3" xfId="0" applyFont="1" applyFill="1" applyBorder="1"/>
    <xf numFmtId="0" fontId="0" fillId="22" borderId="4" xfId="0" applyFill="1" applyBorder="1"/>
    <xf numFmtId="0" fontId="0" fillId="22" borderId="5" xfId="0" applyFill="1" applyBorder="1"/>
    <xf numFmtId="0" fontId="0" fillId="22" borderId="7" xfId="0" applyFill="1" applyBorder="1"/>
    <xf numFmtId="0" fontId="0" fillId="22" borderId="0" xfId="0" applyFill="1" applyBorder="1"/>
    <xf numFmtId="0" fontId="0" fillId="22" borderId="9" xfId="0" applyFill="1" applyBorder="1"/>
    <xf numFmtId="0" fontId="0" fillId="22" borderId="10" xfId="0" applyFill="1" applyBorder="1"/>
    <xf numFmtId="0" fontId="0" fillId="22" borderId="2" xfId="0" applyFill="1" applyBorder="1"/>
    <xf numFmtId="0" fontId="42" fillId="22" borderId="7" xfId="0" applyFont="1" applyFill="1" applyBorder="1"/>
    <xf numFmtId="0" fontId="41" fillId="22" borderId="7" xfId="0" applyFont="1" applyFill="1" applyBorder="1"/>
    <xf numFmtId="0" fontId="42" fillId="23" borderId="3" xfId="0" applyFont="1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1" xfId="0" applyFill="1" applyBorder="1"/>
    <xf numFmtId="0" fontId="0" fillId="23" borderId="10" xfId="0" applyFill="1" applyBorder="1"/>
    <xf numFmtId="0" fontId="42" fillId="18" borderId="3" xfId="0" applyFont="1" applyFill="1" applyBorder="1"/>
    <xf numFmtId="0" fontId="0" fillId="18" borderId="4" xfId="0" applyFont="1" applyFill="1" applyBorder="1"/>
    <xf numFmtId="0" fontId="0" fillId="18" borderId="5" xfId="0" applyFont="1" applyFill="1" applyBorder="1"/>
    <xf numFmtId="0" fontId="0" fillId="18" borderId="7" xfId="0" applyFont="1" applyFill="1" applyBorder="1"/>
    <xf numFmtId="0" fontId="0" fillId="18" borderId="0" xfId="0" applyFont="1" applyFill="1" applyBorder="1"/>
    <xf numFmtId="0" fontId="0" fillId="18" borderId="9" xfId="0" applyFont="1" applyFill="1" applyBorder="1"/>
    <xf numFmtId="0" fontId="0" fillId="18" borderId="10" xfId="0" applyFont="1" applyFill="1" applyBorder="1"/>
    <xf numFmtId="0" fontId="0" fillId="18" borderId="2" xfId="0" applyFont="1" applyFill="1" applyBorder="1"/>
    <xf numFmtId="0" fontId="0" fillId="18" borderId="1" xfId="0" applyFont="1" applyFill="1" applyBorder="1"/>
    <xf numFmtId="0" fontId="0" fillId="23" borderId="0" xfId="0" applyFill="1" applyBorder="1"/>
    <xf numFmtId="0" fontId="0" fillId="23" borderId="4" xfId="0" applyFill="1" applyBorder="1"/>
    <xf numFmtId="0" fontId="0" fillId="23" borderId="2" xfId="0" applyFill="1" applyBorder="1"/>
    <xf numFmtId="3" fontId="0" fillId="22" borderId="1" xfId="0" applyNumberFormat="1" applyFill="1" applyBorder="1"/>
    <xf numFmtId="164" fontId="0" fillId="22" borderId="1" xfId="0" applyNumberFormat="1" applyFill="1" applyBorder="1"/>
    <xf numFmtId="9" fontId="0" fillId="22" borderId="1" xfId="0" applyNumberFormat="1" applyFill="1" applyBorder="1"/>
    <xf numFmtId="165" fontId="0" fillId="22" borderId="1" xfId="0" applyNumberFormat="1" applyFill="1" applyBorder="1"/>
    <xf numFmtId="10" fontId="0" fillId="22" borderId="1" xfId="0" applyNumberFormat="1" applyFill="1" applyBorder="1"/>
    <xf numFmtId="3" fontId="0" fillId="18" borderId="1" xfId="0" applyNumberFormat="1" applyFont="1" applyFill="1" applyBorder="1"/>
    <xf numFmtId="9" fontId="0" fillId="18" borderId="1" xfId="0" applyNumberFormat="1" applyFont="1" applyFill="1" applyBorder="1"/>
    <xf numFmtId="165" fontId="0" fillId="18" borderId="1" xfId="0" applyNumberFormat="1" applyFont="1" applyFill="1" applyBorder="1"/>
    <xf numFmtId="0" fontId="0" fillId="0" borderId="0" xfId="0" applyFill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0" xfId="0" applyFill="1" applyBorder="1"/>
    <xf numFmtId="0" fontId="0" fillId="24" borderId="9" xfId="0" applyFill="1" applyBorder="1"/>
    <xf numFmtId="0" fontId="41" fillId="24" borderId="7" xfId="0" applyFont="1" applyFill="1" applyBorder="1"/>
    <xf numFmtId="0" fontId="0" fillId="24" borderId="10" xfId="0" applyFill="1" applyBorder="1"/>
    <xf numFmtId="0" fontId="0" fillId="24" borderId="2" xfId="0" applyFill="1" applyBorder="1"/>
    <xf numFmtId="0" fontId="0" fillId="25" borderId="9" xfId="0" applyFont="1" applyFill="1" applyBorder="1"/>
    <xf numFmtId="0" fontId="0" fillId="5" borderId="9" xfId="0" applyFont="1" applyFill="1" applyBorder="1"/>
    <xf numFmtId="38" fontId="0" fillId="5" borderId="1" xfId="0" applyNumberFormat="1" applyFill="1" applyBorder="1"/>
    <xf numFmtId="38" fontId="0" fillId="25" borderId="19" xfId="0" applyNumberFormat="1" applyFill="1" applyBorder="1"/>
    <xf numFmtId="175" fontId="0" fillId="5" borderId="1" xfId="1" applyNumberFormat="1" applyFont="1" applyFill="1" applyBorder="1"/>
    <xf numFmtId="175" fontId="0" fillId="25" borderId="19" xfId="1" applyNumberFormat="1" applyFont="1" applyFill="1" applyBorder="1"/>
    <xf numFmtId="175" fontId="7" fillId="5" borderId="1" xfId="1" applyNumberFormat="1" applyFont="1" applyFill="1" applyBorder="1"/>
    <xf numFmtId="0" fontId="11" fillId="18" borderId="30" xfId="0" applyFont="1" applyFill="1" applyBorder="1" applyAlignment="1" applyProtection="1">
      <alignment horizontal="left"/>
    </xf>
    <xf numFmtId="0" fontId="0" fillId="18" borderId="5" xfId="0" applyFill="1" applyBorder="1" applyProtection="1"/>
    <xf numFmtId="0" fontId="9" fillId="18" borderId="7" xfId="0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Protection="1"/>
    <xf numFmtId="38" fontId="9" fillId="18" borderId="5" xfId="0" applyNumberFormat="1" applyFont="1" applyFill="1" applyBorder="1" applyProtection="1"/>
    <xf numFmtId="38" fontId="9" fillId="18" borderId="0" xfId="0" applyNumberFormat="1" applyFont="1" applyFill="1" applyBorder="1" applyProtection="1"/>
    <xf numFmtId="38" fontId="9" fillId="18" borderId="9" xfId="0" applyNumberFormat="1" applyFont="1" applyFill="1" applyBorder="1" applyProtection="1"/>
    <xf numFmtId="38" fontId="9" fillId="18" borderId="7" xfId="0" applyNumberFormat="1" applyFont="1" applyFill="1" applyBorder="1" applyAlignment="1" applyProtection="1">
      <alignment horizontal="left" wrapText="1" indent="1"/>
    </xf>
    <xf numFmtId="38" fontId="9" fillId="18" borderId="7" xfId="0" applyNumberFormat="1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Alignment="1" applyProtection="1"/>
    <xf numFmtId="38" fontId="9" fillId="18" borderId="5" xfId="0" applyNumberFormat="1" applyFont="1" applyFill="1" applyBorder="1" applyAlignment="1" applyProtection="1"/>
    <xf numFmtId="38" fontId="9" fillId="18" borderId="0" xfId="0" applyNumberFormat="1" applyFont="1" applyFill="1" applyBorder="1" applyAlignment="1" applyProtection="1"/>
    <xf numFmtId="38" fontId="9" fillId="18" borderId="9" xfId="0" applyNumberFormat="1" applyFont="1" applyFill="1" applyBorder="1" applyAlignment="1" applyProtection="1"/>
    <xf numFmtId="0" fontId="43" fillId="24" borderId="4" xfId="0" applyFont="1" applyFill="1" applyBorder="1"/>
    <xf numFmtId="0" fontId="44" fillId="24" borderId="4" xfId="0" applyFont="1" applyFill="1" applyBorder="1"/>
    <xf numFmtId="0" fontId="0" fillId="5" borderId="7" xfId="0" applyFill="1" applyBorder="1"/>
    <xf numFmtId="0" fontId="0" fillId="25" borderId="10" xfId="0" applyFill="1" applyBorder="1"/>
    <xf numFmtId="176" fontId="0" fillId="5" borderId="1" xfId="1" applyNumberFormat="1" applyFont="1" applyFill="1" applyBorder="1"/>
    <xf numFmtId="0" fontId="0" fillId="26" borderId="0" xfId="0" applyFill="1" applyBorder="1"/>
    <xf numFmtId="9" fontId="0" fillId="26" borderId="0" xfId="0" applyNumberFormat="1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9" xfId="0" applyFill="1" applyBorder="1"/>
    <xf numFmtId="3" fontId="0" fillId="26" borderId="9" xfId="0" applyNumberFormat="1" applyFill="1" applyBorder="1"/>
    <xf numFmtId="164" fontId="0" fillId="26" borderId="9" xfId="0" applyNumberFormat="1" applyFill="1" applyBorder="1"/>
    <xf numFmtId="9" fontId="0" fillId="26" borderId="9" xfId="0" applyNumberFormat="1" applyFill="1" applyBorder="1"/>
    <xf numFmtId="165" fontId="0" fillId="26" borderId="9" xfId="0" applyNumberFormat="1" applyFill="1" applyBorder="1"/>
    <xf numFmtId="10" fontId="0" fillId="26" borderId="9" xfId="0" applyNumberFormat="1" applyFill="1" applyBorder="1"/>
    <xf numFmtId="0" fontId="0" fillId="26" borderId="9" xfId="0" applyFont="1" applyFill="1" applyBorder="1"/>
    <xf numFmtId="3" fontId="0" fillId="26" borderId="9" xfId="0" applyNumberFormat="1" applyFont="1" applyFill="1" applyBorder="1"/>
    <xf numFmtId="9" fontId="0" fillId="26" borderId="9" xfId="0" applyNumberFormat="1" applyFont="1" applyFill="1" applyBorder="1"/>
    <xf numFmtId="165" fontId="0" fillId="26" borderId="9" xfId="0" applyNumberFormat="1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8" xfId="0" applyFill="1" applyBorder="1"/>
    <xf numFmtId="0" fontId="45" fillId="26" borderId="3" xfId="0" applyFont="1" applyFill="1" applyBorder="1"/>
    <xf numFmtId="175" fontId="7" fillId="25" borderId="19" xfId="1" applyNumberFormat="1" applyFont="1" applyFill="1" applyBorder="1"/>
    <xf numFmtId="176" fontId="0" fillId="5" borderId="29" xfId="1" applyNumberFormat="1" applyFont="1" applyFill="1" applyBorder="1" applyAlignment="1"/>
    <xf numFmtId="176" fontId="0" fillId="5" borderId="19" xfId="1" applyNumberFormat="1" applyFont="1" applyFill="1" applyBorder="1" applyAlignment="1"/>
    <xf numFmtId="176" fontId="0" fillId="5" borderId="29" xfId="0" applyNumberFormat="1" applyFill="1" applyBorder="1" applyAlignment="1"/>
    <xf numFmtId="176" fontId="0" fillId="5" borderId="19" xfId="0" applyNumberFormat="1" applyFill="1" applyBorder="1" applyAlignment="1"/>
    <xf numFmtId="176" fontId="0" fillId="25" borderId="1" xfId="1" applyNumberFormat="1" applyFont="1" applyFill="1" applyBorder="1"/>
    <xf numFmtId="176" fontId="0" fillId="25" borderId="29" xfId="0" applyNumberFormat="1" applyFill="1" applyBorder="1" applyAlignment="1"/>
    <xf numFmtId="176" fontId="0" fillId="25" borderId="19" xfId="0" applyNumberFormat="1" applyFill="1" applyBorder="1" applyAlignment="1"/>
    <xf numFmtId="176" fontId="0" fillId="25" borderId="1" xfId="0" applyNumberFormat="1" applyFill="1" applyBorder="1"/>
    <xf numFmtId="0" fontId="39" fillId="22" borderId="7" xfId="0" applyFont="1" applyFill="1" applyBorder="1"/>
    <xf numFmtId="172" fontId="0" fillId="22" borderId="1" xfId="0" applyNumberFormat="1" applyFill="1" applyBorder="1"/>
    <xf numFmtId="173" fontId="0" fillId="22" borderId="1" xfId="0" applyNumberFormat="1" applyFill="1" applyBorder="1"/>
    <xf numFmtId="0" fontId="9" fillId="0" borderId="0" xfId="8" applyFont="1"/>
    <xf numFmtId="0" fontId="14" fillId="0" borderId="0" xfId="0" applyFont="1" applyAlignment="1">
      <alignment wrapText="1"/>
    </xf>
    <xf numFmtId="1" fontId="21" fillId="13" borderId="1" xfId="5" applyNumberFormat="1" applyBorder="1" applyAlignment="1"/>
    <xf numFmtId="169" fontId="0" fillId="0" borderId="0" xfId="0" applyNumberFormat="1" applyProtection="1"/>
    <xf numFmtId="0" fontId="2" fillId="27" borderId="0" xfId="16" applyFont="1" applyFill="1"/>
    <xf numFmtId="0" fontId="7" fillId="0" borderId="0" xfId="9" applyAlignment="1"/>
    <xf numFmtId="40" fontId="18" fillId="6" borderId="3" xfId="0" applyNumberFormat="1" applyFont="1" applyFill="1" applyBorder="1" applyAlignment="1" applyProtection="1">
      <alignment horizontal="center" vertical="center" wrapText="1"/>
    </xf>
    <xf numFmtId="40" fontId="18" fillId="6" borderId="4" xfId="0" applyNumberFormat="1" applyFont="1" applyFill="1" applyBorder="1" applyAlignment="1" applyProtection="1">
      <alignment horizontal="center" vertical="center" wrapText="1"/>
    </xf>
    <xf numFmtId="40" fontId="18" fillId="6" borderId="5" xfId="0" applyNumberFormat="1" applyFont="1" applyFill="1" applyBorder="1" applyAlignment="1" applyProtection="1">
      <alignment horizontal="center" vertical="center" wrapText="1"/>
    </xf>
    <xf numFmtId="40" fontId="18" fillId="6" borderId="7" xfId="0" applyNumberFormat="1" applyFont="1" applyFill="1" applyBorder="1" applyAlignment="1" applyProtection="1">
      <alignment horizontal="center" vertical="center" wrapText="1"/>
    </xf>
    <xf numFmtId="40" fontId="18" fillId="6" borderId="0" xfId="0" applyNumberFormat="1" applyFont="1" applyFill="1" applyBorder="1" applyAlignment="1" applyProtection="1">
      <alignment horizontal="center" vertical="center" wrapText="1"/>
    </xf>
    <xf numFmtId="40" fontId="18" fillId="6" borderId="9" xfId="0" applyNumberFormat="1" applyFont="1" applyFill="1" applyBorder="1" applyAlignment="1" applyProtection="1">
      <alignment horizontal="center" vertical="center" wrapText="1"/>
    </xf>
    <xf numFmtId="40" fontId="18" fillId="6" borderId="10" xfId="0" applyNumberFormat="1" applyFont="1" applyFill="1" applyBorder="1" applyAlignment="1" applyProtection="1">
      <alignment horizontal="center" vertical="center" wrapText="1"/>
    </xf>
    <xf numFmtId="40" fontId="18" fillId="6" borderId="2" xfId="0" applyNumberFormat="1" applyFont="1" applyFill="1" applyBorder="1" applyAlignment="1" applyProtection="1">
      <alignment horizontal="center" vertical="center" wrapText="1"/>
    </xf>
    <xf numFmtId="40" fontId="18" fillId="6" borderId="8" xfId="0" applyNumberFormat="1" applyFont="1" applyFill="1" applyBorder="1" applyAlignment="1" applyProtection="1">
      <alignment horizontal="center" vertical="center" wrapText="1"/>
    </xf>
    <xf numFmtId="40" fontId="15" fillId="0" borderId="0" xfId="0" applyNumberFormat="1" applyFont="1" applyBorder="1" applyAlignment="1" applyProtection="1">
      <alignment horizontal="justify" vertical="center" wrapText="1"/>
    </xf>
    <xf numFmtId="0" fontId="0" fillId="3" borderId="6" xfId="0" applyFill="1" applyBorder="1" applyAlignment="1" applyProtection="1">
      <alignment horizontal="center"/>
    </xf>
    <xf numFmtId="0" fontId="0" fillId="3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0" fillId="6" borderId="19" xfId="0" applyFill="1" applyBorder="1" applyAlignment="1" applyProtection="1">
      <alignment horizontal="center"/>
    </xf>
    <xf numFmtId="0" fontId="16" fillId="17" borderId="17" xfId="12" applyAlignment="1" applyProtection="1">
      <alignment horizontal="left" indent="1"/>
    </xf>
  </cellXfs>
  <cellStyles count="61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6"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00FFFF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</dxfs>
  <tableStyles count="0" defaultTableStyle="TableStyleMedium9" defaultPivotStyle="PivotStyleLight16"/>
  <colors>
    <mruColors>
      <color rgb="FFFFFF99"/>
      <color rgb="FFFFFF00"/>
      <color rgb="FF008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130136005727"/>
          <c:y val="0.0300362492798156"/>
          <c:w val="0.551914188218074"/>
          <c:h val="0.785117390051853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UI!$R$58:$R$63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46867.3665</c:v>
                </c:pt>
                <c:pt idx="2">
                  <c:v>31069.2541677375</c:v>
                </c:pt>
                <c:pt idx="3">
                  <c:v>31335.67302222585</c:v>
                </c:pt>
                <c:pt idx="4">
                  <c:v>31604.37641839144</c:v>
                </c:pt>
                <c:pt idx="5">
                  <c:v>31875.38394617915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89-49F5-B99C-58455B98FCCE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UI!$S$58:$S$63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46912.83594801114</c:v>
                </c:pt>
                <c:pt idx="2">
                  <c:v>31069.6440682542</c:v>
                </c:pt>
                <c:pt idx="3">
                  <c:v>31336.06626613948</c:v>
                </c:pt>
                <c:pt idx="4">
                  <c:v>31604.77303437162</c:v>
                </c:pt>
                <c:pt idx="5">
                  <c:v>31875.78396314136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789-49F5-B99C-58455B98FCC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UI!$T$58:$T$63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-33275.7416927024</c:v>
                </c:pt>
                <c:pt idx="2">
                  <c:v>28504.44328997435</c:v>
                </c:pt>
                <c:pt idx="3">
                  <c:v>29775.4564162743</c:v>
                </c:pt>
                <c:pt idx="4">
                  <c:v>30751.1698688223</c:v>
                </c:pt>
                <c:pt idx="5">
                  <c:v>31014.86115044746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789-49F5-B99C-58455B98FCC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UI!$U$58:$U$63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-28067.820596812</c:v>
                </c:pt>
                <c:pt idx="2">
                  <c:v>28842.95816120723</c:v>
                </c:pt>
                <c:pt idx="3">
                  <c:v>30129.06566561545</c:v>
                </c:pt>
                <c:pt idx="4">
                  <c:v>30822.20384685486</c:v>
                </c:pt>
                <c:pt idx="5">
                  <c:v>30822.20384685486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789-49F5-B99C-58455B98FCCE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UI!$V$58:$V$63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2219.631139985076</c:v>
                </c:pt>
                <c:pt idx="3">
                  <c:v>37906.03097701045</c:v>
                </c:pt>
                <c:pt idx="4">
                  <c:v>38231.07519263832</c:v>
                </c:pt>
                <c:pt idx="5">
                  <c:v>38558.90666241519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789-49F5-B99C-58455B98FCCE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UI!$W$58:$W$63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1263.381139985077</c:v>
                </c:pt>
                <c:pt idx="3">
                  <c:v>1274.214633260449</c:v>
                </c:pt>
                <c:pt idx="4">
                  <c:v>1285.141023740657</c:v>
                </c:pt>
                <c:pt idx="5">
                  <c:v>1296.161108019233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789-49F5-B99C-58455B98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158664"/>
        <c:axId val="-2143164584"/>
      </c:lineChart>
      <c:catAx>
        <c:axId val="-2143158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74711999315303"/>
              <c:y val="0.882226810063376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143164584"/>
        <c:crosses val="autoZero"/>
        <c:auto val="1"/>
        <c:lblAlgn val="ctr"/>
        <c:lblOffset val="100"/>
        <c:noMultiLvlLbl val="0"/>
      </c:catAx>
      <c:valAx>
        <c:axId val="-2143164584"/>
        <c:scaling>
          <c:orientation val="minMax"/>
          <c:max val="150000.0"/>
          <c:min val="-1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-2143158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284466714388"/>
          <c:y val="0.240095304397926"/>
          <c:w val="0.236220187150519"/>
          <c:h val="0.367370366813904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UI!$Q$14:$Q$19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542151.013419</c:v>
                </c:pt>
                <c:pt idx="2">
                  <c:v>563464.5217780679</c:v>
                </c:pt>
                <c:pt idx="3">
                  <c:v>584960.7934713148</c:v>
                </c:pt>
                <c:pt idx="4">
                  <c:v>606641.3956943313</c:v>
                </c:pt>
                <c:pt idx="5">
                  <c:v>628507.9090814102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DE-4C3E-BC22-32B29CF6C3AA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UI!$R$14:$R$19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542182.2054603356</c:v>
                </c:pt>
                <c:pt idx="2">
                  <c:v>563495.981291158</c:v>
                </c:pt>
                <c:pt idx="3">
                  <c:v>584992.5227497297</c:v>
                </c:pt>
                <c:pt idx="4">
                  <c:v>606673.3970513086</c:v>
                </c:pt>
                <c:pt idx="5">
                  <c:v>628540.1848500236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DE-4C3E-BC22-32B29CF6C3AA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UI!$S$14:$S$19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</c:v>
                </c:pt>
                <c:pt idx="4">
                  <c:v>537799.5720357962</c:v>
                </c:pt>
                <c:pt idx="5">
                  <c:v>559075.7667850032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FDE-4C3E-BC22-32B29CF6C3AA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UI!$T$14:$T$19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481932.179403188</c:v>
                </c:pt>
                <c:pt idx="2">
                  <c:v>501718.4487017762</c:v>
                </c:pt>
                <c:pt idx="3">
                  <c:v>522386.9877483884</c:v>
                </c:pt>
                <c:pt idx="4">
                  <c:v>543531.0195873307</c:v>
                </c:pt>
                <c:pt idx="5">
                  <c:v>564856.3614992921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FDE-4C3E-BC22-32B29CF6C3AA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UI!$U$14:$U$19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577570.4911988061</c:v>
                </c:pt>
                <c:pt idx="2">
                  <c:v>579093.1581608358</c:v>
                </c:pt>
                <c:pt idx="3">
                  <c:v>605096.695411065</c:v>
                </c:pt>
                <c:pt idx="4">
                  <c:v>631323.2129932148</c:v>
                </c:pt>
                <c:pt idx="5">
                  <c:v>657774.6229636316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FDE-4C3E-BC22-32B29CF6C3AA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UI!$V$14:$V$19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501070.4911988061</c:v>
                </c:pt>
                <c:pt idx="2">
                  <c:v>501937.1706608359</c:v>
                </c:pt>
                <c:pt idx="3">
                  <c:v>502811.2818992526</c:v>
                </c:pt>
                <c:pt idx="4">
                  <c:v>503692.8886415386</c:v>
                </c:pt>
                <c:pt idx="5">
                  <c:v>504582.0551616398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FDE-4C3E-BC22-32B29CF6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225912"/>
        <c:axId val="-2143231560"/>
      </c:lineChart>
      <c:catAx>
        <c:axId val="-2143225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7844158620444"/>
              <c:y val="0.851943838345508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143231560"/>
        <c:crosses val="autoZero"/>
        <c:auto val="1"/>
        <c:lblAlgn val="ctr"/>
        <c:lblOffset val="100"/>
        <c:noMultiLvlLbl val="0"/>
      </c:catAx>
      <c:valAx>
        <c:axId val="-2143231560"/>
        <c:scaling>
          <c:orientation val="minMax"/>
          <c:min val="3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</a:t>
                </a:r>
                <a:r>
                  <a:rPr lang="en-US" baseline="0"/>
                  <a:t>-End Net Worth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49824348879467"/>
              <c:y val="0.254446083212408"/>
            </c:manualLayout>
          </c:layout>
          <c:overlay val="0"/>
        </c:title>
        <c:numFmt formatCode="#,##0;[Red]\-#,##0" sourceLinked="1"/>
        <c:majorTickMark val="out"/>
        <c:minorTickMark val="none"/>
        <c:tickLblPos val="nextTo"/>
        <c:crossAx val="-2143225912"/>
        <c:crosses val="autoZero"/>
        <c:crossBetween val="midCat"/>
      </c:valAx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634693340010944"/>
          <c:y val="0.032786894650802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"/>
          <c:y val="0.0533307669867238"/>
          <c:w val="0.489297350574967"/>
          <c:h val="0.73024847761814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542151.013419</c:v>
                </c:pt>
                <c:pt idx="2">
                  <c:v>563464.5217780679</c:v>
                </c:pt>
                <c:pt idx="3">
                  <c:v>584960.7934713148</c:v>
                </c:pt>
                <c:pt idx="4">
                  <c:v>606641.3956943313</c:v>
                </c:pt>
                <c:pt idx="5">
                  <c:v>628507.9090814102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5E-4902-B526-06FF0A5A4F77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542182.2054603356</c:v>
                </c:pt>
                <c:pt idx="2">
                  <c:v>563495.981291158</c:v>
                </c:pt>
                <c:pt idx="3">
                  <c:v>584992.5227497297</c:v>
                </c:pt>
                <c:pt idx="4">
                  <c:v>606673.3970513086</c:v>
                </c:pt>
                <c:pt idx="5">
                  <c:v>628540.1848500236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45E-4902-B526-06FF0A5A4F77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</c:v>
                </c:pt>
                <c:pt idx="4">
                  <c:v>537799.5720357962</c:v>
                </c:pt>
                <c:pt idx="5">
                  <c:v>559075.7667850032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45E-4902-B526-06FF0A5A4F77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481932.179403188</c:v>
                </c:pt>
                <c:pt idx="2">
                  <c:v>501718.4487017762</c:v>
                </c:pt>
                <c:pt idx="3">
                  <c:v>522386.9877483884</c:v>
                </c:pt>
                <c:pt idx="4">
                  <c:v>543531.0195873307</c:v>
                </c:pt>
                <c:pt idx="5">
                  <c:v>564856.3614992921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45E-4902-B526-06FF0A5A4F77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577570.4911988061</c:v>
                </c:pt>
                <c:pt idx="2">
                  <c:v>579093.1581608358</c:v>
                </c:pt>
                <c:pt idx="3">
                  <c:v>605096.695411065</c:v>
                </c:pt>
                <c:pt idx="4">
                  <c:v>631323.2129932148</c:v>
                </c:pt>
                <c:pt idx="5">
                  <c:v>657774.6229636316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45E-4902-B526-06FF0A5A4F77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#,##0;[Red]\-#,##0</c:formatCode>
                <c:ptCount val="6"/>
                <c:pt idx="0">
                  <c:v>514687.5</c:v>
                </c:pt>
                <c:pt idx="1">
                  <c:v>501070.4911988061</c:v>
                </c:pt>
                <c:pt idx="2">
                  <c:v>501937.1706608359</c:v>
                </c:pt>
                <c:pt idx="3">
                  <c:v>502811.2818992526</c:v>
                </c:pt>
                <c:pt idx="4">
                  <c:v>503692.8886415386</c:v>
                </c:pt>
                <c:pt idx="5">
                  <c:v>504582.0551616398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45E-4902-B526-06FF0A5A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654408"/>
        <c:axId val="-2141648776"/>
      </c:lineChart>
      <c:catAx>
        <c:axId val="-2141654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61293496264008"/>
              <c:y val="0.873840403143063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141648776"/>
        <c:crosses val="autoZero"/>
        <c:auto val="1"/>
        <c:lblAlgn val="ctr"/>
        <c:lblOffset val="100"/>
        <c:noMultiLvlLbl val="0"/>
      </c:catAx>
      <c:valAx>
        <c:axId val="-2141648776"/>
        <c:scaling>
          <c:orientation val="minMax"/>
          <c:max val="70000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layout/>
          <c:overlay val="0"/>
        </c:title>
        <c:numFmt formatCode="#,##0;[Red]\-#,##0" sourceLinked="1"/>
        <c:majorTickMark val="out"/>
        <c:minorTickMark val="none"/>
        <c:tickLblPos val="nextTo"/>
        <c:crossAx val="-2141654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631193760354424"/>
          <c:y val="0.042947772802900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46867.3665</c:v>
                </c:pt>
                <c:pt idx="2">
                  <c:v>31069.2541677375</c:v>
                </c:pt>
                <c:pt idx="3">
                  <c:v>31335.67302222585</c:v>
                </c:pt>
                <c:pt idx="4">
                  <c:v>31604.37641839144</c:v>
                </c:pt>
                <c:pt idx="5">
                  <c:v>31875.38394617915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FE-41E1-95D2-A3D5A1653148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46912.83594801114</c:v>
                </c:pt>
                <c:pt idx="2">
                  <c:v>31069.6440682542</c:v>
                </c:pt>
                <c:pt idx="3">
                  <c:v>31336.06626613948</c:v>
                </c:pt>
                <c:pt idx="4">
                  <c:v>31604.77303437162</c:v>
                </c:pt>
                <c:pt idx="5">
                  <c:v>31875.78396314136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FE-41E1-95D2-A3D5A1653148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-33275.7416927024</c:v>
                </c:pt>
                <c:pt idx="2">
                  <c:v>28504.44328997435</c:v>
                </c:pt>
                <c:pt idx="3">
                  <c:v>29775.4564162743</c:v>
                </c:pt>
                <c:pt idx="4">
                  <c:v>30751.1698688223</c:v>
                </c:pt>
                <c:pt idx="5">
                  <c:v>31014.86115044746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9FE-41E1-95D2-A3D5A1653148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-28067.820596812</c:v>
                </c:pt>
                <c:pt idx="2">
                  <c:v>28842.95816120723</c:v>
                </c:pt>
                <c:pt idx="3">
                  <c:v>30129.06566561545</c:v>
                </c:pt>
                <c:pt idx="4">
                  <c:v>30822.20384685486</c:v>
                </c:pt>
                <c:pt idx="5">
                  <c:v>31086.50424484164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9FE-41E1-95D2-A3D5A1653148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2219.631139985076</c:v>
                </c:pt>
                <c:pt idx="3">
                  <c:v>37906.03097701045</c:v>
                </c:pt>
                <c:pt idx="4">
                  <c:v>38231.07519263832</c:v>
                </c:pt>
                <c:pt idx="5">
                  <c:v>38558.90666241519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9FE-41E1-95D2-A3D5A1653148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#,##0;[Red]\-#,##0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1263.381139985077</c:v>
                </c:pt>
                <c:pt idx="3">
                  <c:v>1274.214633260449</c:v>
                </c:pt>
                <c:pt idx="4">
                  <c:v>1285.141023740657</c:v>
                </c:pt>
                <c:pt idx="5">
                  <c:v>1296.161108019233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9FE-41E1-95D2-A3D5A1653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606888"/>
        <c:axId val="-2141603560"/>
      </c:lineChart>
      <c:catAx>
        <c:axId val="-214160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-2141603560"/>
        <c:crosses val="autoZero"/>
        <c:auto val="1"/>
        <c:lblAlgn val="ctr"/>
        <c:lblOffset val="100"/>
        <c:noMultiLvlLbl val="0"/>
      </c:catAx>
      <c:valAx>
        <c:axId val="-2141603560"/>
        <c:scaling>
          <c:orientation val="minMax"/>
          <c:min val="-1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0.016548463356974"/>
              <c:y val="0.28159074615376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1416068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4215713349326"/>
          <c:y val="0.133545278332812"/>
          <c:w val="0.275497343177606"/>
          <c:h val="0.4235720630066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4</xdr:row>
      <xdr:rowOff>12700</xdr:rowOff>
    </xdr:from>
    <xdr:to>
      <xdr:col>23</xdr:col>
      <xdr:colOff>431800</xdr:colOff>
      <xdr:row>29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44</xdr:row>
      <xdr:rowOff>25400</xdr:rowOff>
    </xdr:from>
    <xdr:to>
      <xdr:col>23</xdr:col>
      <xdr:colOff>431800</xdr:colOff>
      <xdr:row>71</xdr:row>
      <xdr:rowOff>114300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321982</xdr:colOff>
      <xdr:row>54</xdr:row>
      <xdr:rowOff>178363</xdr:rowOff>
    </xdr:from>
    <xdr:to>
      <xdr:col>30</xdr:col>
      <xdr:colOff>457199</xdr:colOff>
      <xdr:row>73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327856</xdr:colOff>
      <xdr:row>74</xdr:row>
      <xdr:rowOff>63500</xdr:rowOff>
    </xdr:from>
    <xdr:to>
      <xdr:col>30</xdr:col>
      <xdr:colOff>469900</xdr:colOff>
      <xdr:row>94</xdr:row>
      <xdr:rowOff>39593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G5"/>
  <sheetViews>
    <sheetView workbookViewId="0"/>
  </sheetViews>
  <sheetFormatPr baseColWidth="10" defaultColWidth="8.83203125" defaultRowHeight="12" x14ac:dyDescent="0"/>
  <cols>
    <col min="1" max="26" width="18.6640625" customWidth="1"/>
  </cols>
  <sheetData>
    <row r="1" spans="1:85">
      <c r="A1" t="s">
        <v>120</v>
      </c>
      <c r="B1" t="s">
        <v>127</v>
      </c>
      <c r="C1" t="s">
        <v>124</v>
      </c>
      <c r="D1" t="s">
        <v>125</v>
      </c>
      <c r="E1" t="s">
        <v>122</v>
      </c>
      <c r="F1" t="s">
        <v>123</v>
      </c>
      <c r="G1" t="s">
        <v>139</v>
      </c>
      <c r="H1" t="s">
        <v>130</v>
      </c>
      <c r="I1" t="s">
        <v>131</v>
      </c>
      <c r="J1" t="s">
        <v>132</v>
      </c>
      <c r="K1" t="s">
        <v>133</v>
      </c>
      <c r="L1" t="s">
        <v>128</v>
      </c>
      <c r="M1" t="s">
        <v>134</v>
      </c>
      <c r="N1" t="s">
        <v>136</v>
      </c>
      <c r="O1" t="s">
        <v>140</v>
      </c>
      <c r="P1" t="s">
        <v>142</v>
      </c>
      <c r="Q1" t="s">
        <v>141</v>
      </c>
      <c r="R1" t="s">
        <v>121</v>
      </c>
      <c r="S1" t="s">
        <v>126</v>
      </c>
      <c r="Y1" t="s">
        <v>135</v>
      </c>
      <c r="Z1" t="s">
        <v>137</v>
      </c>
      <c r="AA1" t="s">
        <v>129</v>
      </c>
      <c r="AB1" t="s">
        <v>138</v>
      </c>
    </row>
    <row r="2" spans="1:85">
      <c r="E2" s="148">
        <f>'Ranch Strategies'!$Q$149</f>
        <v>628540.18485002359</v>
      </c>
      <c r="S2">
        <v>1</v>
      </c>
    </row>
    <row r="3" spans="1:85">
      <c r="A3" t="s">
        <v>118</v>
      </c>
      <c r="B3">
        <v>1</v>
      </c>
      <c r="C3" t="s">
        <v>119</v>
      </c>
    </row>
    <row r="4" spans="1:85">
      <c r="A4" t="s">
        <v>120</v>
      </c>
      <c r="B4" t="s">
        <v>127</v>
      </c>
      <c r="C4" t="s">
        <v>124</v>
      </c>
      <c r="D4" t="s">
        <v>125</v>
      </c>
      <c r="E4" t="s">
        <v>122</v>
      </c>
      <c r="F4" t="s">
        <v>123</v>
      </c>
      <c r="G4" t="s">
        <v>139</v>
      </c>
      <c r="H4" t="s">
        <v>130</v>
      </c>
      <c r="I4" t="s">
        <v>131</v>
      </c>
      <c r="J4" t="s">
        <v>132</v>
      </c>
      <c r="K4" t="s">
        <v>133</v>
      </c>
      <c r="L4" t="s">
        <v>128</v>
      </c>
      <c r="M4" t="s">
        <v>134</v>
      </c>
      <c r="N4" t="s">
        <v>136</v>
      </c>
      <c r="O4" t="s">
        <v>140</v>
      </c>
      <c r="P4" t="s">
        <v>142</v>
      </c>
      <c r="Q4" t="s">
        <v>141</v>
      </c>
      <c r="R4" t="s">
        <v>121</v>
      </c>
      <c r="S4" t="s">
        <v>126</v>
      </c>
      <c r="Y4" t="s">
        <v>135</v>
      </c>
      <c r="Z4" t="s">
        <v>137</v>
      </c>
      <c r="AA4" t="s">
        <v>129</v>
      </c>
      <c r="AB4" t="s">
        <v>138</v>
      </c>
    </row>
    <row r="5" spans="1:85">
      <c r="A5">
        <v>1</v>
      </c>
      <c r="B5" t="b">
        <v>1</v>
      </c>
      <c r="C5">
        <v>0</v>
      </c>
      <c r="D5" t="s">
        <v>144</v>
      </c>
      <c r="E5" s="160">
        <f>'Ranch Strategies'!$I$13</f>
        <v>0.70889512875856031</v>
      </c>
      <c r="F5" t="s">
        <v>143</v>
      </c>
      <c r="G5" t="s">
        <v>150</v>
      </c>
      <c r="H5" s="161" t="s">
        <v>148</v>
      </c>
      <c r="I5" s="161" t="s">
        <v>149</v>
      </c>
      <c r="J5" s="161" t="s">
        <v>146</v>
      </c>
      <c r="K5" s="161" t="s">
        <v>146</v>
      </c>
      <c r="L5" s="161" t="s">
        <v>145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108</v>
      </c>
      <c r="U5" s="161" t="s">
        <v>145</v>
      </c>
      <c r="W5">
        <v>0</v>
      </c>
      <c r="X5">
        <v>0</v>
      </c>
      <c r="Y5">
        <v>0</v>
      </c>
      <c r="Z5">
        <v>1</v>
      </c>
      <c r="AA5" t="b">
        <v>1</v>
      </c>
      <c r="AC5" s="161" t="s">
        <v>151</v>
      </c>
      <c r="AD5" s="161" t="s">
        <v>152</v>
      </c>
      <c r="AE5" s="161" t="s">
        <v>153</v>
      </c>
      <c r="AF5" s="161" t="s">
        <v>147</v>
      </c>
      <c r="AG5" s="161" t="s">
        <v>154</v>
      </c>
      <c r="AH5" s="161" t="s">
        <v>155</v>
      </c>
      <c r="AI5" s="161" t="s">
        <v>156</v>
      </c>
      <c r="BB5" s="161" t="s">
        <v>157</v>
      </c>
      <c r="BC5" s="161" t="s">
        <v>158</v>
      </c>
      <c r="BD5" s="161" t="s">
        <v>159</v>
      </c>
      <c r="BE5" s="161" t="s">
        <v>145</v>
      </c>
      <c r="BF5" s="161" t="s">
        <v>160</v>
      </c>
      <c r="BG5" s="161" t="s">
        <v>161</v>
      </c>
      <c r="BH5" s="161" t="s">
        <v>162</v>
      </c>
      <c r="CA5" t="s">
        <v>163</v>
      </c>
      <c r="CB5" t="s">
        <v>164</v>
      </c>
      <c r="CC5" t="s">
        <v>165</v>
      </c>
      <c r="CD5" t="s">
        <v>166</v>
      </c>
      <c r="CE5" t="s">
        <v>167</v>
      </c>
      <c r="CF5" t="s">
        <v>168</v>
      </c>
      <c r="CG5" t="s">
        <v>169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3:CK80"/>
  <sheetViews>
    <sheetView workbookViewId="0">
      <selection activeCell="F11" sqref="F11"/>
    </sheetView>
  </sheetViews>
  <sheetFormatPr baseColWidth="10" defaultColWidth="11.5" defaultRowHeight="12" x14ac:dyDescent="0"/>
  <cols>
    <col min="2" max="2" width="7.1640625" customWidth="1"/>
    <col min="8" max="8" width="7.1640625" customWidth="1"/>
    <col min="9" max="9" width="8.1640625" customWidth="1"/>
    <col min="15" max="15" width="4.33203125" customWidth="1"/>
    <col min="17" max="17" width="11.6640625" bestFit="1" customWidth="1"/>
    <col min="18" max="18" width="11.1640625" bestFit="1" customWidth="1"/>
    <col min="20" max="21" width="11.33203125" bestFit="1" customWidth="1"/>
    <col min="22" max="22" width="12.33203125" bestFit="1" customWidth="1"/>
    <col min="24" max="24" width="11.6640625" bestFit="1" customWidth="1"/>
  </cols>
  <sheetData>
    <row r="3" spans="2:89" ht="18">
      <c r="B3" s="455" t="s">
        <v>295</v>
      </c>
      <c r="C3" s="439"/>
      <c r="D3" s="439"/>
      <c r="E3" s="439"/>
      <c r="F3" s="439"/>
      <c r="G3" s="439"/>
      <c r="H3" s="440"/>
      <c r="J3" s="403"/>
      <c r="K3" s="433" t="s">
        <v>292</v>
      </c>
      <c r="L3" s="404"/>
      <c r="M3" s="404"/>
      <c r="N3" s="405"/>
    </row>
    <row r="4" spans="2:89">
      <c r="B4" s="441"/>
      <c r="C4" s="437"/>
      <c r="D4" s="437"/>
      <c r="E4" s="437"/>
      <c r="F4" s="437"/>
      <c r="G4" s="437"/>
      <c r="H4" s="442"/>
      <c r="J4" s="406"/>
      <c r="K4" s="407"/>
      <c r="L4" s="407"/>
      <c r="M4" s="407"/>
      <c r="N4" s="408"/>
    </row>
    <row r="5" spans="2:89">
      <c r="B5" s="441"/>
      <c r="C5" s="437"/>
      <c r="D5" s="437"/>
      <c r="E5" s="437"/>
      <c r="F5" s="437"/>
      <c r="G5" s="437"/>
      <c r="H5" s="442"/>
      <c r="J5" s="406"/>
      <c r="K5" s="407"/>
      <c r="L5" s="407"/>
      <c r="M5" s="413" t="s">
        <v>279</v>
      </c>
      <c r="N5" s="412" t="s">
        <v>286</v>
      </c>
    </row>
    <row r="6" spans="2:89" ht="13">
      <c r="B6" s="441"/>
      <c r="C6" s="376" t="s">
        <v>271</v>
      </c>
      <c r="D6" s="392"/>
      <c r="E6" s="392"/>
      <c r="F6" s="377"/>
      <c r="G6" s="437"/>
      <c r="H6" s="442"/>
      <c r="J6" s="409" t="s">
        <v>287</v>
      </c>
      <c r="K6" s="407"/>
      <c r="L6" s="407"/>
      <c r="M6" s="407"/>
      <c r="N6" s="408"/>
    </row>
    <row r="7" spans="2:89">
      <c r="B7" s="441"/>
      <c r="C7" s="378"/>
      <c r="D7" s="391"/>
      <c r="E7" s="391"/>
      <c r="F7" s="379"/>
      <c r="G7" s="437"/>
      <c r="H7" s="442"/>
      <c r="J7" s="406"/>
      <c r="K7" s="407" t="s">
        <v>300</v>
      </c>
      <c r="L7" s="407"/>
      <c r="M7" s="418">
        <f>IF($G$51=1,'Ranch Strategies'!P84,'Ranch Strategies'!P167)</f>
        <v>46867.366500000004</v>
      </c>
      <c r="N7" s="456">
        <f>IF($G$51=1,'Ranch Strategies'!P167,'Ranch Strategies'!P84)</f>
        <v>53700</v>
      </c>
    </row>
    <row r="8" spans="2:89">
      <c r="B8" s="441"/>
      <c r="C8" s="378" t="s">
        <v>173</v>
      </c>
      <c r="D8" s="391"/>
      <c r="E8" s="391"/>
      <c r="F8" s="380">
        <v>2002</v>
      </c>
      <c r="G8" s="437"/>
      <c r="H8" s="442"/>
      <c r="J8" s="406"/>
      <c r="K8" s="407" t="s">
        <v>282</v>
      </c>
      <c r="L8" s="407"/>
      <c r="M8" s="418">
        <f>IF($G$51=1,'Ranch Strategies'!Q84,'Ranch Strategies'!Q167)</f>
        <v>46912.835948011139</v>
      </c>
      <c r="N8" s="456">
        <f>IF($G$51=1,'Ranch Strategies'!Q167,'Ranch Strategies'!Q84)</f>
        <v>15088.577640713542</v>
      </c>
    </row>
    <row r="9" spans="2:89">
      <c r="B9" s="441"/>
      <c r="C9" s="378" t="s">
        <v>305</v>
      </c>
      <c r="D9" s="391"/>
      <c r="E9" s="391"/>
      <c r="F9" s="380">
        <v>6</v>
      </c>
      <c r="G9" s="437"/>
      <c r="H9" s="442"/>
      <c r="J9" s="406"/>
      <c r="K9" s="407" t="s">
        <v>283</v>
      </c>
      <c r="L9" s="407"/>
      <c r="M9" s="418">
        <f>IF($G$51=1,'Ranch Strategies'!R84,'Ranch Strategies'!R167)</f>
        <v>-33275.741692702402</v>
      </c>
      <c r="N9" s="456">
        <f>IF($G$51=1,'Ranch Strategies'!R167,'Ranch Strategies'!R84)</f>
        <v>-65100</v>
      </c>
      <c r="CJ9" s="363"/>
      <c r="CK9" s="357"/>
    </row>
    <row r="10" spans="2:89">
      <c r="B10" s="441"/>
      <c r="C10" s="378" t="s">
        <v>281</v>
      </c>
      <c r="D10" s="391"/>
      <c r="E10" s="391"/>
      <c r="F10" s="380">
        <v>6</v>
      </c>
      <c r="G10" s="437"/>
      <c r="H10" s="442"/>
      <c r="J10" s="406"/>
      <c r="K10" s="407" t="s">
        <v>261</v>
      </c>
      <c r="L10" s="407"/>
      <c r="M10" s="418">
        <f>IF($G$51=1,'Ranch Strategies'!S84,'Ranch Strategies'!S167)</f>
        <v>-28067.820596812002</v>
      </c>
      <c r="N10" s="456">
        <f>IF($G$51=1,'Ranch Strategies'!S167,'Ranch Strategies'!S84)</f>
        <v>-59892.0789041096</v>
      </c>
      <c r="CJ10" s="363"/>
      <c r="CK10" s="357"/>
    </row>
    <row r="11" spans="2:89">
      <c r="B11" s="441"/>
      <c r="C11" s="378" t="s">
        <v>306</v>
      </c>
      <c r="D11" s="391"/>
      <c r="E11" s="391"/>
      <c r="F11" s="380">
        <v>12</v>
      </c>
      <c r="G11" s="437"/>
      <c r="H11" s="442"/>
      <c r="J11" s="406"/>
      <c r="K11" s="407" t="s">
        <v>284</v>
      </c>
      <c r="L11" s="407"/>
      <c r="M11" s="418">
        <f>IF($G$51=1,'Ranch Strategies'!T84,'Ranch Strategies'!T167)</f>
        <v>98499.258307297598</v>
      </c>
      <c r="N11" s="456">
        <f>IF($G$51=1,'Ranch Strategies'!T167,'Ranch Strategies'!T84)</f>
        <v>66675</v>
      </c>
      <c r="CJ11" s="358">
        <v>0.7</v>
      </c>
      <c r="CK11" s="357"/>
    </row>
    <row r="12" spans="2:89">
      <c r="B12" s="441"/>
      <c r="C12" s="378" t="s">
        <v>307</v>
      </c>
      <c r="D12" s="391"/>
      <c r="E12" s="391"/>
      <c r="F12" s="380">
        <v>12</v>
      </c>
      <c r="G12" s="437"/>
      <c r="H12" s="442"/>
      <c r="J12" s="406"/>
      <c r="K12" s="407" t="s">
        <v>285</v>
      </c>
      <c r="L12" s="407"/>
      <c r="M12" s="418">
        <f>IF($G$51=1,'Ranch Strategies'!U84,'Ranch Strategies'!U167)</f>
        <v>98499.258307297598</v>
      </c>
      <c r="N12" s="456">
        <f>IF($G$51=1,'Ranch Strategies'!U167,'Ranch Strategies'!U84)</f>
        <v>66675</v>
      </c>
      <c r="CJ12" s="358">
        <v>0.75</v>
      </c>
      <c r="CK12" s="357"/>
    </row>
    <row r="13" spans="2:89" ht="14">
      <c r="B13" s="441"/>
      <c r="C13" s="381" t="s">
        <v>303</v>
      </c>
      <c r="D13" s="393"/>
      <c r="E13" s="393"/>
      <c r="F13" s="380">
        <v>1</v>
      </c>
      <c r="G13" s="437"/>
      <c r="H13" s="442"/>
      <c r="J13" s="409" t="s">
        <v>288</v>
      </c>
      <c r="K13" s="407"/>
      <c r="L13" s="407"/>
      <c r="M13" s="407"/>
      <c r="N13" s="408"/>
      <c r="P13" s="155" t="s">
        <v>114</v>
      </c>
      <c r="Q13" s="154" t="s">
        <v>109</v>
      </c>
      <c r="R13" t="s">
        <v>107</v>
      </c>
      <c r="S13" t="s">
        <v>110</v>
      </c>
      <c r="T13" t="s">
        <v>111</v>
      </c>
      <c r="U13" t="s">
        <v>112</v>
      </c>
      <c r="V13" t="s">
        <v>113</v>
      </c>
      <c r="CH13" s="468">
        <v>1</v>
      </c>
      <c r="CJ13" s="358">
        <v>0.8</v>
      </c>
      <c r="CK13" s="357"/>
    </row>
    <row r="14" spans="2:89" ht="14">
      <c r="B14" s="441"/>
      <c r="C14" s="437"/>
      <c r="D14" s="437"/>
      <c r="E14" s="437"/>
      <c r="F14" s="437"/>
      <c r="G14" s="437"/>
      <c r="H14" s="442"/>
      <c r="J14" s="406"/>
      <c r="K14" s="407" t="s">
        <v>300</v>
      </c>
      <c r="L14" s="407"/>
      <c r="M14" s="416">
        <f>IF($G$51=1, 'Ranch Strategies'!P99,'Ranch Strategies'!P182)</f>
        <v>31069.254167737505</v>
      </c>
      <c r="N14" s="417">
        <f>IF($G$51=1, 'Ranch Strategies'!P182,'Ranch Strategies'!P99)</f>
        <v>37960.477500000001</v>
      </c>
      <c r="P14" s="158" t="s">
        <v>116</v>
      </c>
      <c r="Q14" s="148">
        <f>'Ranch Strategies'!P78</f>
        <v>514687.5</v>
      </c>
      <c r="R14" s="148">
        <f>'Ranch Strategies'!Q78</f>
        <v>514687.5</v>
      </c>
      <c r="S14" s="148">
        <f>'Ranch Strategies'!R78</f>
        <v>514687.5</v>
      </c>
      <c r="T14" s="148">
        <f>'Ranch Strategies'!S78</f>
        <v>514687.5</v>
      </c>
      <c r="U14" s="148">
        <f>'Ranch Strategies'!T78</f>
        <v>514687.5</v>
      </c>
      <c r="V14" s="148">
        <f>'Ranch Strategies'!U78</f>
        <v>514687.5</v>
      </c>
      <c r="CH14" s="468">
        <v>2</v>
      </c>
      <c r="CJ14" s="358">
        <v>0.85</v>
      </c>
      <c r="CK14" s="357"/>
    </row>
    <row r="15" spans="2:89" ht="14">
      <c r="B15" s="441"/>
      <c r="C15" s="437"/>
      <c r="D15" s="437"/>
      <c r="E15" s="437"/>
      <c r="F15" s="437"/>
      <c r="G15" s="437"/>
      <c r="H15" s="442"/>
      <c r="J15" s="406"/>
      <c r="K15" s="407" t="s">
        <v>282</v>
      </c>
      <c r="L15" s="407"/>
      <c r="M15" s="416">
        <f>IF($G$51=1, 'Ranch Strategies'!Q99,'Ranch Strategies'!Q182)</f>
        <v>31069.644068254198</v>
      </c>
      <c r="N15" s="417">
        <f>IF($G$51=1, 'Ranch Strategies'!Q182,'Ranch Strategies'!Q99)</f>
        <v>37629.384553269119</v>
      </c>
      <c r="P15" s="149">
        <f>'Ranch Strategies'!E80</f>
        <v>1</v>
      </c>
      <c r="Q15" s="148">
        <f>'Ranch Strategies'!P92</f>
        <v>542151.01341899997</v>
      </c>
      <c r="R15" s="148">
        <f>'Ranch Strategies'!Q92</f>
        <v>542182.20546033559</v>
      </c>
      <c r="S15" s="148">
        <f>'Ranch Strategies'!R92</f>
        <v>476724.2583072976</v>
      </c>
      <c r="T15" s="148">
        <f>'Ranch Strategies'!S92</f>
        <v>481932.179403188</v>
      </c>
      <c r="U15" s="148">
        <f>'Ranch Strategies'!T92</f>
        <v>577570.49119880609</v>
      </c>
      <c r="V15" s="148">
        <f>'Ranch Strategies'!U92</f>
        <v>501070.49119880609</v>
      </c>
      <c r="CH15" s="468">
        <v>3</v>
      </c>
      <c r="CJ15" s="358">
        <v>0.9</v>
      </c>
      <c r="CK15" s="357"/>
    </row>
    <row r="16" spans="2:89" ht="14">
      <c r="B16" s="441"/>
      <c r="C16" s="366" t="s">
        <v>0</v>
      </c>
      <c r="D16" s="367"/>
      <c r="E16" s="367"/>
      <c r="F16" s="367"/>
      <c r="G16" s="368"/>
      <c r="H16" s="442"/>
      <c r="J16" s="406"/>
      <c r="K16" s="407" t="s">
        <v>283</v>
      </c>
      <c r="L16" s="407"/>
      <c r="M16" s="416">
        <f>IF($G$51=1, 'Ranch Strategies'!R99,'Ranch Strategies'!R182)</f>
        <v>28504.443289974348</v>
      </c>
      <c r="N16" s="417">
        <f>IF($G$51=1, 'Ranch Strategies'!R182,'Ranch Strategies'!R99)</f>
        <v>33268.5</v>
      </c>
      <c r="P16" s="149">
        <f>'Ranch Strategies'!E94</f>
        <v>2</v>
      </c>
      <c r="Q16" s="148">
        <f>'Ranch Strategies'!P107</f>
        <v>563464.52177806792</v>
      </c>
      <c r="R16" s="148">
        <f>'Ranch Strategies'!Q107</f>
        <v>563495.98129115801</v>
      </c>
      <c r="S16" s="148">
        <f>'Ranch Strategies'!R107</f>
        <v>496278.30640422</v>
      </c>
      <c r="T16" s="148">
        <f>'Ranch Strategies'!S107</f>
        <v>501718.44870177616</v>
      </c>
      <c r="U16" s="148">
        <f>'Ranch Strategies'!T107</f>
        <v>579093.15816083585</v>
      </c>
      <c r="V16" s="148">
        <f>'Ranch Strategies'!U107</f>
        <v>501937.17066083587</v>
      </c>
      <c r="CH16" s="468">
        <v>4</v>
      </c>
    </row>
    <row r="17" spans="2:86" ht="14">
      <c r="B17" s="441"/>
      <c r="C17" s="369"/>
      <c r="D17" s="370"/>
      <c r="E17" s="370"/>
      <c r="F17" s="370"/>
      <c r="G17" s="371"/>
      <c r="H17" s="442"/>
      <c r="J17" s="406"/>
      <c r="K17" s="407" t="s">
        <v>261</v>
      </c>
      <c r="L17" s="407"/>
      <c r="M17" s="416">
        <f>IF($G$51=1, 'Ranch Strategies'!S99,'Ranch Strategies'!S182)</f>
        <v>28842.958161207225</v>
      </c>
      <c r="N17" s="417">
        <f>IF($G$51=1, 'Ranch Strategies'!S182,'Ranch Strategies'!S99)</f>
        <v>33607.014871232874</v>
      </c>
      <c r="P17" s="149">
        <f>'Ranch Strategies'!E109</f>
        <v>3</v>
      </c>
      <c r="Q17" s="148">
        <f>'Ranch Strategies'!P121</f>
        <v>584960.79347131483</v>
      </c>
      <c r="R17" s="148">
        <f>'Ranch Strategies'!Q121</f>
        <v>584992.52274972969</v>
      </c>
      <c r="S17" s="148">
        <f>'Ranch Strategies'!R121</f>
        <v>516704.26950578415</v>
      </c>
      <c r="T17" s="148">
        <f>'Ranch Strategies'!S121</f>
        <v>522386.98774838838</v>
      </c>
      <c r="U17" s="148">
        <f>'Ranch Strategies'!T121</f>
        <v>605096.69541106501</v>
      </c>
      <c r="V17" s="148">
        <f>'Ranch Strategies'!U121</f>
        <v>502811.28189925256</v>
      </c>
      <c r="CH17" s="468">
        <v>5</v>
      </c>
    </row>
    <row r="18" spans="2:86" ht="14">
      <c r="B18" s="441"/>
      <c r="C18" s="369" t="s">
        <v>272</v>
      </c>
      <c r="D18" s="370"/>
      <c r="E18" s="370"/>
      <c r="F18" s="370"/>
      <c r="G18" s="365">
        <v>600</v>
      </c>
      <c r="H18" s="442"/>
      <c r="J18" s="406"/>
      <c r="K18" s="407" t="s">
        <v>284</v>
      </c>
      <c r="L18" s="407"/>
      <c r="M18" s="416">
        <f>IF($G$51=1, 'Ranch Strategies'!T99,'Ranch Strategies'!T182)</f>
        <v>2219.6311399850765</v>
      </c>
      <c r="N18" s="417">
        <f>IF($G$51=1, 'Ranch Strategies'!T182,'Ranch Strategies'!T99)</f>
        <v>1946.7381250000008</v>
      </c>
      <c r="P18" s="149">
        <f>'Ranch Strategies'!E123</f>
        <v>4</v>
      </c>
      <c r="Q18" s="148">
        <f>'Ranch Strategies'!P135</f>
        <v>606641.39569433138</v>
      </c>
      <c r="R18" s="148">
        <f>'Ranch Strategies'!Q135</f>
        <v>606673.39705130865</v>
      </c>
      <c r="S18" s="148">
        <f>'Ranch Strategies'!R135</f>
        <v>537799.57203579624</v>
      </c>
      <c r="T18" s="148">
        <f>'Ranch Strategies'!S135</f>
        <v>543531.01958733075</v>
      </c>
      <c r="U18" s="148">
        <f>'Ranch Strategies'!T135</f>
        <v>631323.21299321484</v>
      </c>
      <c r="V18" s="148">
        <f>'Ranch Strategies'!U135</f>
        <v>503692.88864153862</v>
      </c>
      <c r="CH18" s="468">
        <v>6</v>
      </c>
    </row>
    <row r="19" spans="2:86" ht="14">
      <c r="B19" s="441"/>
      <c r="C19" s="369" t="s">
        <v>273</v>
      </c>
      <c r="D19" s="370"/>
      <c r="E19" s="370"/>
      <c r="F19" s="370"/>
      <c r="G19" s="394">
        <v>1200</v>
      </c>
      <c r="H19" s="443"/>
      <c r="J19" s="406"/>
      <c r="K19" s="407" t="s">
        <v>285</v>
      </c>
      <c r="L19" s="407"/>
      <c r="M19" s="416">
        <f>IF($G$51=1, 'Ranch Strategies'!U99,'Ranch Strategies'!U182)</f>
        <v>1263.3811399850765</v>
      </c>
      <c r="N19" s="417">
        <f>IF($G$51=1, 'Ranch Strategies'!U182,'Ranch Strategies'!U99)</f>
        <v>990.48812500000076</v>
      </c>
      <c r="P19" s="149">
        <f>'Ranch Strategies'!E137</f>
        <v>5</v>
      </c>
      <c r="Q19" s="148">
        <f>'Ranch Strategies'!P149</f>
        <v>628507.90908141027</v>
      </c>
      <c r="R19" s="148">
        <f>'Ranch Strategies'!Q149</f>
        <v>628540.18485002359</v>
      </c>
      <c r="S19" s="148">
        <f>'Ranch Strategies'!R149</f>
        <v>559075.76678500324</v>
      </c>
      <c r="T19" s="148">
        <f>'Ranch Strategies'!S149</f>
        <v>564856.36149929219</v>
      </c>
      <c r="U19" s="148">
        <f>'Ranch Strategies'!T149</f>
        <v>657774.62296363164</v>
      </c>
      <c r="V19" s="148">
        <f>'Ranch Strategies'!U149</f>
        <v>504582.05516163982</v>
      </c>
      <c r="CH19" s="468">
        <v>7</v>
      </c>
    </row>
    <row r="20" spans="2:86" ht="14">
      <c r="B20" s="441"/>
      <c r="C20" s="369" t="s">
        <v>3</v>
      </c>
      <c r="D20" s="370"/>
      <c r="E20" s="370"/>
      <c r="F20" s="370"/>
      <c r="G20" s="395">
        <v>850</v>
      </c>
      <c r="H20" s="444"/>
      <c r="J20" s="409" t="s">
        <v>289</v>
      </c>
      <c r="K20" s="407"/>
      <c r="L20" s="407"/>
      <c r="M20" s="407"/>
      <c r="N20" s="408"/>
      <c r="CH20" s="468">
        <v>8</v>
      </c>
    </row>
    <row r="21" spans="2:86" ht="14">
      <c r="B21" s="441"/>
      <c r="C21" s="369" t="s">
        <v>53</v>
      </c>
      <c r="D21" s="370"/>
      <c r="E21" s="370"/>
      <c r="F21" s="370"/>
      <c r="G21" s="365">
        <v>15</v>
      </c>
      <c r="H21" s="442"/>
      <c r="J21" s="406"/>
      <c r="K21" s="407" t="s">
        <v>300</v>
      </c>
      <c r="L21" s="407"/>
      <c r="M21" s="416">
        <f>IF($G$51=1, 'Ranch Strategies'!P114,'Ranch Strategies'!P197)</f>
        <v>31335.673022225852</v>
      </c>
      <c r="N21" s="417">
        <f>IF($G$51=1, 'Ranch Strategies'!P197,'Ranch Strategies'!P114)</f>
        <v>38285.988594562499</v>
      </c>
      <c r="CH21" s="468">
        <v>9</v>
      </c>
    </row>
    <row r="22" spans="2:86" ht="14">
      <c r="B22" s="441"/>
      <c r="C22" s="372" t="s">
        <v>45</v>
      </c>
      <c r="D22" s="373"/>
      <c r="E22" s="373"/>
      <c r="F22" s="373"/>
      <c r="G22" s="395">
        <v>500</v>
      </c>
      <c r="H22" s="444"/>
      <c r="J22" s="406"/>
      <c r="K22" s="407" t="s">
        <v>282</v>
      </c>
      <c r="L22" s="407"/>
      <c r="M22" s="416">
        <f>IF($G$51=1, 'Ranch Strategies'!Q114,'Ranch Strategies'!Q197)</f>
        <v>31336.066266139478</v>
      </c>
      <c r="N22" s="417">
        <f>IF($G$51=1, 'Ranch Strategies'!Q197,'Ranch Strategies'!Q114)</f>
        <v>37952.056525813401</v>
      </c>
      <c r="CH22" s="468">
        <v>10</v>
      </c>
    </row>
    <row r="23" spans="2:86" ht="14">
      <c r="B23" s="441"/>
      <c r="C23" s="437"/>
      <c r="D23" s="437"/>
      <c r="E23" s="437"/>
      <c r="F23" s="437"/>
      <c r="G23" s="437"/>
      <c r="H23" s="442"/>
      <c r="J23" s="406"/>
      <c r="K23" s="407" t="s">
        <v>283</v>
      </c>
      <c r="L23" s="407"/>
      <c r="M23" s="416">
        <f>IF($G$51=1, 'Ranch Strategies'!R114,'Ranch Strategies'!R197)</f>
        <v>29775.456416274305</v>
      </c>
      <c r="N23" s="417">
        <f>IF($G$51=1, 'Ranch Strategies'!R197,'Ranch Strategies'!R114)</f>
        <v>34751.942414999998</v>
      </c>
      <c r="CH23" s="468">
        <v>11</v>
      </c>
    </row>
    <row r="24" spans="2:86" ht="14">
      <c r="B24" s="441"/>
      <c r="C24" s="437"/>
      <c r="D24" s="437"/>
      <c r="E24" s="437"/>
      <c r="F24" s="437"/>
      <c r="G24" s="437"/>
      <c r="H24" s="442"/>
      <c r="J24" s="406"/>
      <c r="K24" s="407" t="s">
        <v>261</v>
      </c>
      <c r="L24" s="407"/>
      <c r="M24" s="416">
        <f>IF($G$51=1, 'Ranch Strategies'!S114,'Ranch Strategies'!S197)</f>
        <v>30129.065665615453</v>
      </c>
      <c r="N24" s="417">
        <f>IF($G$51=1, 'Ranch Strategies'!S197,'Ranch Strategies'!S114)</f>
        <v>35105.551664341147</v>
      </c>
      <c r="CH24" s="468">
        <v>12</v>
      </c>
    </row>
    <row r="25" spans="2:86" ht="14">
      <c r="B25" s="441"/>
      <c r="C25" s="366" t="s">
        <v>2</v>
      </c>
      <c r="D25" s="367"/>
      <c r="E25" s="367"/>
      <c r="F25" s="367"/>
      <c r="G25" s="368"/>
      <c r="H25" s="442"/>
      <c r="J25" s="406"/>
      <c r="K25" s="407" t="s">
        <v>284</v>
      </c>
      <c r="L25" s="407"/>
      <c r="M25" s="416">
        <f>IF($G$51=1, 'Ranch Strategies'!T114,'Ranch Strategies'!T197)</f>
        <v>37906.03097701045</v>
      </c>
      <c r="N25" s="417">
        <f>IF($G$51=1, 'Ranch Strategies'!T197,'Ranch Strategies'!T114)</f>
        <v>44463.431404421877</v>
      </c>
      <c r="CH25" s="468" t="s">
        <v>308</v>
      </c>
    </row>
    <row r="26" spans="2:86" ht="13">
      <c r="B26" s="441"/>
      <c r="C26" s="374"/>
      <c r="D26" s="370"/>
      <c r="E26" s="370"/>
      <c r="F26" s="370"/>
      <c r="G26" s="371"/>
      <c r="H26" s="442"/>
      <c r="J26" s="406"/>
      <c r="K26" s="407" t="s">
        <v>285</v>
      </c>
      <c r="L26" s="407"/>
      <c r="M26" s="416">
        <f>IF($G$51=1, 'Ranch Strategies'!U114,'Ranch Strategies'!U197)</f>
        <v>1274.2146332604489</v>
      </c>
      <c r="N26" s="417">
        <f>IF($G$51=1, 'Ranch Strategies'!U197,'Ranch Strategies'!U114)</f>
        <v>998.98156067187665</v>
      </c>
    </row>
    <row r="27" spans="2:86">
      <c r="B27" s="441"/>
      <c r="C27" s="369" t="s">
        <v>70</v>
      </c>
      <c r="D27" s="370"/>
      <c r="E27" s="370"/>
      <c r="F27" s="370"/>
      <c r="G27" s="396">
        <v>0.94</v>
      </c>
      <c r="H27" s="445"/>
      <c r="J27" s="409" t="s">
        <v>290</v>
      </c>
      <c r="K27" s="407"/>
      <c r="L27" s="407"/>
      <c r="M27" s="407"/>
      <c r="N27" s="408"/>
    </row>
    <row r="28" spans="2:86">
      <c r="B28" s="441"/>
      <c r="C28" s="369" t="s">
        <v>71</v>
      </c>
      <c r="D28" s="370"/>
      <c r="E28" s="370"/>
      <c r="F28" s="370"/>
      <c r="G28" s="396">
        <v>0.75</v>
      </c>
      <c r="H28" s="445"/>
      <c r="J28" s="406"/>
      <c r="K28" s="407" t="s">
        <v>300</v>
      </c>
      <c r="L28" s="407"/>
      <c r="M28" s="416">
        <f>IF($G$51=1,'Ranch Strategies'!P128,'Ranch Strategies'!P211)</f>
        <v>31604.376418391439</v>
      </c>
      <c r="N28" s="417">
        <f>IF($G$51=1,'Ranch Strategies'!P211,'Ranch Strategies'!P128)</f>
        <v>38614.29094676087</v>
      </c>
    </row>
    <row r="29" spans="2:86">
      <c r="B29" s="441"/>
      <c r="C29" s="369" t="s">
        <v>30</v>
      </c>
      <c r="D29" s="370"/>
      <c r="E29" s="370"/>
      <c r="F29" s="370"/>
      <c r="G29" s="365">
        <v>375</v>
      </c>
      <c r="H29" s="442"/>
      <c r="J29" s="406"/>
      <c r="K29" s="407" t="s">
        <v>282</v>
      </c>
      <c r="L29" s="407"/>
      <c r="M29" s="416">
        <f>IF($G$51=1,'Ranch Strategies'!Q128,'Ranch Strategies'!Q211)</f>
        <v>31604.773034371625</v>
      </c>
      <c r="N29" s="417">
        <f>IF($G$51=1,'Ranch Strategies'!Q211,'Ranch Strategies'!Q128)</f>
        <v>38277.49541052225</v>
      </c>
    </row>
    <row r="30" spans="2:86">
      <c r="B30" s="441"/>
      <c r="C30" s="369" t="s">
        <v>31</v>
      </c>
      <c r="D30" s="370"/>
      <c r="E30" s="370"/>
      <c r="F30" s="370"/>
      <c r="G30" s="365">
        <v>600</v>
      </c>
      <c r="H30" s="442"/>
      <c r="J30" s="406"/>
      <c r="K30" s="407" t="s">
        <v>283</v>
      </c>
      <c r="L30" s="407"/>
      <c r="M30" s="416">
        <f>IF($G$51=1,'Ranch Strategies'!R128,'Ranch Strategies'!R211)</f>
        <v>30751.169868822304</v>
      </c>
      <c r="N30" s="417">
        <f>IF($G$51=1,'Ranch Strategies'!R211,'Ranch Strategies'!R128)</f>
        <v>36301.531527284853</v>
      </c>
    </row>
    <row r="31" spans="2:86">
      <c r="B31" s="441"/>
      <c r="C31" s="369"/>
      <c r="D31" s="370"/>
      <c r="E31" s="370"/>
      <c r="F31" s="370"/>
      <c r="G31" s="371"/>
      <c r="H31" s="442"/>
      <c r="J31" s="406"/>
      <c r="K31" s="407" t="s">
        <v>261</v>
      </c>
      <c r="L31" s="407"/>
      <c r="M31" s="416">
        <f>IF($G$51=1,'Ranch Strategies'!S128,'Ranch Strategies'!S211)</f>
        <v>30822.20384685486</v>
      </c>
      <c r="N31" s="417">
        <f>IF($G$51=1,'Ranch Strategies'!S211,'Ranch Strategies'!S128)</f>
        <v>36670.908213054121</v>
      </c>
    </row>
    <row r="32" spans="2:86">
      <c r="B32" s="441"/>
      <c r="C32" s="375" t="s">
        <v>298</v>
      </c>
      <c r="D32" s="370"/>
      <c r="E32" s="370"/>
      <c r="F32" s="370"/>
      <c r="G32" s="371"/>
      <c r="H32" s="442"/>
      <c r="J32" s="406"/>
      <c r="K32" s="407" t="s">
        <v>284</v>
      </c>
      <c r="L32" s="407"/>
      <c r="M32" s="416">
        <f>IF($G$51=1,'Ranch Strategies'!T128,'Ranch Strategies'!T211)</f>
        <v>38231.075192638316</v>
      </c>
      <c r="N32" s="417">
        <f>IF($G$51=1,'Ranch Strategies'!T211,'Ranch Strategies'!T128)</f>
        <v>44844.705328714794</v>
      </c>
    </row>
    <row r="33" spans="2:25">
      <c r="B33" s="441"/>
      <c r="C33" s="369" t="s">
        <v>43</v>
      </c>
      <c r="D33" s="370"/>
      <c r="E33" s="370"/>
      <c r="F33" s="370"/>
      <c r="G33" s="397">
        <v>1.45</v>
      </c>
      <c r="H33" s="446"/>
      <c r="J33" s="406"/>
      <c r="K33" s="407" t="s">
        <v>285</v>
      </c>
      <c r="L33" s="407"/>
      <c r="M33" s="416">
        <f>IF($G$51=1,'Ranch Strategies'!U128,'Ranch Strategies'!U211)</f>
        <v>1285.1410237406571</v>
      </c>
      <c r="N33" s="417">
        <f>IF($G$51=1,'Ranch Strategies'!U211,'Ranch Strategies'!U128)</f>
        <v>1007.5478275546375</v>
      </c>
    </row>
    <row r="34" spans="2:25">
      <c r="B34" s="441"/>
      <c r="C34" s="369" t="s">
        <v>274</v>
      </c>
      <c r="D34" s="370"/>
      <c r="E34" s="370"/>
      <c r="F34" s="370"/>
      <c r="G34" s="397">
        <v>1.31</v>
      </c>
      <c r="H34" s="446"/>
      <c r="J34" s="409" t="s">
        <v>291</v>
      </c>
      <c r="K34" s="407"/>
      <c r="L34" s="407"/>
      <c r="M34" s="407"/>
      <c r="N34" s="408"/>
    </row>
    <row r="35" spans="2:25">
      <c r="B35" s="441"/>
      <c r="C35" s="369" t="s">
        <v>275</v>
      </c>
      <c r="D35" s="370"/>
      <c r="E35" s="370"/>
      <c r="F35" s="370"/>
      <c r="G35" s="397">
        <v>1.25</v>
      </c>
      <c r="H35" s="446"/>
      <c r="J35" s="406"/>
      <c r="K35" s="407" t="s">
        <v>300</v>
      </c>
      <c r="L35" s="407"/>
      <c r="M35" s="416">
        <f>IF($G$51=1, 'Ranch Strategies'!P142, 'Ranch Strategies'!P225)</f>
        <v>31875.383946179147</v>
      </c>
      <c r="N35" s="417">
        <f>IF($G$51=1, 'Ranch Strategies'!P225, 'Ranch Strategies'!P142)</f>
        <v>38945.40849162935</v>
      </c>
    </row>
    <row r="36" spans="2:25" ht="15">
      <c r="B36" s="441"/>
      <c r="C36" s="372" t="s">
        <v>276</v>
      </c>
      <c r="D36" s="373"/>
      <c r="E36" s="373"/>
      <c r="F36" s="373"/>
      <c r="G36" s="397">
        <v>1.25</v>
      </c>
      <c r="H36" s="446"/>
      <c r="J36" s="406"/>
      <c r="K36" s="407" t="s">
        <v>282</v>
      </c>
      <c r="L36" s="407"/>
      <c r="M36" s="416">
        <f>IF($G$51=1,'Ranch Strategies'!Q142,'Ranch Strategies'!Q225)</f>
        <v>31875.783963141363</v>
      </c>
      <c r="N36" s="417">
        <f>IF($G$51=1, 'Ranch Strategies'!Q225, 'Ranch Strategies'!Q142)</f>
        <v>38605.724933667479</v>
      </c>
      <c r="P36" s="403"/>
      <c r="Q36" s="432" t="s">
        <v>294</v>
      </c>
      <c r="R36" s="404"/>
      <c r="S36" s="404"/>
      <c r="T36" s="404"/>
      <c r="U36" s="404"/>
      <c r="V36" s="404"/>
      <c r="W36" s="404"/>
      <c r="X36" s="404"/>
      <c r="Y36" s="405"/>
    </row>
    <row r="37" spans="2:25">
      <c r="B37" s="441"/>
      <c r="C37" s="437"/>
      <c r="D37" s="437"/>
      <c r="E37" s="437"/>
      <c r="F37" s="437"/>
      <c r="G37" s="437"/>
      <c r="H37" s="442"/>
      <c r="J37" s="406"/>
      <c r="K37" s="407" t="s">
        <v>283</v>
      </c>
      <c r="L37" s="407"/>
      <c r="M37" s="416">
        <f>IF($G$51=1,'Ranch Strategies'!R142,'Ranch Strategies'!R225)</f>
        <v>31014.861150447457</v>
      </c>
      <c r="N37" s="417">
        <f>IF($G$51=1, 'Ranch Strategies'!R225, 'Ranch Strategies'!R142)</f>
        <v>37580.810926555096</v>
      </c>
      <c r="P37" s="406"/>
      <c r="Q37" s="407"/>
      <c r="R37" s="407"/>
      <c r="S37" s="407"/>
      <c r="T37" s="407"/>
      <c r="U37" s="407"/>
      <c r="V37" s="407"/>
      <c r="W37" s="407"/>
      <c r="X37" s="407"/>
      <c r="Y37" s="408"/>
    </row>
    <row r="38" spans="2:25">
      <c r="B38" s="441"/>
      <c r="C38" s="437"/>
      <c r="D38" s="437"/>
      <c r="E38" s="437"/>
      <c r="F38" s="437"/>
      <c r="G38" s="437"/>
      <c r="H38" s="442"/>
      <c r="J38" s="406"/>
      <c r="K38" s="407" t="s">
        <v>261</v>
      </c>
      <c r="L38" s="407"/>
      <c r="M38" s="416">
        <f>IF($G$51=1,'Ranch Strategies'!S142,'Ranch Strategies'!S225)</f>
        <v>31086.504244841639</v>
      </c>
      <c r="N38" s="417">
        <f>IF($G$51=1, 'Ranch Strategies'!S225, 'Ranch Strategies'!S142)</f>
        <v>37655.012309668113</v>
      </c>
      <c r="P38" s="406"/>
      <c r="Q38" s="407" t="s">
        <v>300</v>
      </c>
      <c r="R38" s="407" t="s">
        <v>282</v>
      </c>
      <c r="S38" s="407"/>
      <c r="T38" s="407" t="s">
        <v>283</v>
      </c>
      <c r="U38" s="407" t="s">
        <v>261</v>
      </c>
      <c r="V38" s="407" t="s">
        <v>284</v>
      </c>
      <c r="W38" s="407"/>
      <c r="X38" s="407" t="s">
        <v>296</v>
      </c>
      <c r="Y38" s="408"/>
    </row>
    <row r="39" spans="2:25" ht="13">
      <c r="B39" s="441"/>
      <c r="C39" s="366" t="s">
        <v>277</v>
      </c>
      <c r="D39" s="367"/>
      <c r="E39" s="367"/>
      <c r="F39" s="367"/>
      <c r="G39" s="368"/>
      <c r="H39" s="442"/>
      <c r="J39" s="406"/>
      <c r="K39" s="407" t="s">
        <v>284</v>
      </c>
      <c r="L39" s="407"/>
      <c r="M39" s="416">
        <f>IF($G$51=1,'Ranch Strategies'!T142,'Ranch Strategies'!T225)</f>
        <v>38558.906662415189</v>
      </c>
      <c r="N39" s="417">
        <f>IF($G$51=1, 'Ranch Strategies'!T225, 'Ranch Strategies'!T142)</f>
        <v>45229.248676908523</v>
      </c>
      <c r="P39" s="434" t="s">
        <v>279</v>
      </c>
      <c r="Q39" s="436">
        <f>IF($G$51=1,'Ranch Strategies'!P152,'Ranch Strategies'!P235)</f>
        <v>113820.40908141027</v>
      </c>
      <c r="R39" s="457">
        <f>IF($G$51=1, 'Ranch Strategies'!Q152,'Ranch Strategies'!Q235)</f>
        <v>113852.68485002359</v>
      </c>
      <c r="S39" s="458"/>
      <c r="T39" s="436">
        <f>IF($G$51=1, 'Ranch Strategies'!R152, 'Ranch Strategies'!R235)</f>
        <v>44388.266785003245</v>
      </c>
      <c r="U39" s="436">
        <f>IF($G$51=1, 'Ranch Strategies'!S152, 'Ranch Strategies'!S235)</f>
        <v>50168.861499292194</v>
      </c>
      <c r="V39" s="459">
        <f>IF($G$51=1, 'Ranch Strategies'!T152,'Ranch Strategies'!T235)</f>
        <v>143087.12296363164</v>
      </c>
      <c r="W39" s="460"/>
      <c r="X39" s="457">
        <f>IF($G$51=1, 'Ranch Strategies'!U152,'Ranch Strategies'!U235)</f>
        <v>-10105.444838360185</v>
      </c>
      <c r="Y39" s="458"/>
    </row>
    <row r="40" spans="2:25" s="402" customFormat="1" ht="13">
      <c r="B40" s="441"/>
      <c r="C40" s="374"/>
      <c r="D40" s="370"/>
      <c r="E40" s="370"/>
      <c r="F40" s="370"/>
      <c r="G40" s="371"/>
      <c r="H40" s="442"/>
      <c r="J40" s="410"/>
      <c r="K40" s="411" t="s">
        <v>285</v>
      </c>
      <c r="L40" s="411"/>
      <c r="M40" s="416">
        <f>IF($G$51=1,'Ranch Strategies'!U142,'Ranch Strategies'!U225)</f>
        <v>1296.1611080192333</v>
      </c>
      <c r="N40" s="417">
        <f>IF($G$51=1, 'Ranch Strategies'!U225, 'Ranch Strategies'!U142)</f>
        <v>1016.1875501759187</v>
      </c>
      <c r="P40" s="435" t="s">
        <v>286</v>
      </c>
      <c r="Q40" s="461">
        <f>IF($G$51=1, 'Ranch Strategies'!P235,'Ranch Strategies'!P152)</f>
        <v>137661.72955560556</v>
      </c>
      <c r="R40" s="462">
        <f>IF($G$51=1, 'Ranch Strategies'!Q235,'Ranch Strategies'!Q152)</f>
        <v>110254.02199789428</v>
      </c>
      <c r="S40" s="463"/>
      <c r="T40" s="464">
        <f>IF($G$51=1, 'Ranch Strategies'!R235,'Ranch Strategies'!R152)</f>
        <v>27557.810420024209</v>
      </c>
      <c r="U40" s="464">
        <f>IF($G$51=1, 'Ranch Strategies'!S235,'Ranch Strategies'!S152)</f>
        <v>33544.823217881611</v>
      </c>
      <c r="V40" s="462">
        <f>IF($G$51=1, 'Ranch Strategies'!T235,'Ranch Strategies'!T152)</f>
        <v>134679.658745041</v>
      </c>
      <c r="W40" s="463"/>
      <c r="X40" s="462">
        <f>IF($G$51=1, 'Ranch Strategies'!U235,'Ranch Strategies'!U152)</f>
        <v>-32695.391326505865</v>
      </c>
      <c r="Y40" s="463"/>
    </row>
    <row r="41" spans="2:25" ht="14" customHeight="1">
      <c r="B41" s="441"/>
      <c r="C41" s="465" t="s">
        <v>301</v>
      </c>
      <c r="D41" s="370"/>
      <c r="E41" s="370"/>
      <c r="F41" s="370"/>
      <c r="G41" s="467">
        <v>100</v>
      </c>
      <c r="H41" s="442"/>
    </row>
    <row r="42" spans="2:25" ht="14" customHeight="1">
      <c r="B42" s="441"/>
      <c r="C42" s="369" t="s">
        <v>21</v>
      </c>
      <c r="D42" s="370"/>
      <c r="E42" s="370"/>
      <c r="F42" s="370"/>
      <c r="G42" s="466">
        <v>16.489999999999998</v>
      </c>
      <c r="H42" s="442"/>
    </row>
    <row r="43" spans="2:25" ht="17">
      <c r="B43" s="441"/>
      <c r="C43" s="369" t="s">
        <v>51</v>
      </c>
      <c r="D43" s="370"/>
      <c r="E43" s="370"/>
      <c r="F43" s="370"/>
      <c r="G43" s="398">
        <v>6.5000000000000002E-2</v>
      </c>
      <c r="H43" s="447"/>
      <c r="J43" s="403"/>
      <c r="K43" s="433" t="s">
        <v>293</v>
      </c>
      <c r="L43" s="404"/>
      <c r="M43" s="404"/>
      <c r="N43" s="405"/>
    </row>
    <row r="44" spans="2:25">
      <c r="B44" s="441"/>
      <c r="C44" s="369" t="s">
        <v>52</v>
      </c>
      <c r="D44" s="370"/>
      <c r="E44" s="370"/>
      <c r="F44" s="370"/>
      <c r="G44" s="398">
        <v>1.2500000000000001E-2</v>
      </c>
      <c r="H44" s="447"/>
      <c r="J44" s="406"/>
      <c r="K44" s="407"/>
      <c r="L44" s="407"/>
      <c r="M44" s="407"/>
      <c r="N44" s="408"/>
    </row>
    <row r="45" spans="2:25">
      <c r="B45" s="441"/>
      <c r="C45" s="369" t="s">
        <v>36</v>
      </c>
      <c r="D45" s="370"/>
      <c r="E45" s="370"/>
      <c r="F45" s="370"/>
      <c r="G45" s="395">
        <v>0</v>
      </c>
      <c r="H45" s="444"/>
      <c r="J45" s="406"/>
      <c r="K45" s="407"/>
      <c r="L45" s="407"/>
      <c r="M45" s="413" t="s">
        <v>279</v>
      </c>
      <c r="N45" s="412" t="s">
        <v>286</v>
      </c>
    </row>
    <row r="46" spans="2:25">
      <c r="B46" s="441"/>
      <c r="C46" s="372" t="s">
        <v>278</v>
      </c>
      <c r="D46" s="373"/>
      <c r="E46" s="373"/>
      <c r="F46" s="373"/>
      <c r="G46" s="396">
        <v>0.19</v>
      </c>
      <c r="H46" s="445"/>
      <c r="J46" s="409" t="s">
        <v>287</v>
      </c>
      <c r="K46" s="407"/>
      <c r="L46" s="407"/>
      <c r="M46" s="407"/>
      <c r="N46" s="408"/>
    </row>
    <row r="47" spans="2:25">
      <c r="B47" s="441"/>
      <c r="C47" s="437"/>
      <c r="D47" s="437"/>
      <c r="E47" s="437"/>
      <c r="F47" s="437"/>
      <c r="G47" s="438"/>
      <c r="H47" s="445"/>
      <c r="J47" s="406"/>
      <c r="K47" s="407" t="s">
        <v>300</v>
      </c>
      <c r="L47" s="407"/>
      <c r="M47" s="414">
        <f>IF($G$51=1, 'Ranch Strategies'!P92, 'Ranch Strategies'!P175)</f>
        <v>542151.01341899997</v>
      </c>
      <c r="N47" s="415">
        <f>IF(G51=1, 'Ranch Strategies'!P175,'Ranch Strategies'!P92)</f>
        <v>546838.19999999995</v>
      </c>
    </row>
    <row r="48" spans="2:25">
      <c r="B48" s="441"/>
      <c r="C48" s="437"/>
      <c r="D48" s="437"/>
      <c r="E48" s="437"/>
      <c r="F48" s="437"/>
      <c r="G48" s="437"/>
      <c r="H48" s="442"/>
      <c r="J48" s="406"/>
      <c r="K48" s="407" t="s">
        <v>282</v>
      </c>
      <c r="L48" s="407"/>
      <c r="M48" s="416">
        <f>IF($G$51=1,'Ranch Strategies'!Q92,'Ranch Strategies'!Q175)</f>
        <v>542182.20546033559</v>
      </c>
      <c r="N48" s="417">
        <f>IF($G$51=1,'Ranch Strategies'!Q175,'Ranch Strategies'!Q92)</f>
        <v>520350.76426152949</v>
      </c>
    </row>
    <row r="49" spans="2:23" ht="13">
      <c r="B49" s="441"/>
      <c r="C49" s="382" t="s">
        <v>279</v>
      </c>
      <c r="D49" s="383"/>
      <c r="E49" s="383"/>
      <c r="F49" s="383"/>
      <c r="G49" s="384"/>
      <c r="H49" s="448"/>
      <c r="J49" s="406"/>
      <c r="K49" s="407" t="s">
        <v>283</v>
      </c>
      <c r="L49" s="407"/>
      <c r="M49" s="416">
        <f>IF($G$51=1,'Ranch Strategies'!R92,'Ranch Strategies'!R175)</f>
        <v>476724.2583072976</v>
      </c>
      <c r="N49" s="417">
        <f>IF($G$51=1,'Ranch Strategies'!R175,'Ranch Strategies'!R92)</f>
        <v>444900</v>
      </c>
    </row>
    <row r="50" spans="2:23">
      <c r="B50" s="441"/>
      <c r="C50" s="385"/>
      <c r="D50" s="386"/>
      <c r="E50" s="386"/>
      <c r="F50" s="386"/>
      <c r="G50" s="387"/>
      <c r="H50" s="448"/>
      <c r="J50" s="406"/>
      <c r="K50" s="407" t="s">
        <v>261</v>
      </c>
      <c r="L50" s="407"/>
      <c r="M50" s="416">
        <f>IF($G$51=1,'Ranch Strategies'!S92,'Ranch Strategies'!S175)</f>
        <v>481932.179403188</v>
      </c>
      <c r="N50" s="417">
        <f>IF($G$51=1,'Ranch Strategies'!S175,'Ranch Strategies'!S92)</f>
        <v>450107.9210958904</v>
      </c>
    </row>
    <row r="51" spans="2:23">
      <c r="B51" s="441"/>
      <c r="C51" s="385" t="s">
        <v>280</v>
      </c>
      <c r="D51" s="386"/>
      <c r="E51" s="386"/>
      <c r="F51" s="386"/>
      <c r="G51" s="390">
        <v>1</v>
      </c>
      <c r="H51" s="448"/>
      <c r="J51" s="406"/>
      <c r="K51" s="407" t="s">
        <v>284</v>
      </c>
      <c r="L51" s="407"/>
      <c r="M51" s="416">
        <f>IF($G$51=1,'Ranch Strategies'!T92,'Ranch Strategies'!T175)</f>
        <v>577570.49119880609</v>
      </c>
      <c r="N51" s="417">
        <f>IF($G$51=1,'Ranch Strategies'!T175,'Ranch Strategies'!T92)</f>
        <v>555739.05000000005</v>
      </c>
    </row>
    <row r="52" spans="2:23">
      <c r="B52" s="441"/>
      <c r="C52" s="385" t="s">
        <v>227</v>
      </c>
      <c r="D52" s="386"/>
      <c r="E52" s="386"/>
      <c r="F52" s="386"/>
      <c r="G52" s="399">
        <v>3000</v>
      </c>
      <c r="H52" s="449"/>
      <c r="J52" s="406"/>
      <c r="K52" s="407" t="s">
        <v>285</v>
      </c>
      <c r="L52" s="407"/>
      <c r="M52" s="416">
        <f>IF($G$51=1,'Ranch Strategies'!R92,'Ranch Strategies'!R175)</f>
        <v>476724.2583072976</v>
      </c>
      <c r="N52" s="417">
        <f>IF($G$51=1,'Ranch Strategies'!U175,'Ranch Strategies'!U92)</f>
        <v>479239.05000000005</v>
      </c>
    </row>
    <row r="53" spans="2:23">
      <c r="B53" s="441"/>
      <c r="C53" s="385" t="s">
        <v>205</v>
      </c>
      <c r="D53" s="386"/>
      <c r="E53" s="386"/>
      <c r="F53" s="386"/>
      <c r="G53" s="400">
        <v>0.9</v>
      </c>
      <c r="H53" s="450"/>
      <c r="J53" s="409" t="s">
        <v>288</v>
      </c>
      <c r="K53" s="407"/>
      <c r="L53" s="407"/>
      <c r="M53" s="407"/>
      <c r="N53" s="408"/>
    </row>
    <row r="54" spans="2:23">
      <c r="B54" s="441"/>
      <c r="C54" s="385" t="s">
        <v>228</v>
      </c>
      <c r="D54" s="386"/>
      <c r="E54" s="386"/>
      <c r="F54" s="386"/>
      <c r="G54" s="400">
        <v>1</v>
      </c>
      <c r="H54" s="450"/>
      <c r="J54" s="406"/>
      <c r="K54" s="407" t="s">
        <v>300</v>
      </c>
      <c r="L54" s="407"/>
      <c r="M54" s="416">
        <f>IF($G$51=1, 'Ranch Strategies'!P107,'Ranch Strategies'!P190)</f>
        <v>563464.52177806792</v>
      </c>
      <c r="N54" s="417">
        <f>IF($G$51=1, 'Ranch Strategies'!P190,'Ranch Strategies'!P107)</f>
        <v>572879.08756499994</v>
      </c>
    </row>
    <row r="55" spans="2:23">
      <c r="B55" s="441"/>
      <c r="C55" s="388" t="s">
        <v>229</v>
      </c>
      <c r="D55" s="389"/>
      <c r="E55" s="389"/>
      <c r="F55" s="389"/>
      <c r="G55" s="401">
        <v>33</v>
      </c>
      <c r="H55" s="451"/>
      <c r="J55" s="406"/>
      <c r="K55" s="407" t="s">
        <v>282</v>
      </c>
      <c r="L55" s="407"/>
      <c r="M55" s="416">
        <f>IF($G$51=1, 'Ranch Strategies'!Q107,'Ranch Strategies'!Q190)</f>
        <v>563495.98129115801</v>
      </c>
      <c r="N55" s="417">
        <f>IF($G$51=1, 'Ranch Strategies'!Q190,'Ranch Strategies'!Q107)</f>
        <v>546164.52206507209</v>
      </c>
    </row>
    <row r="56" spans="2:23">
      <c r="B56" s="441"/>
      <c r="C56" s="437"/>
      <c r="D56" s="437"/>
      <c r="E56" s="437"/>
      <c r="F56" s="437"/>
      <c r="G56" s="437"/>
      <c r="H56" s="442"/>
      <c r="J56" s="406"/>
      <c r="K56" s="407" t="s">
        <v>283</v>
      </c>
      <c r="L56" s="407"/>
      <c r="M56" s="416">
        <f>IF($G$51=1, 'Ranch Strategies'!R107,'Ranch Strategies'!R190)</f>
        <v>496278.30640422</v>
      </c>
      <c r="N56" s="417">
        <f>IF($G$51=1, 'Ranch Strategies'!R190,'Ranch Strategies'!R107)</f>
        <v>467722.19099999999</v>
      </c>
    </row>
    <row r="57" spans="2:23">
      <c r="B57" s="452"/>
      <c r="C57" s="453"/>
      <c r="D57" s="453"/>
      <c r="E57" s="453"/>
      <c r="F57" s="453"/>
      <c r="G57" s="453"/>
      <c r="H57" s="454"/>
      <c r="J57" s="406"/>
      <c r="K57" s="407" t="s">
        <v>261</v>
      </c>
      <c r="L57" s="407"/>
      <c r="M57" s="416">
        <f>IF($G$51=1, 'Ranch Strategies'!S107,'Ranch Strategies'!S190)</f>
        <v>501718.44870177616</v>
      </c>
      <c r="N57" s="417">
        <f>IF($G$51=1, 'Ranch Strategies'!S190,'Ranch Strategies'!S107)</f>
        <v>473162.33329755615</v>
      </c>
      <c r="Q57" s="155" t="s">
        <v>115</v>
      </c>
      <c r="R57" s="154" t="s">
        <v>109</v>
      </c>
      <c r="S57" t="s">
        <v>107</v>
      </c>
      <c r="T57" t="s">
        <v>110</v>
      </c>
      <c r="U57" t="s">
        <v>111</v>
      </c>
      <c r="V57" t="s">
        <v>112</v>
      </c>
      <c r="W57" t="s">
        <v>113</v>
      </c>
    </row>
    <row r="58" spans="2:23">
      <c r="J58" s="406"/>
      <c r="K58" s="407" t="s">
        <v>284</v>
      </c>
      <c r="L58" s="407"/>
      <c r="M58" s="416">
        <f>IF($G$51=1, 'Ranch Strategies'!T107,'Ranch Strategies'!T190)</f>
        <v>579093.15816083585</v>
      </c>
      <c r="N58" s="417">
        <f>IF($G$51=1, 'Ranch Strategies'!T190,'Ranch Strategies'!T107)</f>
        <v>557074.51235375006</v>
      </c>
      <c r="Q58" s="155" t="s">
        <v>116</v>
      </c>
      <c r="R58" s="159">
        <f>'Ranch Strategies'!$P$84</f>
        <v>46867.366500000004</v>
      </c>
      <c r="S58" s="159">
        <f>'Ranch Strategies'!$P$84</f>
        <v>46867.366500000004</v>
      </c>
      <c r="T58" s="159">
        <f>'Ranch Strategies'!$P$84</f>
        <v>46867.366500000004</v>
      </c>
      <c r="U58" s="159">
        <f>'Ranch Strategies'!$P$84</f>
        <v>46867.366500000004</v>
      </c>
      <c r="V58" s="159">
        <f>'Ranch Strategies'!$P$84</f>
        <v>46867.366500000004</v>
      </c>
      <c r="W58" s="159">
        <f>'Ranch Strategies'!$P$84</f>
        <v>46867.366500000004</v>
      </c>
    </row>
    <row r="59" spans="2:23">
      <c r="J59" s="406"/>
      <c r="K59" s="407" t="s">
        <v>285</v>
      </c>
      <c r="L59" s="407"/>
      <c r="M59" s="416">
        <f>IF($G$51=1, 'Ranch Strategies'!U107,'Ranch Strategies'!U190)</f>
        <v>501937.17066083587</v>
      </c>
      <c r="N59" s="417">
        <f>IF($G$51=1, 'Ranch Strategies'!U190,'Ranch Strategies'!U107)</f>
        <v>479918.52485375007</v>
      </c>
      <c r="Q59" s="149">
        <f>'Ranch Strategies'!E80</f>
        <v>1</v>
      </c>
      <c r="R59" s="148">
        <f>'Ranch Strategies'!P84</f>
        <v>46867.366500000004</v>
      </c>
      <c r="S59" s="148">
        <f>'Ranch Strategies'!Q84</f>
        <v>46912.835948011139</v>
      </c>
      <c r="T59" s="148">
        <f>'Ranch Strategies'!R84</f>
        <v>-33275.741692702402</v>
      </c>
      <c r="U59" s="148">
        <f>'Ranch Strategies'!S84</f>
        <v>-28067.820596812002</v>
      </c>
      <c r="V59" s="148">
        <f>'Ranch Strategies'!T84</f>
        <v>98499.258307297598</v>
      </c>
      <c r="W59" s="148">
        <f>'Ranch Strategies'!U84</f>
        <v>98499.258307297598</v>
      </c>
    </row>
    <row r="60" spans="2:23">
      <c r="J60" s="409" t="s">
        <v>289</v>
      </c>
      <c r="K60" s="407"/>
      <c r="L60" s="407"/>
      <c r="M60" s="407"/>
      <c r="N60" s="408"/>
      <c r="Q60" s="149">
        <f>'Ranch Strategies'!E94</f>
        <v>2</v>
      </c>
      <c r="R60" s="148">
        <f>'Ranch Strategies'!P99</f>
        <v>31069.254167737505</v>
      </c>
      <c r="S60" s="148">
        <f>'Ranch Strategies'!Q99</f>
        <v>31069.644068254198</v>
      </c>
      <c r="T60" s="148">
        <f>'Ranch Strategies'!R99</f>
        <v>28504.443289974348</v>
      </c>
      <c r="U60" s="148">
        <f>'Ranch Strategies'!S99</f>
        <v>28842.958161207225</v>
      </c>
      <c r="V60" s="148">
        <f>'Ranch Strategies'!T99</f>
        <v>2219.6311399850765</v>
      </c>
      <c r="W60" s="148">
        <f>'Ranch Strategies'!U99</f>
        <v>1263.3811399850765</v>
      </c>
    </row>
    <row r="61" spans="2:23">
      <c r="J61" s="406"/>
      <c r="K61" s="407" t="s">
        <v>300</v>
      </c>
      <c r="L61" s="407"/>
      <c r="M61" s="416">
        <f>IF($G$51=1, 'Ranch Strategies'!P121,'Ranch Strategies'!P204)</f>
        <v>584960.79347131483</v>
      </c>
      <c r="N61" s="417">
        <f>IF($G$51=1, 'Ranch Strategies'!P204,'Ranch Strategies'!P121)</f>
        <v>599143.27574086981</v>
      </c>
      <c r="Q61" s="149">
        <f>'Ranch Strategies'!E109</f>
        <v>3</v>
      </c>
      <c r="R61" s="148">
        <f>'Ranch Strategies'!P114</f>
        <v>31335.673022225852</v>
      </c>
      <c r="S61" s="148">
        <f>'Ranch Strategies'!Q114</f>
        <v>31336.066266139478</v>
      </c>
      <c r="T61" s="148">
        <f>'Ranch Strategies'!R114</f>
        <v>29775.456416274305</v>
      </c>
      <c r="U61" s="148">
        <f>'Ranch Strategies'!S114</f>
        <v>30129.065665615453</v>
      </c>
      <c r="V61" s="148">
        <f>'Ranch Strategies'!T114</f>
        <v>37906.03097701045</v>
      </c>
      <c r="W61" s="148">
        <f>'Ranch Strategies'!U114</f>
        <v>1274.2146332604489</v>
      </c>
    </row>
    <row r="62" spans="2:23">
      <c r="J62" s="406"/>
      <c r="K62" s="407" t="s">
        <v>282</v>
      </c>
      <c r="L62" s="407"/>
      <c r="M62" s="416">
        <f>IF($G$51=1, 'Ranch Strategies'!Q121,'Ranch Strategies'!Q204)</f>
        <v>584992.52274972969</v>
      </c>
      <c r="N62" s="417">
        <f>IF($G$51=1, 'Ranch Strategies'!Q204,'Ranch Strategies'!Q121)</f>
        <v>572199.63284178008</v>
      </c>
      <c r="Q62" s="149">
        <f>'Ranch Strategies'!E123</f>
        <v>4</v>
      </c>
      <c r="R62" s="148">
        <f>'Ranch Strategies'!P128</f>
        <v>31604.376418391439</v>
      </c>
      <c r="S62" s="148">
        <f>'Ranch Strategies'!Q128</f>
        <v>31604.773034371625</v>
      </c>
      <c r="T62" s="148">
        <f>'Ranch Strategies'!R128</f>
        <v>30751.169868822304</v>
      </c>
      <c r="U62" s="148">
        <f>'Ranch Strategies'!S128</f>
        <v>30822.20384685486</v>
      </c>
      <c r="V62" s="148">
        <f>'Ranch Strategies'!T128</f>
        <v>38231.075192638316</v>
      </c>
      <c r="W62" s="148">
        <f>'Ranch Strategies'!U128</f>
        <v>1285.1410237406571</v>
      </c>
    </row>
    <row r="63" spans="2:23">
      <c r="J63" s="406"/>
      <c r="K63" s="407" t="s">
        <v>283</v>
      </c>
      <c r="L63" s="407"/>
      <c r="M63" s="416">
        <f>IF($G$51=1, 'Ranch Strategies'!R121,'Ranch Strategies'!R204)</f>
        <v>516704.26950578415</v>
      </c>
      <c r="N63" s="417">
        <f>IF($G$51=1, 'Ranch Strategies'!R204,'Ranch Strategies'!R121)</f>
        <v>491562.02349668997</v>
      </c>
      <c r="Q63" s="149">
        <f>'Ranch Strategies'!E137</f>
        <v>5</v>
      </c>
      <c r="R63" s="148">
        <f>'Ranch Strategies'!P142</f>
        <v>31875.383946179147</v>
      </c>
      <c r="S63" s="148">
        <f>'Ranch Strategies'!Q142</f>
        <v>31875.783963141363</v>
      </c>
      <c r="T63" s="148">
        <f>'Ranch Strategies'!R142</f>
        <v>31014.861150447457</v>
      </c>
      <c r="U63" s="148">
        <f>'Ranch Strategies'!S128</f>
        <v>30822.20384685486</v>
      </c>
      <c r="V63" s="148">
        <f>'Ranch Strategies'!T142</f>
        <v>38558.906662415189</v>
      </c>
      <c r="W63" s="148">
        <f>'Ranch Strategies'!U142</f>
        <v>1296.1611080192333</v>
      </c>
    </row>
    <row r="64" spans="2:23">
      <c r="J64" s="406"/>
      <c r="K64" s="407" t="s">
        <v>261</v>
      </c>
      <c r="L64" s="407"/>
      <c r="M64" s="416">
        <f>IF($G$51=1, 'Ranch Strategies'!S121,'Ranch Strategies'!S204)</f>
        <v>522386.98774838838</v>
      </c>
      <c r="N64" s="417">
        <f>IF($G$51=1, 'Ranch Strategies'!S204,'Ranch Strategies'!S121)</f>
        <v>497244.7417392942</v>
      </c>
    </row>
    <row r="65" spans="10:14">
      <c r="J65" s="406"/>
      <c r="K65" s="407" t="s">
        <v>284</v>
      </c>
      <c r="L65" s="407"/>
      <c r="M65" s="416">
        <f>IF($G$51=1, 'Ranch Strategies'!T121,'Ranch Strategies'!T204)</f>
        <v>605096.69541106501</v>
      </c>
      <c r="N65" s="417">
        <f>IF($G$51=1, 'Ranch Strategies'!T204,'Ranch Strategies'!T121)</f>
        <v>587576.4262971835</v>
      </c>
    </row>
    <row r="66" spans="10:14">
      <c r="J66" s="406"/>
      <c r="K66" s="407" t="s">
        <v>285</v>
      </c>
      <c r="L66" s="407"/>
      <c r="M66" s="416">
        <f>IF($G$51=1, 'Ranch Strategies'!U121,'Ranch Strategies'!U204)</f>
        <v>502811.28189925256</v>
      </c>
      <c r="N66" s="417">
        <f>IF($G$51=1, 'Ranch Strategies'!U204,'Ranch Strategies'!U121)</f>
        <v>480603.826204371</v>
      </c>
    </row>
    <row r="67" spans="10:14">
      <c r="J67" s="409" t="s">
        <v>290</v>
      </c>
      <c r="K67" s="407"/>
      <c r="L67" s="407"/>
      <c r="M67" s="407"/>
      <c r="N67" s="408"/>
    </row>
    <row r="68" spans="10:14">
      <c r="J68" s="406"/>
      <c r="K68" s="407" t="s">
        <v>300</v>
      </c>
      <c r="L68" s="407"/>
      <c r="M68" s="416">
        <f>IF($G$51=1, 'Ranch Strategies'!P135,'Ranch Strategies'!P218)</f>
        <v>606641.39569433138</v>
      </c>
      <c r="N68" s="417">
        <f>IF($G$51=1, 'Ranch Strategies'!P218,'Ranch Strategies'!P135)</f>
        <v>625632.6793303478</v>
      </c>
    </row>
    <row r="69" spans="10:14">
      <c r="J69" s="406"/>
      <c r="K69" s="407" t="s">
        <v>282</v>
      </c>
      <c r="L69" s="407"/>
      <c r="M69" s="416">
        <f>IF($G$51=1, 'Ranch Strategies'!Q135,'Ranch Strategies'!Q218)</f>
        <v>606673.39705130865</v>
      </c>
      <c r="N69" s="417">
        <f>IF($G$51=1, 'Ranch Strategies'!Q218,'Ranch Strategies'!Q135)</f>
        <v>598457.99469339836</v>
      </c>
    </row>
    <row r="70" spans="10:14">
      <c r="J70" s="406"/>
      <c r="K70" s="407" t="s">
        <v>283</v>
      </c>
      <c r="L70" s="407"/>
      <c r="M70" s="416">
        <f>IF($G$51=1, 'Ranch Strategies'!R135,'Ranch Strategies'!R218)</f>
        <v>537799.57203579624</v>
      </c>
      <c r="N70" s="417">
        <f>IF($G$51=1, 'Ranch Strategies'!R218,'Ranch Strategies'!R135)</f>
        <v>516464.87412440742</v>
      </c>
    </row>
    <row r="71" spans="10:14">
      <c r="J71" s="406"/>
      <c r="K71" s="407" t="s">
        <v>261</v>
      </c>
      <c r="L71" s="407"/>
      <c r="M71" s="416">
        <f>IF($G$51=1, 'Ranch Strategies'!S135,'Ranch Strategies'!S218)</f>
        <v>543531.01958733075</v>
      </c>
      <c r="N71" s="417">
        <f>IF($G$51=1, 'Ranch Strategies'!S218,'Ranch Strategies'!S135)</f>
        <v>522400.98477344931</v>
      </c>
    </row>
    <row r="72" spans="10:14">
      <c r="J72" s="406"/>
      <c r="K72" s="407" t="s">
        <v>284</v>
      </c>
      <c r="L72" s="407"/>
      <c r="M72" s="416">
        <f>IF($G$51=1, 'Ranch Strategies'!T135,'Ranch Strategies'!T218)</f>
        <v>631323.21299321484</v>
      </c>
      <c r="N72" s="417">
        <f>IF($G$51=1, 'Ranch Strategies'!T218,'Ranch Strategies'!T135)</f>
        <v>618339.89415268181</v>
      </c>
    </row>
    <row r="73" spans="10:14">
      <c r="J73" s="406"/>
      <c r="K73" s="407" t="s">
        <v>285</v>
      </c>
      <c r="L73" s="407"/>
      <c r="M73" s="416">
        <f>IF($G$51=1, 'Ranch Strategies'!U135,'Ranch Strategies'!U218)</f>
        <v>503692.88864153862</v>
      </c>
      <c r="N73" s="417">
        <f>IF($G$51=1, 'Ranch Strategies'!U218,'Ranch Strategies'!U135)</f>
        <v>481295.00401407346</v>
      </c>
    </row>
    <row r="74" spans="10:14">
      <c r="J74" s="409" t="s">
        <v>291</v>
      </c>
      <c r="K74" s="407"/>
      <c r="L74" s="407"/>
      <c r="M74" s="407"/>
      <c r="N74" s="408"/>
    </row>
    <row r="75" spans="10:14">
      <c r="J75" s="406"/>
      <c r="K75" s="407" t="s">
        <v>300</v>
      </c>
      <c r="L75" s="407"/>
      <c r="M75" s="416">
        <f>IF($G$51=1,'Ranch Strategies'!P149,'Ranch Strategies'!P232)</f>
        <v>628507.90908141027</v>
      </c>
      <c r="N75" s="417">
        <f>IF($G$51=1,'Ranch Strategies'!P232,'Ranch Strategies'!P149)</f>
        <v>652349.22955560556</v>
      </c>
    </row>
    <row r="76" spans="10:14">
      <c r="J76" s="406"/>
      <c r="K76" s="407" t="s">
        <v>282</v>
      </c>
      <c r="L76" s="407"/>
      <c r="M76" s="416">
        <f>IF($G$51=1,'Ranch Strategies'!Q149,'Ranch Strategies'!Q232)</f>
        <v>628540.18485002359</v>
      </c>
      <c r="N76" s="417">
        <f>IF($G$51=1,'Ranch Strategies'!Q232,'Ranch Strategies'!Q149)</f>
        <v>624941.52199789428</v>
      </c>
    </row>
    <row r="77" spans="10:14">
      <c r="J77" s="406"/>
      <c r="K77" s="407" t="s">
        <v>283</v>
      </c>
      <c r="L77" s="407"/>
      <c r="M77" s="416">
        <f>IF($G$51=1,'Ranch Strategies'!R149,'Ranch Strategies'!R232)</f>
        <v>559075.76678500324</v>
      </c>
      <c r="N77" s="417">
        <f>IF($G$51=1,'Ranch Strategies'!R232,'Ranch Strategies'!R149)</f>
        <v>542245.31042002421</v>
      </c>
    </row>
    <row r="78" spans="10:14">
      <c r="J78" s="406"/>
      <c r="K78" s="407" t="s">
        <v>261</v>
      </c>
      <c r="L78" s="407"/>
      <c r="M78" s="416">
        <f>IF($G$51=1,'Ranch Strategies'!S149,'Ranch Strategies'!S232)</f>
        <v>564856.36149929219</v>
      </c>
      <c r="N78" s="417">
        <f>IF($G$51=1,'Ranch Strategies'!S232,'Ranch Strategies'!S149)</f>
        <v>548232.32321788161</v>
      </c>
    </row>
    <row r="79" spans="10:14">
      <c r="J79" s="406"/>
      <c r="K79" s="407" t="s">
        <v>284</v>
      </c>
      <c r="L79" s="407"/>
      <c r="M79" s="416">
        <f>IF($G$51=1,'Ranch Strategies'!T149,'Ranch Strategies'!T232)</f>
        <v>657774.62296363164</v>
      </c>
      <c r="N79" s="417">
        <f>IF($G$51=1,'Ranch Strategies'!T232,'Ranch Strategies'!T149)</f>
        <v>649367.158745041</v>
      </c>
    </row>
    <row r="80" spans="10:14">
      <c r="J80" s="410"/>
      <c r="K80" s="411" t="s">
        <v>285</v>
      </c>
      <c r="L80" s="411"/>
      <c r="M80" s="416">
        <f>IF($G$51=1,'Ranch Strategies'!U149,'Ranch Strategies'!U232)</f>
        <v>504582.05516163982</v>
      </c>
      <c r="N80" s="417">
        <f>IF($G$51=1,'Ranch Strategies'!U232,'Ranch Strategies'!U149)</f>
        <v>481992.10867349413</v>
      </c>
    </row>
  </sheetData>
  <dataValidations count="3">
    <dataValidation type="list" allowBlank="1" showInputMessage="1" showErrorMessage="1" sqref="G53:H53">
      <formula1>$CJ$11:$CJ$15</formula1>
    </dataValidation>
    <dataValidation type="list" allowBlank="1" showInputMessage="1" showErrorMessage="1" sqref="F10 F12">
      <formula1>$CH$13:$CH$24</formula1>
    </dataValidation>
    <dataValidation type="list" allowBlank="1" showInputMessage="1" showErrorMessage="1" sqref="F9 F11">
      <formula1>$CH$13:$CH$25</formula1>
    </dataValidation>
  </dataValidation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38"/>
  <sheetViews>
    <sheetView workbookViewId="0">
      <selection activeCell="F3" sqref="F3"/>
    </sheetView>
  </sheetViews>
  <sheetFormatPr baseColWidth="10" defaultColWidth="9.1640625" defaultRowHeight="14" x14ac:dyDescent="0"/>
  <cols>
    <col min="1" max="1" width="13.5" style="172" customWidth="1"/>
    <col min="2" max="4" width="9.1640625" style="172"/>
    <col min="5" max="5" width="9.1640625" style="172" customWidth="1"/>
    <col min="6" max="8" width="9.1640625" style="172"/>
    <col min="9" max="10" width="9.1640625" style="172" customWidth="1"/>
    <col min="11" max="16384" width="9.1640625" style="172"/>
  </cols>
  <sheetData>
    <row r="1" spans="1:24" ht="15" thickBot="1">
      <c r="A1"/>
      <c r="B1"/>
      <c r="C1"/>
      <c r="D1"/>
      <c r="P1"/>
    </row>
    <row r="2" spans="1:24" ht="15" thickBot="1">
      <c r="A2"/>
      <c r="B2"/>
      <c r="C2"/>
      <c r="D2" t="s">
        <v>268</v>
      </c>
      <c r="E2" s="225" t="s">
        <v>255</v>
      </c>
      <c r="F2" s="269" t="s">
        <v>256</v>
      </c>
      <c r="G2" s="225" t="s">
        <v>257</v>
      </c>
      <c r="H2" s="225"/>
      <c r="P2"/>
    </row>
    <row r="3" spans="1:24">
      <c r="A3" s="174" t="s">
        <v>187</v>
      </c>
      <c r="B3"/>
      <c r="C3"/>
      <c r="D3">
        <f>SUM(D16:O16)</f>
        <v>0.52236121052680584</v>
      </c>
      <c r="E3" s="172">
        <f>SUM(D17:O17)</f>
        <v>0.69608894391079501</v>
      </c>
      <c r="F3" s="172">
        <f>SUM(D18:O18)</f>
        <v>0.70889512875856031</v>
      </c>
      <c r="G3" s="172">
        <f>SUM(D19:O19)</f>
        <v>0.7869009834157159</v>
      </c>
      <c r="P3"/>
    </row>
    <row r="4" spans="1:24">
      <c r="P4"/>
    </row>
    <row r="5" spans="1:24">
      <c r="A5" s="268"/>
      <c r="P5"/>
    </row>
    <row r="6" spans="1:24">
      <c r="B6"/>
      <c r="C6"/>
      <c r="D6" s="181" t="s">
        <v>174</v>
      </c>
      <c r="E6" s="181" t="s">
        <v>175</v>
      </c>
      <c r="F6" s="181" t="s">
        <v>176</v>
      </c>
      <c r="G6" s="181" t="s">
        <v>177</v>
      </c>
      <c r="H6" s="181" t="s">
        <v>178</v>
      </c>
      <c r="I6" s="181" t="s">
        <v>179</v>
      </c>
      <c r="J6" s="181" t="s">
        <v>180</v>
      </c>
      <c r="K6" s="181" t="s">
        <v>181</v>
      </c>
      <c r="L6" s="181" t="s">
        <v>182</v>
      </c>
      <c r="M6" s="181" t="s">
        <v>183</v>
      </c>
      <c r="N6" s="181" t="s">
        <v>184</v>
      </c>
      <c r="O6" s="181" t="s">
        <v>185</v>
      </c>
      <c r="P6"/>
    </row>
    <row r="7" spans="1:24">
      <c r="A7" s="225" t="s">
        <v>250</v>
      </c>
      <c r="D7" s="227">
        <v>1</v>
      </c>
      <c r="E7" s="227">
        <v>2</v>
      </c>
      <c r="F7" s="227">
        <v>3</v>
      </c>
      <c r="G7" s="227">
        <v>4</v>
      </c>
      <c r="H7" s="227">
        <v>5</v>
      </c>
      <c r="I7" s="227">
        <v>6</v>
      </c>
      <c r="J7" s="227">
        <v>7</v>
      </c>
      <c r="K7" s="227">
        <v>8</v>
      </c>
      <c r="L7" s="227">
        <v>9</v>
      </c>
      <c r="M7" s="227">
        <v>10</v>
      </c>
      <c r="N7" s="227">
        <v>11</v>
      </c>
      <c r="O7" s="227">
        <v>12</v>
      </c>
      <c r="P7"/>
      <c r="X7"/>
    </row>
    <row r="8" spans="1:24">
      <c r="A8" s="225" t="s">
        <v>186</v>
      </c>
      <c r="D8" s="173">
        <f>'CPER Precip'!B81</f>
        <v>0.29934210526315791</v>
      </c>
      <c r="E8" s="173">
        <f>'CPER Precip'!C81</f>
        <v>0.27960526315789486</v>
      </c>
      <c r="F8" s="173">
        <f>'CPER Precip'!D81</f>
        <v>0.72394736842105234</v>
      </c>
      <c r="G8" s="173">
        <f>'CPER Precip'!E81</f>
        <v>1.2507894736842105</v>
      </c>
      <c r="H8" s="173">
        <f>'CPER Precip'!F81</f>
        <v>2.2273684210526317</v>
      </c>
      <c r="I8" s="173">
        <f>'CPER Precip'!G81</f>
        <v>2.2528947368421059</v>
      </c>
      <c r="J8" s="173">
        <f>'CPER Precip'!H81</f>
        <v>2.0469736842105264</v>
      </c>
      <c r="K8" s="173">
        <f>'CPER Precip'!I81</f>
        <v>1.6693421052631578</v>
      </c>
      <c r="L8" s="173">
        <f>'CPER Precip'!J81</f>
        <v>1.2435064935064939</v>
      </c>
      <c r="M8" s="173">
        <f>'CPER Precip'!K81</f>
        <v>0.78220779220779235</v>
      </c>
      <c r="N8" s="173">
        <f>'CPER Precip'!L81</f>
        <v>0.39155844155844155</v>
      </c>
      <c r="O8" s="173">
        <f>'CPER Precip'!M81</f>
        <v>0.27376623376623377</v>
      </c>
      <c r="P8"/>
      <c r="Q8" s="348" t="s">
        <v>304</v>
      </c>
      <c r="X8"/>
    </row>
    <row r="9" spans="1:24">
      <c r="A9" s="225" t="s">
        <v>173</v>
      </c>
      <c r="B9" s="226">
        <f>UI!F8</f>
        <v>2002</v>
      </c>
      <c r="C9" s="226">
        <f>UI!F9</f>
        <v>6</v>
      </c>
      <c r="D9" s="172">
        <f>VLOOKUP($B$9, 'CPER Precip'!$A$2:$M$81,D7+1)</f>
        <v>0.23</v>
      </c>
      <c r="E9" s="172">
        <f>VLOOKUP($B$9, 'CPER Precip'!$A$2:$M$81,E7+1)</f>
        <v>0.26</v>
      </c>
      <c r="F9" s="172">
        <f>VLOOKUP($B$9, 'CPER Precip'!$A$2:$M$81,F7+1)</f>
        <v>0.69</v>
      </c>
      <c r="G9" s="172">
        <f>VLOOKUP($B$9, 'CPER Precip'!$A$2:$M$81,G7+1)</f>
        <v>0.32</v>
      </c>
      <c r="H9" s="172">
        <f>VLOOKUP($B$9, 'CPER Precip'!$A$2:$M$81,H7+1)</f>
        <v>1.27</v>
      </c>
      <c r="I9" s="172">
        <f>VLOOKUP($B$9, 'CPER Precip'!$A$2:$M$81,I7+1)</f>
        <v>1.1200000000000001</v>
      </c>
      <c r="J9" s="172">
        <f>VLOOKUP($B$9, 'CPER Precip'!$A$2:$M$81,J7+1)</f>
        <v>1.75</v>
      </c>
      <c r="K9" s="172">
        <f>VLOOKUP($B$9, 'CPER Precip'!$A$2:$M$81,K7+1)</f>
        <v>1.28</v>
      </c>
      <c r="L9" s="172">
        <f>VLOOKUP($B$9, 'CPER Precip'!$A$2:$M$81,L7+1)</f>
        <v>1.46</v>
      </c>
      <c r="M9" s="172">
        <f>VLOOKUP($B$9, 'CPER Precip'!$A$2:$M$81,M7+1)</f>
        <v>0.7</v>
      </c>
      <c r="N9" s="172">
        <f>VLOOKUP($B$9, 'CPER Precip'!$A$2:$M$81,N7+1)</f>
        <v>0.45</v>
      </c>
      <c r="O9" s="172">
        <f>VLOOKUP($B$9, 'CPER Precip'!$A$2:$M$81,O7+1)</f>
        <v>0.03</v>
      </c>
      <c r="P9"/>
      <c r="Q9" s="226">
        <v>8</v>
      </c>
      <c r="X9"/>
    </row>
    <row r="10" spans="1:24">
      <c r="A10" s="225" t="s">
        <v>204</v>
      </c>
      <c r="D10" s="172">
        <f>D9/D8</f>
        <v>0.76835164835164838</v>
      </c>
      <c r="E10" s="172">
        <f t="shared" ref="E10:O10" si="0">E9/E8</f>
        <v>0.92988235294117605</v>
      </c>
      <c r="F10" s="172">
        <f t="shared" si="0"/>
        <v>0.9531079607415488</v>
      </c>
      <c r="G10" s="172">
        <f t="shared" si="0"/>
        <v>0.25583841784136335</v>
      </c>
      <c r="H10" s="172">
        <f t="shared" si="0"/>
        <v>0.57017958412098302</v>
      </c>
      <c r="I10" s="172">
        <f t="shared" si="0"/>
        <v>0.49713818479149624</v>
      </c>
      <c r="J10" s="172">
        <f t="shared" si="0"/>
        <v>0.85492061451436652</v>
      </c>
      <c r="K10" s="172">
        <f t="shared" si="0"/>
        <v>0.76676913375896594</v>
      </c>
      <c r="L10" s="172">
        <f t="shared" si="0"/>
        <v>1.1740992167101825</v>
      </c>
      <c r="M10" s="172">
        <f t="shared" si="0"/>
        <v>0.89490287232276255</v>
      </c>
      <c r="N10" s="172">
        <f t="shared" si="0"/>
        <v>1.1492537313432836</v>
      </c>
      <c r="O10" s="172">
        <f t="shared" si="0"/>
        <v>0.10958254269449715</v>
      </c>
      <c r="P10"/>
      <c r="X10"/>
    </row>
    <row r="11" spans="1:24">
      <c r="A11" s="225" t="s">
        <v>251</v>
      </c>
      <c r="B11"/>
      <c r="C11"/>
      <c r="D11" s="348">
        <v>0.158</v>
      </c>
      <c r="E11" s="348">
        <v>0</v>
      </c>
      <c r="F11" s="348">
        <v>0.13800000000000001</v>
      </c>
      <c r="G11" s="348">
        <v>0.39800000000000002</v>
      </c>
      <c r="H11" s="348">
        <v>0.21199999999999999</v>
      </c>
      <c r="I11" s="348">
        <v>9.4E-2</v>
      </c>
      <c r="J11" s="348">
        <v>0</v>
      </c>
      <c r="K11" s="348">
        <v>0</v>
      </c>
      <c r="L11" s="348">
        <v>0</v>
      </c>
      <c r="M11" s="348">
        <v>0</v>
      </c>
      <c r="N11" s="348">
        <v>0</v>
      </c>
      <c r="O11" s="348">
        <v>0</v>
      </c>
      <c r="P11"/>
      <c r="Q11"/>
      <c r="R11"/>
      <c r="X11"/>
    </row>
    <row r="12" spans="1:24">
      <c r="A12" s="225" t="s">
        <v>252</v>
      </c>
      <c r="B12"/>
      <c r="C12"/>
      <c r="D12" s="359">
        <v>0.01</v>
      </c>
      <c r="E12" s="359">
        <v>0.01</v>
      </c>
      <c r="F12" s="359">
        <v>4.0476937558832769E-2</v>
      </c>
      <c r="G12" s="359">
        <v>0.11</v>
      </c>
      <c r="H12" s="359">
        <v>0.16</v>
      </c>
      <c r="I12" s="359">
        <v>0.21</v>
      </c>
      <c r="J12" s="359">
        <v>0.16</v>
      </c>
      <c r="K12" s="359">
        <v>9.6015061186068409E-2</v>
      </c>
      <c r="L12" s="359">
        <v>0.105</v>
      </c>
      <c r="M12" s="359">
        <v>7.8757452149356769E-2</v>
      </c>
      <c r="N12" s="359">
        <v>0.01</v>
      </c>
      <c r="O12" s="359">
        <v>0.01</v>
      </c>
      <c r="P12"/>
      <c r="Q12"/>
      <c r="R12"/>
      <c r="X12"/>
    </row>
    <row r="13" spans="1:24">
      <c r="A13" s="225" t="s">
        <v>253</v>
      </c>
      <c r="D13" s="360">
        <v>0.01</v>
      </c>
      <c r="E13" s="361">
        <v>0.01</v>
      </c>
      <c r="F13" s="361">
        <v>4.4999999999999998E-2</v>
      </c>
      <c r="G13" s="361">
        <v>0.08</v>
      </c>
      <c r="H13" s="361">
        <v>0.17</v>
      </c>
      <c r="I13" s="361">
        <v>0.21</v>
      </c>
      <c r="J13" s="361">
        <v>0.16500000000000001</v>
      </c>
      <c r="K13" s="361">
        <v>0.13</v>
      </c>
      <c r="L13" s="361">
        <v>0.11</v>
      </c>
      <c r="M13" s="361">
        <v>0.05</v>
      </c>
      <c r="N13" s="361">
        <v>0.01</v>
      </c>
      <c r="O13" s="361">
        <v>0.01</v>
      </c>
      <c r="Q13"/>
      <c r="R13"/>
      <c r="X13"/>
    </row>
    <row r="14" spans="1:24">
      <c r="A14" s="225" t="s">
        <v>254</v>
      </c>
      <c r="D14" s="362">
        <v>0.01</v>
      </c>
      <c r="E14" s="362">
        <v>0.01</v>
      </c>
      <c r="F14" s="362">
        <v>3.7970000000000004E-2</v>
      </c>
      <c r="G14" s="362">
        <v>4.2050000000000004E-2</v>
      </c>
      <c r="H14" s="362">
        <v>7.4999999999999997E-2</v>
      </c>
      <c r="I14" s="362">
        <v>0.12</v>
      </c>
      <c r="J14" s="362">
        <v>0.25</v>
      </c>
      <c r="K14" s="362">
        <v>0.24</v>
      </c>
      <c r="L14" s="362">
        <v>0.12797</v>
      </c>
      <c r="M14" s="362">
        <v>6.7000000000000004E-2</v>
      </c>
      <c r="N14" s="362">
        <v>0.01</v>
      </c>
      <c r="O14" s="362">
        <v>0.01</v>
      </c>
      <c r="Q14"/>
      <c r="R14"/>
      <c r="X14"/>
    </row>
    <row r="15" spans="1:24" ht="15">
      <c r="A15" s="225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X15"/>
    </row>
    <row r="16" spans="1:24">
      <c r="A16" s="348" t="s">
        <v>264</v>
      </c>
      <c r="D16" s="172">
        <f>D11*D$10</f>
        <v>0.12139956043956045</v>
      </c>
      <c r="E16" s="172">
        <f t="shared" ref="E16:O16" si="1">E11*E$10</f>
        <v>0</v>
      </c>
      <c r="F16" s="172">
        <f t="shared" si="1"/>
        <v>0.13152889858233374</v>
      </c>
      <c r="G16" s="172">
        <f t="shared" si="1"/>
        <v>0.10182369030086262</v>
      </c>
      <c r="H16" s="172">
        <f t="shared" si="1"/>
        <v>0.12087807183364839</v>
      </c>
      <c r="I16" s="172">
        <f t="shared" si="1"/>
        <v>4.6730989370400648E-2</v>
      </c>
      <c r="J16" s="172">
        <f t="shared" si="1"/>
        <v>0</v>
      </c>
      <c r="K16" s="172">
        <f t="shared" si="1"/>
        <v>0</v>
      </c>
      <c r="L16" s="172">
        <f t="shared" si="1"/>
        <v>0</v>
      </c>
      <c r="M16" s="172">
        <f t="shared" si="1"/>
        <v>0</v>
      </c>
      <c r="N16" s="172">
        <f t="shared" si="1"/>
        <v>0</v>
      </c>
      <c r="O16" s="172">
        <f t="shared" si="1"/>
        <v>0</v>
      </c>
      <c r="X16"/>
    </row>
    <row r="17" spans="1:24">
      <c r="A17" s="348" t="s">
        <v>265</v>
      </c>
      <c r="D17" s="172">
        <f t="shared" ref="D17:O18" si="2">D12*D$10</f>
        <v>7.6835164835164843E-3</v>
      </c>
      <c r="E17" s="172">
        <f t="shared" si="2"/>
        <v>9.2988235294117604E-3</v>
      </c>
      <c r="F17" s="172">
        <f t="shared" si="2"/>
        <v>3.8578891413762105E-2</v>
      </c>
      <c r="G17" s="172">
        <f t="shared" si="2"/>
        <v>2.814222596254997E-2</v>
      </c>
      <c r="H17" s="172">
        <f t="shared" si="2"/>
        <v>9.1228733459357281E-2</v>
      </c>
      <c r="I17" s="172">
        <f t="shared" si="2"/>
        <v>0.1043990188062142</v>
      </c>
      <c r="J17" s="172">
        <f t="shared" si="2"/>
        <v>0.13678729832229863</v>
      </c>
      <c r="K17" s="172">
        <f t="shared" si="2"/>
        <v>7.3621385293455785E-2</v>
      </c>
      <c r="L17" s="172">
        <f t="shared" si="2"/>
        <v>0.12328041775456916</v>
      </c>
      <c r="M17" s="172">
        <f t="shared" si="2"/>
        <v>7.0480270145281895E-2</v>
      </c>
      <c r="N17" s="172">
        <f t="shared" si="2"/>
        <v>1.1492537313432836E-2</v>
      </c>
      <c r="O17" s="172">
        <f t="shared" si="2"/>
        <v>1.0958254269449715E-3</v>
      </c>
      <c r="X17"/>
    </row>
    <row r="18" spans="1:24">
      <c r="A18" s="348" t="s">
        <v>266</v>
      </c>
      <c r="D18" s="172">
        <f t="shared" si="2"/>
        <v>7.6835164835164843E-3</v>
      </c>
      <c r="E18" s="172">
        <f t="shared" si="2"/>
        <v>9.2988235294117604E-3</v>
      </c>
      <c r="F18" s="172">
        <f t="shared" si="2"/>
        <v>4.2889858233369695E-2</v>
      </c>
      <c r="G18" s="172">
        <f t="shared" si="2"/>
        <v>2.0467073427309069E-2</v>
      </c>
      <c r="H18" s="172">
        <f t="shared" si="2"/>
        <v>9.6930529300567114E-2</v>
      </c>
      <c r="I18" s="172">
        <f t="shared" si="2"/>
        <v>0.1043990188062142</v>
      </c>
      <c r="J18" s="172">
        <f t="shared" si="2"/>
        <v>0.14106190139487049</v>
      </c>
      <c r="K18" s="172">
        <f t="shared" si="2"/>
        <v>9.967998738866557E-2</v>
      </c>
      <c r="L18" s="172">
        <f t="shared" si="2"/>
        <v>0.12915091383812008</v>
      </c>
      <c r="M18" s="172">
        <f t="shared" si="2"/>
        <v>4.4745143616138128E-2</v>
      </c>
      <c r="N18" s="172">
        <f t="shared" si="2"/>
        <v>1.1492537313432836E-2</v>
      </c>
      <c r="O18" s="172">
        <f t="shared" si="2"/>
        <v>1.0958254269449715E-3</v>
      </c>
      <c r="X18"/>
    </row>
    <row r="19" spans="1:24">
      <c r="A19" s="348" t="s">
        <v>267</v>
      </c>
      <c r="D19" s="172">
        <f>D14*D$10</f>
        <v>7.6835164835164843E-3</v>
      </c>
      <c r="E19" s="172">
        <f t="shared" ref="E19:O19" si="3">E14*E$10</f>
        <v>9.2988235294117604E-3</v>
      </c>
      <c r="F19" s="172">
        <f t="shared" si="3"/>
        <v>3.6189509269356608E-2</v>
      </c>
      <c r="G19" s="172">
        <f t="shared" si="3"/>
        <v>1.075800547022933E-2</v>
      </c>
      <c r="H19" s="172">
        <f t="shared" si="3"/>
        <v>4.2763468809073724E-2</v>
      </c>
      <c r="I19" s="172">
        <f t="shared" si="3"/>
        <v>5.9656582174979544E-2</v>
      </c>
      <c r="J19" s="172">
        <f t="shared" si="3"/>
        <v>0.21373015362859163</v>
      </c>
      <c r="K19" s="172">
        <f t="shared" si="3"/>
        <v>0.18402459210215183</v>
      </c>
      <c r="L19" s="172">
        <f t="shared" si="3"/>
        <v>0.15024947676240205</v>
      </c>
      <c r="M19" s="172">
        <f t="shared" si="3"/>
        <v>5.9958492445625095E-2</v>
      </c>
      <c r="N19" s="172">
        <f t="shared" si="3"/>
        <v>1.1492537313432836E-2</v>
      </c>
      <c r="O19" s="172">
        <f t="shared" si="3"/>
        <v>1.0958254269449715E-3</v>
      </c>
      <c r="X19"/>
    </row>
    <row r="20" spans="1:24">
      <c r="X20"/>
    </row>
    <row r="21" spans="1:2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X83"/>
  <sheetViews>
    <sheetView topLeftCell="A65" zoomScale="125" zoomScaleNormal="125" zoomScalePageLayoutView="125" workbookViewId="0">
      <selection activeCell="N31" sqref="N31"/>
    </sheetView>
  </sheetViews>
  <sheetFormatPr baseColWidth="10" defaultColWidth="9.1640625" defaultRowHeight="12" x14ac:dyDescent="0"/>
  <cols>
    <col min="1" max="1" width="12.5" style="175" customWidth="1"/>
    <col min="2" max="13" width="5.6640625" style="175" customWidth="1"/>
    <col min="14" max="14" width="6.5" style="175" customWidth="1"/>
    <col min="15" max="16384" width="9.1640625" style="175"/>
  </cols>
  <sheetData>
    <row r="1" spans="1:16">
      <c r="A1" s="175" t="s">
        <v>188</v>
      </c>
      <c r="B1" s="473"/>
      <c r="C1" s="473"/>
      <c r="D1" s="473"/>
      <c r="E1" s="473"/>
      <c r="F1" s="473"/>
      <c r="G1" s="473"/>
      <c r="H1" s="473"/>
      <c r="I1" s="473"/>
      <c r="J1" s="473"/>
    </row>
    <row r="2" spans="1:16">
      <c r="A2" s="175" t="s">
        <v>173</v>
      </c>
      <c r="B2" s="176" t="s">
        <v>189</v>
      </c>
      <c r="C2" s="176" t="s">
        <v>190</v>
      </c>
      <c r="D2" s="176" t="s">
        <v>191</v>
      </c>
      <c r="E2" s="176" t="s">
        <v>192</v>
      </c>
      <c r="F2" s="176" t="s">
        <v>193</v>
      </c>
      <c r="G2" s="176" t="s">
        <v>194</v>
      </c>
      <c r="H2" s="176" t="s">
        <v>195</v>
      </c>
      <c r="I2" s="176" t="s">
        <v>196</v>
      </c>
      <c r="J2" s="176" t="s">
        <v>197</v>
      </c>
      <c r="K2" s="176" t="s">
        <v>198</v>
      </c>
      <c r="L2" s="176" t="s">
        <v>199</v>
      </c>
      <c r="M2" s="176" t="s">
        <v>200</v>
      </c>
      <c r="N2" s="175" t="s">
        <v>56</v>
      </c>
    </row>
    <row r="3" spans="1:16">
      <c r="A3" s="175">
        <v>1939</v>
      </c>
      <c r="B3" s="177">
        <v>0.15</v>
      </c>
      <c r="C3" s="177">
        <v>0.37</v>
      </c>
      <c r="D3" s="177">
        <v>1.1599999999999999</v>
      </c>
      <c r="E3" s="177">
        <v>0.54</v>
      </c>
      <c r="F3" s="177">
        <v>1.17</v>
      </c>
      <c r="G3" s="177">
        <v>0.66</v>
      </c>
      <c r="H3" s="177">
        <v>0.44</v>
      </c>
      <c r="I3" s="177">
        <v>0.48</v>
      </c>
      <c r="J3" s="177">
        <v>0.16</v>
      </c>
      <c r="K3" s="177">
        <v>0</v>
      </c>
      <c r="L3" s="177">
        <v>0</v>
      </c>
      <c r="M3" s="177">
        <v>7.0000000000000007E-2</v>
      </c>
      <c r="N3" s="177">
        <f>SUM(B3:M3)</f>
        <v>5.2000000000000011</v>
      </c>
    </row>
    <row r="4" spans="1:16">
      <c r="A4" s="175">
        <v>1940</v>
      </c>
      <c r="B4" s="177">
        <v>1.05</v>
      </c>
      <c r="C4" s="177">
        <v>0.25</v>
      </c>
      <c r="D4" s="177">
        <v>0.46</v>
      </c>
      <c r="E4" s="177">
        <v>0.73</v>
      </c>
      <c r="F4" s="177">
        <v>2.65</v>
      </c>
      <c r="G4" s="177">
        <v>0.86</v>
      </c>
      <c r="H4" s="177">
        <v>2.77</v>
      </c>
      <c r="I4" s="177">
        <v>0.93</v>
      </c>
      <c r="J4" s="177">
        <v>4.54</v>
      </c>
      <c r="K4" s="177">
        <v>0.24</v>
      </c>
      <c r="L4" s="177">
        <v>0.27</v>
      </c>
      <c r="M4" s="177">
        <v>0.06</v>
      </c>
      <c r="N4" s="177">
        <f t="shared" ref="N4:N67" si="0">SUM(B4:M4)</f>
        <v>14.810000000000002</v>
      </c>
    </row>
    <row r="5" spans="1:16">
      <c r="A5" s="175">
        <v>1941</v>
      </c>
      <c r="B5" s="177">
        <v>0.21</v>
      </c>
      <c r="C5" s="177">
        <v>0.05</v>
      </c>
      <c r="D5" s="177">
        <v>0.65</v>
      </c>
      <c r="E5" s="177">
        <v>2.8</v>
      </c>
      <c r="F5" s="177">
        <v>1.73</v>
      </c>
      <c r="G5" s="177">
        <v>5.42</v>
      </c>
      <c r="H5" s="177">
        <v>3.78</v>
      </c>
      <c r="I5" s="177">
        <v>2.71</v>
      </c>
      <c r="J5" s="177">
        <v>1.35</v>
      </c>
      <c r="K5" s="177">
        <v>0.83</v>
      </c>
      <c r="L5" s="177">
        <v>0.22</v>
      </c>
      <c r="M5" s="177">
        <v>0.06</v>
      </c>
      <c r="N5" s="177">
        <f t="shared" si="0"/>
        <v>19.809999999999995</v>
      </c>
    </row>
    <row r="6" spans="1:16">
      <c r="A6" s="175">
        <v>1942</v>
      </c>
      <c r="B6" s="177">
        <v>0.23</v>
      </c>
      <c r="C6" s="177">
        <v>0.46</v>
      </c>
      <c r="D6" s="177">
        <v>0</v>
      </c>
      <c r="E6" s="177">
        <v>1.6</v>
      </c>
      <c r="F6" s="177">
        <v>2.2599999999999998</v>
      </c>
      <c r="G6" s="177">
        <v>2.38</v>
      </c>
      <c r="H6" s="177">
        <v>0.94</v>
      </c>
      <c r="I6" s="177">
        <v>0.15</v>
      </c>
      <c r="J6" s="177">
        <v>0.38</v>
      </c>
      <c r="K6" s="177">
        <v>2.96</v>
      </c>
      <c r="L6" s="177">
        <v>0.33</v>
      </c>
      <c r="M6" s="177">
        <v>0</v>
      </c>
      <c r="N6" s="177">
        <f t="shared" si="0"/>
        <v>11.69</v>
      </c>
    </row>
    <row r="7" spans="1:16">
      <c r="A7" s="175">
        <v>1943</v>
      </c>
      <c r="B7" s="177">
        <v>0</v>
      </c>
      <c r="C7" s="177">
        <v>0.5</v>
      </c>
      <c r="D7" s="177">
        <v>0.42</v>
      </c>
      <c r="E7" s="177">
        <v>0.95</v>
      </c>
      <c r="F7" s="177">
        <v>2.73</v>
      </c>
      <c r="G7" s="177">
        <v>1.61</v>
      </c>
      <c r="H7" s="177">
        <v>0.45</v>
      </c>
      <c r="I7" s="177">
        <v>0.49</v>
      </c>
      <c r="J7" s="177">
        <v>0.15</v>
      </c>
      <c r="K7" s="177">
        <v>0.09</v>
      </c>
      <c r="L7" s="177">
        <v>0.04</v>
      </c>
      <c r="M7" s="177">
        <v>0.02</v>
      </c>
      <c r="N7" s="177">
        <f t="shared" si="0"/>
        <v>7.45</v>
      </c>
      <c r="O7" s="175" t="s">
        <v>201</v>
      </c>
      <c r="P7" s="178"/>
    </row>
    <row r="8" spans="1:16">
      <c r="A8" s="175">
        <v>1944</v>
      </c>
      <c r="B8" s="177">
        <v>0.25</v>
      </c>
      <c r="C8" s="177">
        <v>0.19</v>
      </c>
      <c r="D8" s="177">
        <v>1.1499999999999999</v>
      </c>
      <c r="E8" s="177">
        <v>2.17</v>
      </c>
      <c r="F8" s="177">
        <v>0.89</v>
      </c>
      <c r="G8" s="177">
        <v>0.72</v>
      </c>
      <c r="H8" s="177">
        <v>2.15</v>
      </c>
      <c r="I8" s="177">
        <v>0.35</v>
      </c>
      <c r="J8" s="177">
        <v>0.3</v>
      </c>
      <c r="K8" s="177">
        <v>0</v>
      </c>
      <c r="L8" s="177">
        <v>0</v>
      </c>
      <c r="M8" s="177">
        <v>0</v>
      </c>
      <c r="N8" s="177">
        <f t="shared" si="0"/>
        <v>8.17</v>
      </c>
    </row>
    <row r="9" spans="1:16">
      <c r="A9" s="175">
        <v>1945</v>
      </c>
      <c r="B9" s="177">
        <v>0.63</v>
      </c>
      <c r="C9" s="177">
        <v>0.08</v>
      </c>
      <c r="D9" s="177">
        <v>0.3</v>
      </c>
      <c r="E9" s="177">
        <v>1.62</v>
      </c>
      <c r="F9" s="177">
        <v>1.08</v>
      </c>
      <c r="G9" s="177">
        <v>2.94</v>
      </c>
      <c r="H9" s="177">
        <v>0.84</v>
      </c>
      <c r="I9" s="177">
        <v>2.5299999999999998</v>
      </c>
      <c r="J9" s="177">
        <v>1.49</v>
      </c>
      <c r="K9" s="177">
        <v>0.59</v>
      </c>
      <c r="L9" s="177">
        <v>0.15</v>
      </c>
      <c r="M9" s="177">
        <v>0.02</v>
      </c>
      <c r="N9" s="177">
        <f t="shared" si="0"/>
        <v>12.27</v>
      </c>
    </row>
    <row r="10" spans="1:16">
      <c r="A10" s="175">
        <v>1946</v>
      </c>
      <c r="B10" s="177">
        <v>0</v>
      </c>
      <c r="C10" s="177">
        <v>7.0000000000000007E-2</v>
      </c>
      <c r="D10" s="177">
        <v>0.66</v>
      </c>
      <c r="E10" s="177">
        <v>0.09</v>
      </c>
      <c r="F10" s="177">
        <v>2.4</v>
      </c>
      <c r="G10" s="177">
        <v>0.86</v>
      </c>
      <c r="H10" s="177">
        <v>2.19</v>
      </c>
      <c r="I10" s="177">
        <v>2.72</v>
      </c>
      <c r="J10" s="177">
        <v>0.16</v>
      </c>
      <c r="K10" s="177">
        <v>2.25</v>
      </c>
      <c r="L10" s="177">
        <v>0.39</v>
      </c>
      <c r="M10" s="177">
        <v>0</v>
      </c>
      <c r="N10" s="177">
        <f t="shared" si="0"/>
        <v>11.790000000000001</v>
      </c>
    </row>
    <row r="11" spans="1:16">
      <c r="A11" s="175">
        <v>1947</v>
      </c>
      <c r="B11" s="177">
        <v>0.22</v>
      </c>
      <c r="C11" s="177">
        <v>0.5</v>
      </c>
      <c r="D11" s="177">
        <v>0.83</v>
      </c>
      <c r="E11" s="177">
        <v>0.79</v>
      </c>
      <c r="F11" s="177">
        <v>1.94</v>
      </c>
      <c r="G11" s="177">
        <v>4</v>
      </c>
      <c r="H11" s="177">
        <v>3.14</v>
      </c>
      <c r="I11" s="177">
        <v>1.02</v>
      </c>
      <c r="J11" s="177">
        <v>0.96</v>
      </c>
      <c r="K11" s="177">
        <v>1.6</v>
      </c>
      <c r="L11" s="177">
        <v>0.28999999999999998</v>
      </c>
      <c r="M11" s="177">
        <v>0.14000000000000001</v>
      </c>
      <c r="N11" s="177">
        <f t="shared" si="0"/>
        <v>15.429999999999998</v>
      </c>
    </row>
    <row r="12" spans="1:16">
      <c r="A12" s="175">
        <v>1948</v>
      </c>
      <c r="B12" s="177">
        <v>0.19</v>
      </c>
      <c r="C12" s="177">
        <v>0.32</v>
      </c>
      <c r="D12" s="177">
        <v>0.33</v>
      </c>
      <c r="E12" s="177">
        <v>0.35</v>
      </c>
      <c r="F12" s="177">
        <v>0.54</v>
      </c>
      <c r="G12" s="177">
        <v>2.04</v>
      </c>
      <c r="H12" s="177">
        <v>1.36</v>
      </c>
      <c r="I12" s="177">
        <v>1.66</v>
      </c>
      <c r="J12" s="177">
        <v>0.22</v>
      </c>
      <c r="K12" s="177">
        <v>0.28999999999999998</v>
      </c>
      <c r="L12" s="177">
        <v>0.17</v>
      </c>
      <c r="M12" s="177">
        <v>0.45</v>
      </c>
      <c r="N12" s="177">
        <f t="shared" si="0"/>
        <v>7.92</v>
      </c>
    </row>
    <row r="13" spans="1:16">
      <c r="A13" s="175">
        <v>1949</v>
      </c>
      <c r="B13" s="177">
        <v>1.1100000000000001</v>
      </c>
      <c r="C13" s="177">
        <v>0</v>
      </c>
      <c r="D13" s="177">
        <v>0.77</v>
      </c>
      <c r="E13" s="177">
        <v>0.81</v>
      </c>
      <c r="F13" s="177">
        <v>3.67</v>
      </c>
      <c r="G13" s="177">
        <v>3.72</v>
      </c>
      <c r="H13" s="177">
        <v>1.33</v>
      </c>
      <c r="I13" s="177">
        <v>1.1100000000000001</v>
      </c>
      <c r="J13" s="177">
        <v>0.22</v>
      </c>
      <c r="K13" s="177">
        <v>0.68</v>
      </c>
      <c r="L13" s="177">
        <v>0.1</v>
      </c>
      <c r="M13" s="177">
        <v>0</v>
      </c>
      <c r="N13" s="177">
        <f t="shared" si="0"/>
        <v>13.52</v>
      </c>
    </row>
    <row r="14" spans="1:16">
      <c r="A14" s="175">
        <v>1950</v>
      </c>
      <c r="B14" s="177">
        <v>0.32</v>
      </c>
      <c r="C14" s="177">
        <v>0.14000000000000001</v>
      </c>
      <c r="D14" s="177">
        <v>0.17</v>
      </c>
      <c r="E14" s="177">
        <v>0.96</v>
      </c>
      <c r="F14" s="177">
        <v>1.8</v>
      </c>
      <c r="G14" s="177">
        <v>1.19</v>
      </c>
      <c r="H14" s="177">
        <v>3.63</v>
      </c>
      <c r="I14" s="177">
        <v>0.7</v>
      </c>
      <c r="J14" s="177">
        <v>2.4700000000000002</v>
      </c>
      <c r="K14" s="177">
        <v>0.23</v>
      </c>
      <c r="L14" s="177">
        <v>0.39</v>
      </c>
      <c r="M14" s="177">
        <v>0</v>
      </c>
      <c r="N14" s="177">
        <f t="shared" si="0"/>
        <v>12.000000000000002</v>
      </c>
    </row>
    <row r="15" spans="1:16">
      <c r="A15" s="175">
        <v>1951</v>
      </c>
      <c r="B15" s="177">
        <v>0.3</v>
      </c>
      <c r="C15" s="177">
        <v>0.24</v>
      </c>
      <c r="D15" s="177">
        <v>0.19</v>
      </c>
      <c r="E15" s="177">
        <v>0.93</v>
      </c>
      <c r="F15" s="177">
        <v>3.14</v>
      </c>
      <c r="G15" s="177">
        <v>1.67</v>
      </c>
      <c r="H15" s="177">
        <v>1.27</v>
      </c>
      <c r="I15" s="177">
        <v>2.38</v>
      </c>
      <c r="J15" s="177">
        <v>0.64</v>
      </c>
      <c r="K15" s="177">
        <v>1.91</v>
      </c>
      <c r="L15" s="177">
        <v>0.24</v>
      </c>
      <c r="M15" s="177">
        <v>0.2</v>
      </c>
      <c r="N15" s="177">
        <f t="shared" si="0"/>
        <v>13.110000000000001</v>
      </c>
    </row>
    <row r="16" spans="1:16">
      <c r="A16" s="175">
        <v>1952</v>
      </c>
      <c r="B16" s="177">
        <v>0</v>
      </c>
      <c r="C16" s="177">
        <v>0.05</v>
      </c>
      <c r="D16" s="177">
        <v>1.1200000000000001</v>
      </c>
      <c r="E16" s="177">
        <v>0.91</v>
      </c>
      <c r="F16" s="177">
        <v>2.99</v>
      </c>
      <c r="G16" s="177">
        <v>2.91</v>
      </c>
      <c r="H16" s="177">
        <v>1.35</v>
      </c>
      <c r="I16" s="177">
        <v>4.04</v>
      </c>
      <c r="J16" s="177">
        <v>0.28000000000000003</v>
      </c>
      <c r="K16" s="177">
        <v>0.08</v>
      </c>
      <c r="L16" s="177">
        <v>0.26</v>
      </c>
      <c r="M16" s="177">
        <v>0.04</v>
      </c>
      <c r="N16" s="177">
        <f t="shared" si="0"/>
        <v>14.03</v>
      </c>
    </row>
    <row r="17" spans="1:14">
      <c r="A17" s="175">
        <v>1953</v>
      </c>
      <c r="B17" s="177">
        <v>0.04</v>
      </c>
      <c r="C17" s="177">
        <v>0.22</v>
      </c>
      <c r="D17" s="177">
        <v>0.53</v>
      </c>
      <c r="E17" s="177">
        <v>1.1499999999999999</v>
      </c>
      <c r="F17" s="177">
        <v>1.67</v>
      </c>
      <c r="G17" s="177">
        <v>1.87</v>
      </c>
      <c r="H17" s="177">
        <v>2.2999999999999998</v>
      </c>
      <c r="I17" s="177">
        <v>3.26</v>
      </c>
      <c r="J17" s="177">
        <v>0.26</v>
      </c>
      <c r="K17" s="177">
        <v>0.21</v>
      </c>
      <c r="L17" s="177">
        <v>0.39</v>
      </c>
      <c r="M17" s="177">
        <v>0.06</v>
      </c>
      <c r="N17" s="177">
        <f t="shared" si="0"/>
        <v>11.96</v>
      </c>
    </row>
    <row r="18" spans="1:14">
      <c r="A18" s="175">
        <v>1954</v>
      </c>
      <c r="B18" s="177">
        <v>0.08</v>
      </c>
      <c r="C18" s="177">
        <v>0</v>
      </c>
      <c r="D18" s="177">
        <v>0.65</v>
      </c>
      <c r="E18" s="177">
        <v>0.12</v>
      </c>
      <c r="F18" s="177">
        <v>0.63</v>
      </c>
      <c r="G18" s="177">
        <v>0.78</v>
      </c>
      <c r="H18" s="177">
        <v>0.54</v>
      </c>
      <c r="I18" s="177">
        <v>1.1499999999999999</v>
      </c>
      <c r="J18" s="177">
        <v>0.38</v>
      </c>
      <c r="K18" s="177">
        <v>0.04</v>
      </c>
      <c r="L18" s="177">
        <v>0.33</v>
      </c>
      <c r="M18" s="177">
        <v>0.21</v>
      </c>
      <c r="N18" s="177">
        <f t="shared" si="0"/>
        <v>4.91</v>
      </c>
    </row>
    <row r="19" spans="1:14">
      <c r="A19" s="175">
        <v>1955</v>
      </c>
      <c r="B19" s="177">
        <v>0.44</v>
      </c>
      <c r="C19" s="177">
        <v>0.42</v>
      </c>
      <c r="D19" s="177">
        <v>0.39</v>
      </c>
      <c r="E19" s="177">
        <v>0.74</v>
      </c>
      <c r="F19" s="177">
        <v>1.48</v>
      </c>
      <c r="G19" s="177">
        <v>2.5499999999999998</v>
      </c>
      <c r="H19" s="177">
        <v>0.66</v>
      </c>
      <c r="I19" s="177">
        <v>2.96</v>
      </c>
      <c r="J19" s="177">
        <v>2.0299999999999998</v>
      </c>
      <c r="K19" s="177">
        <v>0.16</v>
      </c>
      <c r="L19" s="177">
        <v>1.05</v>
      </c>
      <c r="M19" s="177">
        <v>0.2</v>
      </c>
      <c r="N19" s="177">
        <f t="shared" si="0"/>
        <v>13.08</v>
      </c>
    </row>
    <row r="20" spans="1:14">
      <c r="A20" s="175">
        <v>1956</v>
      </c>
      <c r="B20" s="177">
        <v>0.37</v>
      </c>
      <c r="C20" s="177">
        <v>0.06</v>
      </c>
      <c r="D20" s="177">
        <v>0.3</v>
      </c>
      <c r="E20" s="177">
        <v>0.86</v>
      </c>
      <c r="F20" s="177">
        <v>1.58</v>
      </c>
      <c r="G20" s="177">
        <v>1.79</v>
      </c>
      <c r="H20" s="177">
        <v>1.5</v>
      </c>
      <c r="I20" s="177">
        <v>2.3199999999999998</v>
      </c>
      <c r="J20" s="177">
        <v>0.02</v>
      </c>
      <c r="K20" s="177">
        <v>0</v>
      </c>
      <c r="L20" s="177">
        <v>0.45</v>
      </c>
      <c r="M20" s="177">
        <v>0.47</v>
      </c>
      <c r="N20" s="177">
        <f t="shared" si="0"/>
        <v>9.7199999999999989</v>
      </c>
    </row>
    <row r="21" spans="1:14">
      <c r="A21" s="175">
        <v>1957</v>
      </c>
      <c r="B21" s="177">
        <v>0.27</v>
      </c>
      <c r="C21" s="177">
        <v>0</v>
      </c>
      <c r="D21" s="177">
        <v>0.44</v>
      </c>
      <c r="E21" s="177">
        <v>1.99</v>
      </c>
      <c r="F21" s="177">
        <v>5.88</v>
      </c>
      <c r="G21" s="177">
        <v>1.89</v>
      </c>
      <c r="H21" s="177">
        <v>1.4</v>
      </c>
      <c r="I21" s="177">
        <v>2.1800000000000002</v>
      </c>
      <c r="J21" s="177">
        <v>0.64</v>
      </c>
      <c r="K21" s="177">
        <v>1.45</v>
      </c>
      <c r="L21" s="177">
        <v>0.43</v>
      </c>
      <c r="M21" s="177">
        <v>0</v>
      </c>
      <c r="N21" s="177">
        <f t="shared" si="0"/>
        <v>16.57</v>
      </c>
    </row>
    <row r="22" spans="1:14">
      <c r="A22" s="175">
        <v>1958</v>
      </c>
      <c r="B22" s="177">
        <v>0</v>
      </c>
      <c r="C22" s="177">
        <v>0.51</v>
      </c>
      <c r="D22" s="177">
        <v>1.25</v>
      </c>
      <c r="E22" s="177">
        <v>1.1200000000000001</v>
      </c>
      <c r="F22" s="177">
        <v>3.1</v>
      </c>
      <c r="G22" s="177">
        <v>1.45</v>
      </c>
      <c r="H22" s="177">
        <v>3.52</v>
      </c>
      <c r="I22" s="177">
        <v>0.23</v>
      </c>
      <c r="J22" s="177">
        <v>0.51</v>
      </c>
      <c r="K22" s="177">
        <v>0.26</v>
      </c>
      <c r="L22" s="177">
        <v>0.17</v>
      </c>
      <c r="M22" s="177">
        <v>1.1499999999999999</v>
      </c>
      <c r="N22" s="177">
        <f t="shared" si="0"/>
        <v>13.270000000000001</v>
      </c>
    </row>
    <row r="23" spans="1:14">
      <c r="A23" s="175">
        <v>1959</v>
      </c>
      <c r="B23" s="177">
        <v>0.35</v>
      </c>
      <c r="C23" s="177">
        <v>0.32</v>
      </c>
      <c r="D23" s="177">
        <v>0.9</v>
      </c>
      <c r="E23" s="177">
        <v>1.59</v>
      </c>
      <c r="F23" s="177">
        <v>2.2599999999999998</v>
      </c>
      <c r="G23" s="177">
        <v>2.38</v>
      </c>
      <c r="H23" s="177">
        <v>1.1399999999999999</v>
      </c>
      <c r="I23" s="177">
        <v>0.38</v>
      </c>
      <c r="J23" s="177">
        <v>1.05</v>
      </c>
      <c r="K23" s="177">
        <v>1.85</v>
      </c>
      <c r="L23" s="177">
        <v>0.02</v>
      </c>
      <c r="M23" s="177">
        <v>0</v>
      </c>
      <c r="N23" s="177">
        <f t="shared" si="0"/>
        <v>12.24</v>
      </c>
    </row>
    <row r="24" spans="1:14">
      <c r="A24" s="175">
        <v>1960</v>
      </c>
      <c r="B24" s="177">
        <v>0.19</v>
      </c>
      <c r="C24" s="177">
        <v>0.27</v>
      </c>
      <c r="D24" s="177">
        <v>0.26</v>
      </c>
      <c r="E24" s="177">
        <v>0.6</v>
      </c>
      <c r="F24" s="177">
        <v>1.1100000000000001</v>
      </c>
      <c r="G24" s="177">
        <v>1.34</v>
      </c>
      <c r="H24" s="177">
        <v>0.8</v>
      </c>
      <c r="I24" s="177">
        <v>0.3</v>
      </c>
      <c r="J24" s="177">
        <v>0.65</v>
      </c>
      <c r="K24" s="177">
        <v>1.23</v>
      </c>
      <c r="L24" s="177">
        <v>0.2</v>
      </c>
      <c r="M24" s="177">
        <v>0.15</v>
      </c>
      <c r="N24" s="177">
        <f t="shared" si="0"/>
        <v>7.1000000000000005</v>
      </c>
    </row>
    <row r="25" spans="1:14">
      <c r="A25" s="175">
        <v>1961</v>
      </c>
      <c r="B25" s="177">
        <v>0.18</v>
      </c>
      <c r="C25" s="177">
        <v>0.14000000000000001</v>
      </c>
      <c r="D25" s="177">
        <v>1.89</v>
      </c>
      <c r="E25" s="177">
        <v>0.32</v>
      </c>
      <c r="F25" s="177">
        <v>3.28</v>
      </c>
      <c r="G25" s="177">
        <v>4.2300000000000004</v>
      </c>
      <c r="H25" s="177">
        <v>2.08</v>
      </c>
      <c r="I25" s="177">
        <v>0.73</v>
      </c>
      <c r="J25" s="177">
        <v>2.64</v>
      </c>
      <c r="K25" s="177">
        <v>0.15</v>
      </c>
      <c r="L25" s="177">
        <v>0.41</v>
      </c>
      <c r="M25" s="177">
        <v>0.04</v>
      </c>
      <c r="N25" s="177">
        <f t="shared" si="0"/>
        <v>16.09</v>
      </c>
    </row>
    <row r="26" spans="1:14">
      <c r="A26" s="175">
        <v>1962</v>
      </c>
      <c r="B26" s="177">
        <v>0.8</v>
      </c>
      <c r="C26" s="177">
        <v>0.5</v>
      </c>
      <c r="D26" s="177">
        <v>0.19</v>
      </c>
      <c r="E26" s="177">
        <v>0.14000000000000001</v>
      </c>
      <c r="F26" s="177">
        <v>2.88</v>
      </c>
      <c r="G26" s="177">
        <v>3.76</v>
      </c>
      <c r="H26" s="177">
        <v>4.7300000000000004</v>
      </c>
      <c r="I26" s="177">
        <v>0.73</v>
      </c>
      <c r="J26" s="177">
        <v>0.44</v>
      </c>
      <c r="K26" s="177">
        <v>1.19</v>
      </c>
      <c r="L26" s="177">
        <v>0.44</v>
      </c>
      <c r="M26" s="177">
        <v>0.08</v>
      </c>
      <c r="N26" s="177">
        <f t="shared" si="0"/>
        <v>15.879999999999999</v>
      </c>
    </row>
    <row r="27" spans="1:14">
      <c r="A27" s="175">
        <v>1963</v>
      </c>
      <c r="B27" s="177">
        <v>0.24</v>
      </c>
      <c r="C27" s="177">
        <v>0.03</v>
      </c>
      <c r="D27" s="177">
        <v>0.45</v>
      </c>
      <c r="E27" s="177">
        <v>0.33</v>
      </c>
      <c r="F27" s="177">
        <v>1.52</v>
      </c>
      <c r="G27" s="177">
        <v>2.99</v>
      </c>
      <c r="H27" s="177">
        <v>1.47</v>
      </c>
      <c r="I27" s="177">
        <v>3.45</v>
      </c>
      <c r="J27" s="177">
        <v>1.83</v>
      </c>
      <c r="K27" s="177">
        <v>0.77</v>
      </c>
      <c r="L27" s="177">
        <v>0</v>
      </c>
      <c r="M27" s="177">
        <v>0.36</v>
      </c>
      <c r="N27" s="177">
        <f t="shared" si="0"/>
        <v>13.44</v>
      </c>
    </row>
    <row r="28" spans="1:14">
      <c r="A28" s="175">
        <v>1964</v>
      </c>
      <c r="B28" s="177">
        <v>0.03</v>
      </c>
      <c r="C28" s="177">
        <v>0.04</v>
      </c>
      <c r="D28" s="177">
        <v>0.36</v>
      </c>
      <c r="E28" s="177">
        <v>1.0900000000000001</v>
      </c>
      <c r="F28" s="177">
        <v>0.65</v>
      </c>
      <c r="G28" s="177">
        <v>0.76</v>
      </c>
      <c r="H28" s="177">
        <v>0.43</v>
      </c>
      <c r="I28" s="177">
        <v>0.41</v>
      </c>
      <c r="J28" s="177">
        <v>0.36</v>
      </c>
      <c r="K28" s="177">
        <v>0</v>
      </c>
      <c r="L28" s="177">
        <v>0.04</v>
      </c>
      <c r="M28" s="177">
        <v>0.14000000000000001</v>
      </c>
      <c r="N28" s="177">
        <f t="shared" si="0"/>
        <v>4.3099999999999996</v>
      </c>
    </row>
    <row r="29" spans="1:14">
      <c r="A29" s="175">
        <v>1965</v>
      </c>
      <c r="B29" s="177">
        <v>0.37</v>
      </c>
      <c r="C29" s="177">
        <v>0.21</v>
      </c>
      <c r="D29" s="177">
        <v>0.5</v>
      </c>
      <c r="E29" s="177">
        <v>1.02</v>
      </c>
      <c r="F29" s="177">
        <v>1.62</v>
      </c>
      <c r="G29" s="177">
        <v>4.96</v>
      </c>
      <c r="H29" s="177">
        <v>3.29</v>
      </c>
      <c r="I29" s="177">
        <v>0.41</v>
      </c>
      <c r="J29" s="177">
        <v>2.34</v>
      </c>
      <c r="K29" s="177">
        <v>0</v>
      </c>
      <c r="L29" s="177">
        <v>0</v>
      </c>
      <c r="M29" s="177">
        <v>0.12</v>
      </c>
      <c r="N29" s="177">
        <f t="shared" si="0"/>
        <v>14.839999999999998</v>
      </c>
    </row>
    <row r="30" spans="1:14">
      <c r="A30" s="175">
        <v>1966</v>
      </c>
      <c r="B30" s="177">
        <v>0.05</v>
      </c>
      <c r="C30" s="177">
        <v>0.17</v>
      </c>
      <c r="D30" s="177">
        <v>0</v>
      </c>
      <c r="E30" s="177">
        <v>0.94</v>
      </c>
      <c r="F30" s="177">
        <v>7.0000000000000007E-2</v>
      </c>
      <c r="G30" s="177">
        <v>2.25</v>
      </c>
      <c r="H30" s="177">
        <v>1.08</v>
      </c>
      <c r="I30" s="177">
        <v>3.39</v>
      </c>
      <c r="J30" s="177">
        <v>2.42</v>
      </c>
      <c r="K30" s="177">
        <v>0.25</v>
      </c>
      <c r="L30" s="177">
        <v>0.33</v>
      </c>
      <c r="M30" s="177">
        <v>0.09</v>
      </c>
      <c r="N30" s="177">
        <f t="shared" si="0"/>
        <v>11.040000000000001</v>
      </c>
    </row>
    <row r="31" spans="1:14">
      <c r="A31" s="175">
        <v>1967</v>
      </c>
      <c r="B31" s="177">
        <v>0.47</v>
      </c>
      <c r="C31" s="177">
        <v>0.38</v>
      </c>
      <c r="D31" s="177">
        <v>0.55000000000000004</v>
      </c>
      <c r="E31" s="177">
        <v>2.2200000000000002</v>
      </c>
      <c r="F31" s="177">
        <v>4.97</v>
      </c>
      <c r="G31" s="177">
        <v>6.52</v>
      </c>
      <c r="H31" s="177">
        <v>4.1500000000000004</v>
      </c>
      <c r="I31" s="177">
        <v>1.1499999999999999</v>
      </c>
      <c r="J31" s="177">
        <v>1.26</v>
      </c>
      <c r="K31" s="177">
        <v>0.28000000000000003</v>
      </c>
      <c r="L31" s="177">
        <v>0.38</v>
      </c>
      <c r="M31" s="177">
        <v>0.55000000000000004</v>
      </c>
      <c r="N31" s="177">
        <f t="shared" si="0"/>
        <v>22.88</v>
      </c>
    </row>
    <row r="32" spans="1:14">
      <c r="A32" s="175">
        <v>1968</v>
      </c>
      <c r="B32" s="177">
        <v>0.02</v>
      </c>
      <c r="C32" s="177">
        <v>0.21</v>
      </c>
      <c r="D32" s="177">
        <v>0.36</v>
      </c>
      <c r="E32" s="177">
        <v>1.04</v>
      </c>
      <c r="F32" s="177">
        <v>3.65</v>
      </c>
      <c r="G32" s="177">
        <v>2.27</v>
      </c>
      <c r="H32" s="177">
        <v>1.62</v>
      </c>
      <c r="I32" s="177">
        <v>1.7</v>
      </c>
      <c r="J32" s="177">
        <v>0.4</v>
      </c>
      <c r="K32" s="177">
        <v>0.96</v>
      </c>
      <c r="L32" s="177">
        <v>0.68</v>
      </c>
      <c r="M32" s="177">
        <v>0.21</v>
      </c>
      <c r="N32" s="177">
        <f t="shared" si="0"/>
        <v>13.119999999999997</v>
      </c>
    </row>
    <row r="33" spans="1:14">
      <c r="A33" s="175">
        <v>1969</v>
      </c>
      <c r="B33" s="177">
        <v>0.12</v>
      </c>
      <c r="C33" s="177">
        <v>0.26</v>
      </c>
      <c r="D33" s="177">
        <v>0.24</v>
      </c>
      <c r="E33" s="177">
        <v>1.57</v>
      </c>
      <c r="F33" s="177">
        <v>2.2599999999999998</v>
      </c>
      <c r="G33" s="177">
        <v>4.6399999999999997</v>
      </c>
      <c r="H33" s="177">
        <v>1.75</v>
      </c>
      <c r="I33" s="177">
        <v>1.39</v>
      </c>
      <c r="J33" s="177">
        <v>1.23</v>
      </c>
      <c r="K33" s="177">
        <v>2.81</v>
      </c>
      <c r="L33" s="177">
        <v>0.1</v>
      </c>
      <c r="M33" s="177">
        <v>0</v>
      </c>
      <c r="N33" s="177">
        <f t="shared" si="0"/>
        <v>16.37</v>
      </c>
    </row>
    <row r="34" spans="1:14">
      <c r="A34" s="175">
        <v>1970</v>
      </c>
      <c r="B34" s="177">
        <v>0.05</v>
      </c>
      <c r="C34" s="177">
        <v>0.05</v>
      </c>
      <c r="D34" s="177">
        <v>1.31</v>
      </c>
      <c r="E34" s="177">
        <v>1.34</v>
      </c>
      <c r="F34" s="177">
        <v>0.84</v>
      </c>
      <c r="G34" s="177">
        <v>1.1399999999999999</v>
      </c>
      <c r="H34" s="177">
        <v>1.56</v>
      </c>
      <c r="I34" s="177">
        <v>0.24</v>
      </c>
      <c r="J34" s="177">
        <v>1.48</v>
      </c>
      <c r="K34" s="177">
        <v>1.1499999999999999</v>
      </c>
      <c r="L34" s="177">
        <v>0.15</v>
      </c>
      <c r="M34" s="177">
        <v>0.23</v>
      </c>
      <c r="N34" s="177">
        <f t="shared" si="0"/>
        <v>9.5400000000000009</v>
      </c>
    </row>
    <row r="35" spans="1:14">
      <c r="A35" s="175">
        <v>1971</v>
      </c>
      <c r="B35" s="177">
        <v>0.45</v>
      </c>
      <c r="C35" s="177">
        <v>0.3</v>
      </c>
      <c r="D35" s="177">
        <v>0.89</v>
      </c>
      <c r="E35" s="177">
        <v>2.82</v>
      </c>
      <c r="F35" s="177">
        <v>1.67</v>
      </c>
      <c r="G35" s="177">
        <v>1.23</v>
      </c>
      <c r="H35" s="177">
        <v>0.61</v>
      </c>
      <c r="I35" s="177">
        <v>0.36</v>
      </c>
      <c r="J35" s="177">
        <v>2.14</v>
      </c>
      <c r="K35" s="177">
        <v>0.15</v>
      </c>
      <c r="L35" s="177">
        <v>0.02</v>
      </c>
      <c r="M35" s="177">
        <v>0</v>
      </c>
      <c r="N35" s="177">
        <f t="shared" si="0"/>
        <v>10.64</v>
      </c>
    </row>
    <row r="36" spans="1:14">
      <c r="A36" s="175">
        <v>1972</v>
      </c>
      <c r="B36" s="177">
        <v>0.37</v>
      </c>
      <c r="C36" s="177">
        <v>0</v>
      </c>
      <c r="D36" s="177">
        <v>0.41</v>
      </c>
      <c r="E36" s="177">
        <v>0.57999999999999996</v>
      </c>
      <c r="F36" s="177">
        <v>1.22</v>
      </c>
      <c r="G36" s="177">
        <v>3.28</v>
      </c>
      <c r="H36" s="177">
        <v>1.78</v>
      </c>
      <c r="I36" s="177">
        <v>3.81</v>
      </c>
      <c r="J36" s="177">
        <v>1.7</v>
      </c>
      <c r="K36" s="177">
        <v>0.56000000000000005</v>
      </c>
      <c r="L36" s="177">
        <v>0.62</v>
      </c>
      <c r="M36" s="177">
        <v>0.39</v>
      </c>
      <c r="N36" s="177">
        <f t="shared" si="0"/>
        <v>14.719999999999999</v>
      </c>
    </row>
    <row r="37" spans="1:14">
      <c r="A37" s="175">
        <v>1973</v>
      </c>
      <c r="B37" s="177">
        <v>0.13</v>
      </c>
      <c r="C37" s="177">
        <v>0</v>
      </c>
      <c r="D37" s="177">
        <v>0.81</v>
      </c>
      <c r="E37" s="177">
        <v>1.36</v>
      </c>
      <c r="F37" s="177">
        <v>0.6</v>
      </c>
      <c r="G37" s="177">
        <v>0.9</v>
      </c>
      <c r="H37" s="177">
        <v>2.67</v>
      </c>
      <c r="I37" s="177">
        <v>0.6</v>
      </c>
      <c r="J37" s="177">
        <v>2.2799999999999998</v>
      </c>
      <c r="K37" s="177">
        <v>0</v>
      </c>
      <c r="L37" s="177">
        <v>0.96</v>
      </c>
      <c r="M37" s="177">
        <v>0.52</v>
      </c>
      <c r="N37" s="177">
        <f t="shared" si="0"/>
        <v>10.829999999999998</v>
      </c>
    </row>
    <row r="38" spans="1:14">
      <c r="A38" s="175">
        <v>1974</v>
      </c>
      <c r="B38" s="177">
        <v>0.37</v>
      </c>
      <c r="C38" s="177">
        <v>0</v>
      </c>
      <c r="D38" s="177">
        <v>0.88</v>
      </c>
      <c r="E38" s="177">
        <v>0.45</v>
      </c>
      <c r="F38" s="177">
        <v>0.89</v>
      </c>
      <c r="G38" s="177">
        <v>4.0199999999999996</v>
      </c>
      <c r="H38" s="177">
        <v>1.34</v>
      </c>
      <c r="I38" s="177">
        <v>0.8</v>
      </c>
      <c r="J38" s="177">
        <v>0.57999999999999996</v>
      </c>
      <c r="K38" s="177">
        <v>0.84</v>
      </c>
      <c r="L38" s="177">
        <v>0.39</v>
      </c>
      <c r="M38" s="177">
        <v>0</v>
      </c>
      <c r="N38" s="177">
        <f t="shared" si="0"/>
        <v>10.56</v>
      </c>
    </row>
    <row r="39" spans="1:14">
      <c r="A39" s="175">
        <v>1975</v>
      </c>
      <c r="B39" s="177">
        <v>0.14000000000000001</v>
      </c>
      <c r="C39" s="177">
        <v>0.21</v>
      </c>
      <c r="D39" s="177">
        <v>0.9</v>
      </c>
      <c r="E39" s="177">
        <v>0.83</v>
      </c>
      <c r="F39" s="177">
        <v>3.12</v>
      </c>
      <c r="G39" s="177">
        <v>2.02</v>
      </c>
      <c r="H39" s="177">
        <v>1.61</v>
      </c>
      <c r="I39" s="177">
        <v>0.83</v>
      </c>
      <c r="J39" s="177">
        <v>0.49</v>
      </c>
      <c r="K39" s="177">
        <v>0.52</v>
      </c>
      <c r="L39" s="177">
        <v>0.38</v>
      </c>
      <c r="M39" s="177">
        <v>0.99</v>
      </c>
      <c r="N39" s="177">
        <f t="shared" si="0"/>
        <v>12.040000000000001</v>
      </c>
    </row>
    <row r="40" spans="1:14">
      <c r="A40" s="175">
        <v>1976</v>
      </c>
      <c r="B40" s="177">
        <v>0.05</v>
      </c>
      <c r="C40" s="177">
        <v>0.2</v>
      </c>
      <c r="D40" s="177">
        <v>0.35</v>
      </c>
      <c r="E40" s="177">
        <v>1.31</v>
      </c>
      <c r="F40" s="177">
        <v>2.31</v>
      </c>
      <c r="G40" s="177">
        <v>1.08</v>
      </c>
      <c r="H40" s="177">
        <v>1.73</v>
      </c>
      <c r="I40" s="177">
        <v>1.43</v>
      </c>
      <c r="J40" s="177">
        <v>1.6</v>
      </c>
      <c r="K40" s="177">
        <v>0.13</v>
      </c>
      <c r="L40" s="177">
        <v>7.0000000000000007E-2</v>
      </c>
      <c r="M40" s="177">
        <v>0</v>
      </c>
      <c r="N40" s="177">
        <f t="shared" si="0"/>
        <v>10.260000000000002</v>
      </c>
    </row>
    <row r="41" spans="1:14">
      <c r="A41" s="175">
        <v>1977</v>
      </c>
      <c r="B41" s="177">
        <v>0.09</v>
      </c>
      <c r="C41" s="177">
        <v>0</v>
      </c>
      <c r="D41" s="177">
        <v>0.82</v>
      </c>
      <c r="E41" s="177">
        <v>1.92</v>
      </c>
      <c r="F41" s="177">
        <v>2.63</v>
      </c>
      <c r="G41" s="177">
        <v>1.53</v>
      </c>
      <c r="H41" s="177">
        <v>1.69</v>
      </c>
      <c r="I41" s="177">
        <v>0.37</v>
      </c>
      <c r="J41" s="177">
        <v>0.22</v>
      </c>
      <c r="K41" s="177">
        <v>0.04</v>
      </c>
      <c r="L41" s="177">
        <v>0.3</v>
      </c>
      <c r="M41" s="177">
        <v>0.15</v>
      </c>
      <c r="N41" s="177">
        <f t="shared" si="0"/>
        <v>9.76</v>
      </c>
    </row>
    <row r="42" spans="1:14">
      <c r="A42" s="175">
        <v>1978</v>
      </c>
      <c r="B42" s="177">
        <v>0.48</v>
      </c>
      <c r="C42" s="177">
        <v>0.41</v>
      </c>
      <c r="D42" s="177">
        <v>0.4</v>
      </c>
      <c r="E42" s="177">
        <v>0.4</v>
      </c>
      <c r="F42" s="177">
        <v>4.24</v>
      </c>
      <c r="G42" s="177">
        <v>1.94</v>
      </c>
      <c r="H42" s="177">
        <v>0.64</v>
      </c>
      <c r="I42" s="177">
        <v>1.2</v>
      </c>
      <c r="J42" s="177">
        <v>0</v>
      </c>
      <c r="K42" s="177">
        <v>0.94</v>
      </c>
      <c r="L42" s="177">
        <v>0.38</v>
      </c>
      <c r="M42" s="177">
        <v>0.48</v>
      </c>
      <c r="N42" s="177">
        <f t="shared" si="0"/>
        <v>11.51</v>
      </c>
    </row>
    <row r="43" spans="1:14">
      <c r="A43" s="175">
        <v>1979</v>
      </c>
      <c r="B43" s="177">
        <v>0.28000000000000003</v>
      </c>
      <c r="C43" s="177">
        <v>0.09</v>
      </c>
      <c r="D43" s="177">
        <v>0.8</v>
      </c>
      <c r="E43" s="177">
        <v>0.39</v>
      </c>
      <c r="F43" s="177">
        <v>4.5199999999999996</v>
      </c>
      <c r="G43" s="177">
        <v>3.55</v>
      </c>
      <c r="H43" s="177">
        <v>0.94</v>
      </c>
      <c r="I43" s="177">
        <v>5.01</v>
      </c>
      <c r="J43" s="177">
        <v>1.22</v>
      </c>
      <c r="K43" s="177">
        <v>0.53</v>
      </c>
      <c r="L43" s="177">
        <v>1.1100000000000001</v>
      </c>
      <c r="M43" s="177">
        <v>0.99</v>
      </c>
      <c r="N43" s="177">
        <f t="shared" si="0"/>
        <v>19.429999999999996</v>
      </c>
    </row>
    <row r="44" spans="1:14">
      <c r="A44" s="175">
        <v>1980</v>
      </c>
      <c r="B44" s="177">
        <v>0.98</v>
      </c>
      <c r="C44" s="177">
        <v>0.47</v>
      </c>
      <c r="D44" s="177">
        <v>1.7</v>
      </c>
      <c r="E44" s="177">
        <v>0.97</v>
      </c>
      <c r="F44" s="177">
        <v>3.13</v>
      </c>
      <c r="G44" s="177">
        <v>0.46</v>
      </c>
      <c r="H44" s="177">
        <v>3.52</v>
      </c>
      <c r="I44" s="177">
        <v>1.39</v>
      </c>
      <c r="J44" s="177">
        <v>0.89</v>
      </c>
      <c r="K44" s="177">
        <v>0.42</v>
      </c>
      <c r="L44" s="177">
        <v>0.25</v>
      </c>
      <c r="M44" s="177">
        <v>0</v>
      </c>
      <c r="N44" s="177">
        <f t="shared" si="0"/>
        <v>14.180000000000001</v>
      </c>
    </row>
    <row r="45" spans="1:14">
      <c r="A45" s="175">
        <v>1981</v>
      </c>
      <c r="B45" s="177">
        <v>0.2</v>
      </c>
      <c r="C45" s="177">
        <v>0.21</v>
      </c>
      <c r="D45" s="177">
        <v>0.75</v>
      </c>
      <c r="E45" s="177">
        <v>1.35</v>
      </c>
      <c r="F45" s="177">
        <v>3.76</v>
      </c>
      <c r="G45" s="177">
        <v>0.79</v>
      </c>
      <c r="H45" s="177">
        <v>4.0199999999999996</v>
      </c>
      <c r="I45" s="177">
        <v>2.87</v>
      </c>
      <c r="J45" s="177">
        <v>0.35</v>
      </c>
      <c r="K45" s="177">
        <v>1.05</v>
      </c>
      <c r="L45" s="177">
        <v>0</v>
      </c>
      <c r="M45" s="177">
        <v>0.28000000000000003</v>
      </c>
      <c r="N45" s="177">
        <f t="shared" si="0"/>
        <v>15.629999999999999</v>
      </c>
    </row>
    <row r="46" spans="1:14">
      <c r="A46" s="175">
        <v>1982</v>
      </c>
      <c r="B46" s="177">
        <v>0.23</v>
      </c>
      <c r="C46" s="177">
        <v>0.03</v>
      </c>
      <c r="D46" s="177">
        <v>0.37</v>
      </c>
      <c r="E46" s="177">
        <v>0.22</v>
      </c>
      <c r="F46" s="177">
        <v>1.88</v>
      </c>
      <c r="G46" s="177">
        <v>4.6399999999999997</v>
      </c>
      <c r="H46" s="177">
        <v>6.16</v>
      </c>
      <c r="I46" s="177">
        <v>1.36</v>
      </c>
      <c r="J46" s="177">
        <v>2.39</v>
      </c>
      <c r="K46" s="177">
        <v>0.76</v>
      </c>
      <c r="L46" s="177">
        <v>0.36</v>
      </c>
      <c r="M46" s="177">
        <v>0.28999999999999998</v>
      </c>
      <c r="N46" s="177">
        <f t="shared" si="0"/>
        <v>18.689999999999998</v>
      </c>
    </row>
    <row r="47" spans="1:14">
      <c r="A47" s="175">
        <v>1983</v>
      </c>
      <c r="B47" s="177">
        <v>0</v>
      </c>
      <c r="C47" s="177">
        <v>0</v>
      </c>
      <c r="D47" s="177">
        <v>1.72</v>
      </c>
      <c r="E47" s="177">
        <v>4.0599999999999996</v>
      </c>
      <c r="F47" s="177">
        <v>1.85</v>
      </c>
      <c r="G47" s="177">
        <v>2.62</v>
      </c>
      <c r="H47" s="177">
        <v>1.48</v>
      </c>
      <c r="I47" s="177">
        <v>3.1</v>
      </c>
      <c r="J47" s="177">
        <v>0.46</v>
      </c>
      <c r="K47" s="177">
        <v>0</v>
      </c>
      <c r="L47" s="177">
        <v>1.2</v>
      </c>
      <c r="M47" s="177">
        <v>0.38</v>
      </c>
      <c r="N47" s="177">
        <f t="shared" si="0"/>
        <v>16.87</v>
      </c>
    </row>
    <row r="48" spans="1:14">
      <c r="A48" s="175">
        <v>1984</v>
      </c>
      <c r="B48" s="177">
        <v>0.38</v>
      </c>
      <c r="C48" s="177">
        <v>0.67</v>
      </c>
      <c r="D48" s="177">
        <v>0.8</v>
      </c>
      <c r="E48" s="177">
        <v>2.73</v>
      </c>
      <c r="F48" s="177">
        <v>0.99</v>
      </c>
      <c r="G48" s="177">
        <v>2.41</v>
      </c>
      <c r="H48" s="177">
        <v>3.26</v>
      </c>
      <c r="I48" s="177">
        <v>4.33</v>
      </c>
      <c r="J48" s="177">
        <v>0.55000000000000004</v>
      </c>
      <c r="K48" s="177">
        <v>2.4900000000000002</v>
      </c>
      <c r="L48" s="177">
        <v>0.04</v>
      </c>
      <c r="M48" s="177">
        <v>0.27</v>
      </c>
      <c r="N48" s="177">
        <f t="shared" si="0"/>
        <v>18.919999999999998</v>
      </c>
    </row>
    <row r="49" spans="1:14">
      <c r="A49" s="175">
        <v>1985</v>
      </c>
      <c r="B49" s="177">
        <v>0.7</v>
      </c>
      <c r="C49" s="177">
        <v>0.05</v>
      </c>
      <c r="D49" s="177">
        <v>0.16</v>
      </c>
      <c r="E49" s="177">
        <v>1.44</v>
      </c>
      <c r="F49" s="177">
        <v>0.94</v>
      </c>
      <c r="G49" s="177">
        <v>0.91</v>
      </c>
      <c r="H49" s="177">
        <v>3.58</v>
      </c>
      <c r="I49" s="177">
        <v>0.43</v>
      </c>
      <c r="J49" s="177">
        <v>1.57</v>
      </c>
      <c r="K49" s="177">
        <v>0.75</v>
      </c>
      <c r="L49" s="177">
        <v>1.22</v>
      </c>
      <c r="M49" s="177">
        <v>0.38</v>
      </c>
      <c r="N49" s="177">
        <f t="shared" si="0"/>
        <v>12.130000000000003</v>
      </c>
    </row>
    <row r="50" spans="1:14">
      <c r="A50" s="175">
        <v>1986</v>
      </c>
      <c r="B50" s="177">
        <v>0.12</v>
      </c>
      <c r="C50" s="177">
        <v>0.3</v>
      </c>
      <c r="D50" s="177">
        <v>0.46</v>
      </c>
      <c r="E50" s="177">
        <v>1.8</v>
      </c>
      <c r="F50" s="177">
        <v>1.26</v>
      </c>
      <c r="G50" s="177">
        <v>1.1499999999999999</v>
      </c>
      <c r="H50" s="177">
        <v>1.37</v>
      </c>
      <c r="I50" s="177">
        <v>0.32</v>
      </c>
      <c r="J50" s="177">
        <v>1.28</v>
      </c>
      <c r="K50" s="177">
        <v>1.0900000000000001</v>
      </c>
      <c r="L50" s="177">
        <v>0.88</v>
      </c>
      <c r="M50" s="177">
        <v>0.23</v>
      </c>
      <c r="N50" s="177">
        <f t="shared" si="0"/>
        <v>10.260000000000002</v>
      </c>
    </row>
    <row r="51" spans="1:14">
      <c r="A51" s="175">
        <v>1987</v>
      </c>
      <c r="B51" s="177">
        <v>0.17</v>
      </c>
      <c r="C51" s="177">
        <v>1.01</v>
      </c>
      <c r="D51" s="177">
        <v>0.67</v>
      </c>
      <c r="E51" s="177">
        <v>0.52</v>
      </c>
      <c r="F51" s="177">
        <v>3.73</v>
      </c>
      <c r="G51" s="177">
        <v>2.61</v>
      </c>
      <c r="H51" s="177">
        <v>1.3</v>
      </c>
      <c r="I51" s="177">
        <v>3.47</v>
      </c>
      <c r="J51" s="177">
        <v>2.1</v>
      </c>
      <c r="K51" s="177">
        <v>0.37</v>
      </c>
      <c r="L51" s="177">
        <v>0.97</v>
      </c>
      <c r="M51" s="177">
        <v>0.52</v>
      </c>
      <c r="N51" s="177">
        <f t="shared" si="0"/>
        <v>17.439999999999998</v>
      </c>
    </row>
    <row r="52" spans="1:14">
      <c r="A52" s="175">
        <v>1988</v>
      </c>
      <c r="B52" s="177">
        <v>0.49</v>
      </c>
      <c r="C52" s="177">
        <v>0.56999999999999995</v>
      </c>
      <c r="D52" s="177">
        <v>1.42</v>
      </c>
      <c r="E52" s="177">
        <v>1.36</v>
      </c>
      <c r="F52" s="177">
        <v>2.16</v>
      </c>
      <c r="G52" s="177">
        <v>1.06</v>
      </c>
      <c r="H52" s="177">
        <v>1.17</v>
      </c>
      <c r="I52" s="177">
        <v>0.82</v>
      </c>
      <c r="J52" s="177">
        <v>1.1100000000000001</v>
      </c>
      <c r="K52" s="177">
        <v>0.04</v>
      </c>
      <c r="L52" s="177">
        <v>0.14000000000000001</v>
      </c>
      <c r="M52" s="177">
        <v>0.62</v>
      </c>
      <c r="N52" s="177">
        <f t="shared" si="0"/>
        <v>10.959999999999999</v>
      </c>
    </row>
    <row r="53" spans="1:14">
      <c r="A53" s="175">
        <v>1989</v>
      </c>
      <c r="B53" s="177">
        <v>0.33</v>
      </c>
      <c r="C53" s="177">
        <v>1.04</v>
      </c>
      <c r="D53" s="177">
        <v>0.49</v>
      </c>
      <c r="E53" s="177">
        <v>0.85</v>
      </c>
      <c r="F53" s="177">
        <v>1.56</v>
      </c>
      <c r="G53" s="177">
        <v>2.4</v>
      </c>
      <c r="H53" s="177">
        <v>2.2999999999999998</v>
      </c>
      <c r="I53" s="177">
        <v>0.63</v>
      </c>
      <c r="J53" s="177">
        <v>4.07</v>
      </c>
      <c r="K53" s="177">
        <v>0.28999999999999998</v>
      </c>
      <c r="L53" s="177">
        <v>0.04</v>
      </c>
      <c r="M53" s="177">
        <v>0.42</v>
      </c>
      <c r="N53" s="177">
        <f t="shared" si="0"/>
        <v>14.419999999999998</v>
      </c>
    </row>
    <row r="54" spans="1:14">
      <c r="A54" s="175">
        <v>1990</v>
      </c>
      <c r="B54" s="177">
        <v>0.43</v>
      </c>
      <c r="C54" s="177">
        <v>0.46</v>
      </c>
      <c r="D54" s="177">
        <v>4.0999999999999996</v>
      </c>
      <c r="E54" s="177">
        <v>0.77</v>
      </c>
      <c r="F54" s="177">
        <v>2.82</v>
      </c>
      <c r="G54" s="177">
        <v>0.45</v>
      </c>
      <c r="H54" s="177">
        <v>1.9</v>
      </c>
      <c r="I54" s="177">
        <v>1.43</v>
      </c>
      <c r="J54" s="177">
        <v>1.45</v>
      </c>
      <c r="K54" s="177">
        <v>0.96</v>
      </c>
      <c r="L54" s="177">
        <v>0.65</v>
      </c>
      <c r="M54" s="177">
        <v>0.25</v>
      </c>
      <c r="N54" s="177">
        <f t="shared" si="0"/>
        <v>15.67</v>
      </c>
    </row>
    <row r="55" spans="1:14">
      <c r="A55" s="175">
        <v>1991</v>
      </c>
      <c r="B55" s="177">
        <v>0.21</v>
      </c>
      <c r="C55" s="177">
        <v>0.01</v>
      </c>
      <c r="D55" s="177">
        <v>0.37</v>
      </c>
      <c r="E55" s="177">
        <v>1.22</v>
      </c>
      <c r="F55" s="177">
        <v>1.76</v>
      </c>
      <c r="G55" s="177">
        <v>3.86</v>
      </c>
      <c r="H55" s="177">
        <v>3.48</v>
      </c>
      <c r="I55" s="177">
        <v>1.63</v>
      </c>
      <c r="J55" s="177">
        <v>2.13</v>
      </c>
      <c r="K55" s="177">
        <v>0.67</v>
      </c>
      <c r="L55" s="177">
        <v>1.28</v>
      </c>
      <c r="M55" s="177">
        <v>7.0000000000000007E-2</v>
      </c>
      <c r="N55" s="177">
        <f t="shared" si="0"/>
        <v>16.689999999999998</v>
      </c>
    </row>
    <row r="56" spans="1:14">
      <c r="A56" s="175">
        <v>1992</v>
      </c>
      <c r="B56" s="177">
        <v>0.71</v>
      </c>
      <c r="C56" s="177">
        <v>0</v>
      </c>
      <c r="D56" s="177">
        <v>1.71</v>
      </c>
      <c r="E56" s="177">
        <v>0.28000000000000003</v>
      </c>
      <c r="F56" s="177">
        <v>1.42</v>
      </c>
      <c r="G56" s="177">
        <v>3.27</v>
      </c>
      <c r="H56" s="177">
        <v>4.75</v>
      </c>
      <c r="I56" s="177">
        <v>2.13</v>
      </c>
      <c r="J56" s="177">
        <v>0.14000000000000001</v>
      </c>
      <c r="K56" s="177">
        <v>0.34</v>
      </c>
      <c r="L56" s="177">
        <v>0.84</v>
      </c>
      <c r="M56" s="177">
        <v>0.27</v>
      </c>
      <c r="N56" s="177">
        <f t="shared" si="0"/>
        <v>15.86</v>
      </c>
    </row>
    <row r="57" spans="1:14">
      <c r="A57" s="175">
        <v>1993</v>
      </c>
      <c r="B57" s="177">
        <v>0.37</v>
      </c>
      <c r="C57" s="177">
        <v>0.38</v>
      </c>
      <c r="D57" s="177">
        <v>1.05</v>
      </c>
      <c r="E57" s="177">
        <v>2.68</v>
      </c>
      <c r="F57" s="177">
        <v>1.24</v>
      </c>
      <c r="G57" s="177">
        <v>2.4500000000000002</v>
      </c>
      <c r="H57" s="177">
        <v>1.03</v>
      </c>
      <c r="I57" s="177">
        <v>2.15</v>
      </c>
      <c r="J57" s="177">
        <v>2.36</v>
      </c>
      <c r="K57" s="177">
        <v>2.2400000000000002</v>
      </c>
      <c r="L57" s="177">
        <v>0.84</v>
      </c>
      <c r="M57" s="177">
        <v>0.17</v>
      </c>
      <c r="N57" s="177">
        <f t="shared" si="0"/>
        <v>16.960000000000004</v>
      </c>
    </row>
    <row r="58" spans="1:14">
      <c r="A58" s="175">
        <v>1994</v>
      </c>
      <c r="B58" s="177">
        <v>0.33</v>
      </c>
      <c r="C58" s="177">
        <v>0.39</v>
      </c>
      <c r="D58" s="177">
        <v>0.37</v>
      </c>
      <c r="E58" s="177">
        <v>1.56</v>
      </c>
      <c r="F58" s="177">
        <v>1.01</v>
      </c>
      <c r="G58" s="177">
        <v>2.0299999999999998</v>
      </c>
      <c r="H58" s="177">
        <v>0.91</v>
      </c>
      <c r="I58" s="177">
        <v>2.5499999999999998</v>
      </c>
      <c r="J58" s="177">
        <v>0.33</v>
      </c>
      <c r="K58" s="177">
        <v>1.64</v>
      </c>
      <c r="L58" s="177">
        <v>0.36</v>
      </c>
      <c r="M58" s="177">
        <v>0.5</v>
      </c>
      <c r="N58" s="177">
        <f t="shared" si="0"/>
        <v>11.979999999999999</v>
      </c>
    </row>
    <row r="59" spans="1:14">
      <c r="A59" s="175">
        <v>1995</v>
      </c>
      <c r="B59" s="177">
        <v>0.03</v>
      </c>
      <c r="C59" s="177">
        <v>0.62</v>
      </c>
      <c r="D59" s="177">
        <v>0.26</v>
      </c>
      <c r="E59" s="177">
        <v>0.91</v>
      </c>
      <c r="F59" s="177">
        <v>6.69</v>
      </c>
      <c r="G59" s="177">
        <v>5.05</v>
      </c>
      <c r="H59" s="177">
        <v>1.25</v>
      </c>
      <c r="I59" s="177">
        <v>0.42</v>
      </c>
      <c r="J59" s="177">
        <v>2.29</v>
      </c>
      <c r="K59" s="177">
        <v>0.53</v>
      </c>
      <c r="L59" s="177">
        <v>0.39</v>
      </c>
      <c r="M59" s="177">
        <v>0.11</v>
      </c>
      <c r="N59" s="177">
        <f t="shared" si="0"/>
        <v>18.55</v>
      </c>
    </row>
    <row r="60" spans="1:14">
      <c r="A60" s="175">
        <v>1996</v>
      </c>
      <c r="B60" s="177">
        <v>0.67</v>
      </c>
      <c r="C60" s="177">
        <v>0.14000000000000001</v>
      </c>
      <c r="D60" s="177">
        <v>1.43</v>
      </c>
      <c r="E60" s="177">
        <v>0.73</v>
      </c>
      <c r="F60" s="177">
        <v>2.66</v>
      </c>
      <c r="G60" s="177">
        <v>2.99</v>
      </c>
      <c r="H60" s="177">
        <v>2.95</v>
      </c>
      <c r="I60" s="177">
        <v>1.6</v>
      </c>
      <c r="J60" s="177">
        <v>1.39</v>
      </c>
      <c r="K60" s="177">
        <v>0.21</v>
      </c>
      <c r="L60" s="177">
        <v>0.47</v>
      </c>
      <c r="M60" s="177">
        <v>0</v>
      </c>
      <c r="N60" s="177">
        <f t="shared" si="0"/>
        <v>15.240000000000002</v>
      </c>
    </row>
    <row r="61" spans="1:14">
      <c r="A61" s="175">
        <v>1997</v>
      </c>
      <c r="B61" s="177">
        <v>0.8</v>
      </c>
      <c r="C61" s="177">
        <v>0.47</v>
      </c>
      <c r="D61" s="177">
        <v>0.5</v>
      </c>
      <c r="E61" s="177">
        <v>1.57</v>
      </c>
      <c r="F61" s="177">
        <v>2.23</v>
      </c>
      <c r="G61" s="177">
        <v>3.68</v>
      </c>
      <c r="H61" s="177">
        <v>3.59</v>
      </c>
      <c r="I61" s="177">
        <v>6.25</v>
      </c>
      <c r="J61" s="177">
        <v>1.66</v>
      </c>
      <c r="K61" s="177">
        <v>1.1200000000000001</v>
      </c>
      <c r="L61" s="177">
        <v>0.26</v>
      </c>
      <c r="M61" s="177">
        <v>0.12</v>
      </c>
      <c r="N61" s="177">
        <f t="shared" si="0"/>
        <v>22.250000000000004</v>
      </c>
    </row>
    <row r="62" spans="1:14">
      <c r="A62" s="175">
        <v>1998</v>
      </c>
      <c r="B62" s="177">
        <v>0.04</v>
      </c>
      <c r="C62" s="177">
        <v>0.4</v>
      </c>
      <c r="D62" s="177">
        <v>0.92</v>
      </c>
      <c r="E62" s="177">
        <v>1.31</v>
      </c>
      <c r="F62" s="177">
        <v>2.0499999999999998</v>
      </c>
      <c r="G62" s="177">
        <v>2.19</v>
      </c>
      <c r="H62" s="177">
        <v>4.41</v>
      </c>
      <c r="I62" s="177">
        <v>0.87</v>
      </c>
      <c r="J62" s="177">
        <v>1.4</v>
      </c>
      <c r="K62" s="177">
        <v>1.28</v>
      </c>
      <c r="L62" s="177">
        <v>1.02</v>
      </c>
      <c r="M62" s="177">
        <v>0.72</v>
      </c>
      <c r="N62" s="177">
        <f t="shared" si="0"/>
        <v>16.61</v>
      </c>
    </row>
    <row r="63" spans="1:14">
      <c r="A63" s="175">
        <v>1999</v>
      </c>
      <c r="B63" s="177">
        <v>0.34</v>
      </c>
      <c r="C63" s="177">
        <v>0.09</v>
      </c>
      <c r="D63" s="177">
        <v>0.46</v>
      </c>
      <c r="E63" s="177">
        <v>5.43</v>
      </c>
      <c r="F63" s="177">
        <v>5.51</v>
      </c>
      <c r="G63" s="177">
        <v>0.96</v>
      </c>
      <c r="H63" s="177">
        <v>2.79</v>
      </c>
      <c r="I63" s="177">
        <v>3.16</v>
      </c>
      <c r="J63" s="177">
        <v>2.33</v>
      </c>
      <c r="K63" s="177">
        <v>0.45</v>
      </c>
      <c r="L63" s="177">
        <v>0.35</v>
      </c>
      <c r="M63" s="177">
        <v>7.0000000000000007E-2</v>
      </c>
      <c r="N63" s="177">
        <f t="shared" si="0"/>
        <v>21.94</v>
      </c>
    </row>
    <row r="64" spans="1:14">
      <c r="A64" s="175">
        <v>2000</v>
      </c>
      <c r="B64" s="177">
        <v>0.2</v>
      </c>
      <c r="C64" s="177">
        <v>0.55000000000000004</v>
      </c>
      <c r="D64" s="177">
        <v>0.64</v>
      </c>
      <c r="E64" s="177">
        <v>0.84</v>
      </c>
      <c r="F64" s="177">
        <v>1.51</v>
      </c>
      <c r="G64" s="177">
        <v>1.05</v>
      </c>
      <c r="H64" s="177">
        <v>0.72</v>
      </c>
      <c r="I64" s="177">
        <v>3.81</v>
      </c>
      <c r="J64" s="177">
        <v>1.87</v>
      </c>
      <c r="K64" s="177">
        <v>0.21</v>
      </c>
      <c r="L64" s="177">
        <v>0.44</v>
      </c>
      <c r="M64" s="177">
        <v>0.41</v>
      </c>
      <c r="N64" s="177">
        <f t="shared" si="0"/>
        <v>12.250000000000002</v>
      </c>
    </row>
    <row r="65" spans="1:24">
      <c r="A65" s="175">
        <v>2001</v>
      </c>
      <c r="B65" s="177">
        <v>0.57999999999999996</v>
      </c>
      <c r="C65" s="177">
        <v>0.31</v>
      </c>
      <c r="D65" s="177">
        <v>0.74</v>
      </c>
      <c r="E65" s="177">
        <v>1.52</v>
      </c>
      <c r="F65" s="177">
        <v>3.33</v>
      </c>
      <c r="G65" s="177">
        <v>1.66</v>
      </c>
      <c r="H65" s="177">
        <v>2.67</v>
      </c>
      <c r="I65" s="177">
        <v>1.53</v>
      </c>
      <c r="J65" s="177">
        <v>0.97</v>
      </c>
      <c r="K65" s="177">
        <v>0.42</v>
      </c>
      <c r="L65" s="177">
        <v>0.28000000000000003</v>
      </c>
      <c r="M65" s="177">
        <v>0</v>
      </c>
      <c r="N65" s="177">
        <f t="shared" si="0"/>
        <v>14.01</v>
      </c>
    </row>
    <row r="66" spans="1:24">
      <c r="A66" s="175">
        <v>2002</v>
      </c>
      <c r="B66" s="177">
        <v>0.23</v>
      </c>
      <c r="C66" s="177">
        <v>0.26</v>
      </c>
      <c r="D66" s="177">
        <v>0.69</v>
      </c>
      <c r="E66" s="177">
        <v>0.32</v>
      </c>
      <c r="F66" s="177">
        <v>1.27</v>
      </c>
      <c r="G66" s="177">
        <v>1.1200000000000001</v>
      </c>
      <c r="H66" s="177">
        <v>1.75</v>
      </c>
      <c r="I66" s="177">
        <v>1.28</v>
      </c>
      <c r="J66" s="177">
        <v>1.46</v>
      </c>
      <c r="K66" s="177">
        <v>0.7</v>
      </c>
      <c r="L66" s="177">
        <v>0.45</v>
      </c>
      <c r="M66" s="177">
        <v>0.03</v>
      </c>
      <c r="N66" s="177">
        <f t="shared" si="0"/>
        <v>9.5599999999999987</v>
      </c>
    </row>
    <row r="67" spans="1:24">
      <c r="A67" s="175">
        <v>2003</v>
      </c>
      <c r="B67" s="177">
        <v>0.12</v>
      </c>
      <c r="C67" s="177">
        <v>0.48</v>
      </c>
      <c r="D67" s="177">
        <v>1.73</v>
      </c>
      <c r="E67" s="177">
        <v>1.19</v>
      </c>
      <c r="F67" s="177">
        <v>1.85</v>
      </c>
      <c r="G67" s="177">
        <v>2.94</v>
      </c>
      <c r="H67" s="177">
        <v>1.1100000000000001</v>
      </c>
      <c r="I67" s="177">
        <v>0.18</v>
      </c>
      <c r="J67" s="177">
        <v>2.4900000000000002</v>
      </c>
      <c r="K67" s="177">
        <v>0.01</v>
      </c>
      <c r="L67" s="177">
        <v>0.31</v>
      </c>
      <c r="M67" s="177">
        <v>0.28000000000000003</v>
      </c>
      <c r="N67" s="177">
        <f t="shared" si="0"/>
        <v>12.69</v>
      </c>
    </row>
    <row r="68" spans="1:24">
      <c r="A68" s="175">
        <v>2004</v>
      </c>
      <c r="B68" s="177">
        <v>0.33</v>
      </c>
      <c r="C68" s="177">
        <v>0.51</v>
      </c>
      <c r="D68" s="177">
        <v>0</v>
      </c>
      <c r="E68" s="177">
        <v>0.84</v>
      </c>
      <c r="F68" s="177">
        <v>1.36</v>
      </c>
      <c r="G68" s="177">
        <v>2.27</v>
      </c>
      <c r="H68" s="177">
        <v>1.32</v>
      </c>
      <c r="I68" s="177">
        <v>0.86</v>
      </c>
      <c r="J68" s="177">
        <v>1.68</v>
      </c>
      <c r="K68" s="177">
        <v>1.41</v>
      </c>
      <c r="L68" s="177">
        <v>0.84</v>
      </c>
      <c r="M68" s="177">
        <v>0.13</v>
      </c>
      <c r="N68" s="177">
        <f t="shared" ref="N68:N77" si="1">SUM(B68:M68)</f>
        <v>11.550000000000002</v>
      </c>
    </row>
    <row r="69" spans="1:24">
      <c r="A69" s="175">
        <v>2005</v>
      </c>
      <c r="B69" s="177">
        <v>0.43</v>
      </c>
      <c r="C69" s="177">
        <v>0.19</v>
      </c>
      <c r="D69" s="177">
        <v>1.22</v>
      </c>
      <c r="E69" s="177">
        <v>1.72</v>
      </c>
      <c r="F69" s="177">
        <v>2.17</v>
      </c>
      <c r="G69" s="177">
        <v>4.08</v>
      </c>
      <c r="H69" s="177">
        <v>0.51</v>
      </c>
      <c r="I69" s="177">
        <v>1.37</v>
      </c>
      <c r="J69" s="177">
        <v>0.22</v>
      </c>
      <c r="K69" s="177">
        <v>1.96</v>
      </c>
      <c r="L69" s="177">
        <v>0.4</v>
      </c>
      <c r="M69" s="177">
        <v>0.3</v>
      </c>
      <c r="N69" s="177">
        <f t="shared" si="1"/>
        <v>14.569999999999999</v>
      </c>
    </row>
    <row r="70" spans="1:24">
      <c r="A70" s="175">
        <v>2006</v>
      </c>
      <c r="B70" s="177">
        <v>0</v>
      </c>
      <c r="C70" s="177">
        <v>0.42</v>
      </c>
      <c r="D70" s="177">
        <v>1.48</v>
      </c>
      <c r="E70" s="177">
        <v>0.23</v>
      </c>
      <c r="F70" s="177">
        <v>1.45</v>
      </c>
      <c r="G70" s="177">
        <v>0.43</v>
      </c>
      <c r="H70" s="177">
        <v>2.35</v>
      </c>
      <c r="I70" s="177">
        <v>1.75</v>
      </c>
      <c r="J70" s="177">
        <v>1.55</v>
      </c>
      <c r="K70" s="177">
        <v>0.64</v>
      </c>
      <c r="L70" s="177">
        <v>0.13</v>
      </c>
      <c r="M70" s="177">
        <v>1.41</v>
      </c>
      <c r="N70" s="177">
        <f t="shared" si="1"/>
        <v>11.840000000000002</v>
      </c>
    </row>
    <row r="71" spans="1:24">
      <c r="A71" s="175">
        <v>2007</v>
      </c>
      <c r="B71" s="177">
        <v>0.33</v>
      </c>
      <c r="C71" s="177">
        <v>0.28999999999999998</v>
      </c>
      <c r="D71" s="177">
        <v>0.97</v>
      </c>
      <c r="E71" s="177">
        <v>0.99</v>
      </c>
      <c r="F71" s="177">
        <v>2.0699999999999998</v>
      </c>
      <c r="G71" s="177">
        <v>0.18</v>
      </c>
      <c r="H71" s="177">
        <v>2.2599999999999998</v>
      </c>
      <c r="I71" s="177">
        <v>3</v>
      </c>
      <c r="J71" s="177">
        <v>1.26</v>
      </c>
      <c r="K71" s="177">
        <v>1.24</v>
      </c>
      <c r="L71" s="177">
        <v>0.16</v>
      </c>
      <c r="M71" s="177">
        <v>1.03</v>
      </c>
      <c r="N71" s="177">
        <f t="shared" si="1"/>
        <v>13.78</v>
      </c>
    </row>
    <row r="72" spans="1:24">
      <c r="A72" s="175">
        <v>2008</v>
      </c>
      <c r="B72" s="177">
        <v>0.03</v>
      </c>
      <c r="C72" s="177">
        <v>0.1</v>
      </c>
      <c r="D72" s="177">
        <v>0.59</v>
      </c>
      <c r="E72" s="177">
        <v>1.33</v>
      </c>
      <c r="F72" s="177">
        <v>1.46</v>
      </c>
      <c r="G72" s="177">
        <v>1.05</v>
      </c>
      <c r="H72" s="177">
        <v>0.17</v>
      </c>
      <c r="I72" s="177">
        <v>5.42</v>
      </c>
      <c r="J72" s="177">
        <v>1.62</v>
      </c>
      <c r="K72" s="177">
        <v>0.71</v>
      </c>
      <c r="L72" s="177">
        <v>0.15</v>
      </c>
      <c r="M72" s="177">
        <v>0.39</v>
      </c>
      <c r="N72" s="177">
        <f t="shared" si="1"/>
        <v>13.020000000000001</v>
      </c>
    </row>
    <row r="73" spans="1:24">
      <c r="A73" s="175">
        <v>2009</v>
      </c>
      <c r="B73" s="177">
        <v>0.32</v>
      </c>
      <c r="C73" s="177">
        <v>7.0000000000000007E-2</v>
      </c>
      <c r="D73" s="177">
        <v>0.33</v>
      </c>
      <c r="E73" s="177">
        <v>2.87</v>
      </c>
      <c r="F73" s="177">
        <v>1.56</v>
      </c>
      <c r="G73" s="177">
        <v>5.47</v>
      </c>
      <c r="H73" s="177">
        <v>2.93</v>
      </c>
      <c r="I73" s="177">
        <v>1.06</v>
      </c>
      <c r="J73" s="177">
        <v>0.11</v>
      </c>
      <c r="K73" s="177">
        <v>1.22</v>
      </c>
      <c r="L73" s="177">
        <v>0.35</v>
      </c>
      <c r="M73" s="177">
        <v>0.9</v>
      </c>
      <c r="N73" s="177">
        <f t="shared" si="1"/>
        <v>17.190000000000001</v>
      </c>
    </row>
    <row r="74" spans="1:24">
      <c r="A74" s="175">
        <v>2010</v>
      </c>
      <c r="B74" s="177">
        <v>0.06</v>
      </c>
      <c r="C74" s="177">
        <v>0.51</v>
      </c>
      <c r="D74" s="177">
        <v>0.9</v>
      </c>
      <c r="E74" s="177">
        <v>3.2</v>
      </c>
      <c r="F74" s="177">
        <v>4.21</v>
      </c>
      <c r="G74" s="177">
        <v>1.98</v>
      </c>
      <c r="H74" s="177">
        <v>1.65</v>
      </c>
      <c r="I74" s="177">
        <v>0.18</v>
      </c>
      <c r="J74" s="177">
        <v>0.1</v>
      </c>
      <c r="K74" s="177">
        <v>0.57999999999999996</v>
      </c>
      <c r="L74" s="177">
        <v>0.61</v>
      </c>
      <c r="M74" s="177">
        <v>0.22</v>
      </c>
      <c r="N74" s="177">
        <f t="shared" si="1"/>
        <v>14.2</v>
      </c>
    </row>
    <row r="75" spans="1:24">
      <c r="A75" s="175">
        <v>2011</v>
      </c>
      <c r="B75" s="177">
        <v>7.0000000000000007E-2</v>
      </c>
      <c r="C75" s="177">
        <v>0.62</v>
      </c>
      <c r="D75" s="177">
        <v>0.41</v>
      </c>
      <c r="E75" s="177">
        <v>1.48</v>
      </c>
      <c r="F75" s="177">
        <v>3.58</v>
      </c>
      <c r="G75" s="177">
        <v>1.39</v>
      </c>
      <c r="H75" s="177">
        <v>2.5299999999999998</v>
      </c>
      <c r="I75" s="177">
        <v>0.66</v>
      </c>
      <c r="J75" s="177">
        <v>1.23</v>
      </c>
      <c r="K75" s="177">
        <v>1.8</v>
      </c>
      <c r="L75" s="177">
        <v>0.12</v>
      </c>
      <c r="M75" s="177">
        <v>0.14000000000000001</v>
      </c>
      <c r="N75" s="177">
        <f t="shared" si="1"/>
        <v>14.030000000000001</v>
      </c>
    </row>
    <row r="76" spans="1:24">
      <c r="A76" s="175">
        <v>2012</v>
      </c>
      <c r="B76" s="177">
        <v>0.03</v>
      </c>
      <c r="C76" s="177">
        <v>0.43</v>
      </c>
      <c r="D76" s="177">
        <v>0</v>
      </c>
      <c r="E76" s="177">
        <v>0.52</v>
      </c>
      <c r="F76" s="177">
        <v>0.69</v>
      </c>
      <c r="G76" s="177">
        <v>0.37</v>
      </c>
      <c r="H76" s="177">
        <v>2.66</v>
      </c>
      <c r="I76" s="177">
        <v>0.34</v>
      </c>
      <c r="J76" s="177">
        <v>1.98</v>
      </c>
      <c r="K76" s="177">
        <v>7.0000000000000007E-2</v>
      </c>
      <c r="L76" s="177">
        <v>0.08</v>
      </c>
      <c r="M76" s="177">
        <v>0.31</v>
      </c>
      <c r="N76" s="177">
        <f t="shared" si="1"/>
        <v>7.4799999999999995</v>
      </c>
      <c r="O76" s="175" t="s">
        <v>201</v>
      </c>
      <c r="P76" s="175" t="s">
        <v>201</v>
      </c>
      <c r="Q76" s="175" t="s">
        <v>201</v>
      </c>
      <c r="R76" s="175" t="s">
        <v>201</v>
      </c>
      <c r="S76" s="175" t="s">
        <v>201</v>
      </c>
      <c r="T76" s="175" t="s">
        <v>201</v>
      </c>
      <c r="U76" s="175" t="s">
        <v>201</v>
      </c>
      <c r="V76" s="175" t="s">
        <v>201</v>
      </c>
      <c r="W76" s="175" t="s">
        <v>201</v>
      </c>
      <c r="X76" s="175" t="s">
        <v>201</v>
      </c>
    </row>
    <row r="77" spans="1:24">
      <c r="A77" s="175">
        <v>2013</v>
      </c>
      <c r="B77" s="177">
        <v>7.0000000000000007E-2</v>
      </c>
      <c r="C77" s="177">
        <v>0.37</v>
      </c>
      <c r="D77" s="177">
        <v>0.21</v>
      </c>
      <c r="E77" s="177">
        <v>2.5</v>
      </c>
      <c r="F77" s="177">
        <v>1.97</v>
      </c>
      <c r="G77" s="177">
        <v>0.23</v>
      </c>
      <c r="H77" s="177">
        <v>2.4700000000000002</v>
      </c>
      <c r="I77" s="177">
        <v>1.69</v>
      </c>
      <c r="J77" s="177">
        <v>4.0999999999999996</v>
      </c>
      <c r="K77" s="177">
        <v>1.68</v>
      </c>
      <c r="L77" s="177">
        <v>0.26</v>
      </c>
      <c r="M77" s="177">
        <v>0.44</v>
      </c>
      <c r="N77" s="177">
        <f t="shared" si="1"/>
        <v>15.989999999999998</v>
      </c>
    </row>
    <row r="78" spans="1:24">
      <c r="A78" s="175">
        <v>2014</v>
      </c>
      <c r="B78" s="177">
        <v>1.33</v>
      </c>
      <c r="C78" s="177">
        <v>0.61</v>
      </c>
      <c r="D78" s="177">
        <v>0.36</v>
      </c>
      <c r="E78" s="177">
        <v>0.26</v>
      </c>
      <c r="F78" s="177">
        <v>2.5099999999999998</v>
      </c>
      <c r="G78" s="177">
        <v>2.92</v>
      </c>
      <c r="H78" s="177">
        <v>2.58</v>
      </c>
      <c r="I78" s="177">
        <v>0.77</v>
      </c>
      <c r="J78" s="177">
        <v>1.33</v>
      </c>
      <c r="K78" s="177">
        <v>0.78</v>
      </c>
      <c r="L78" s="177">
        <v>0.83</v>
      </c>
      <c r="M78" s="177">
        <v>0.28000000000000003</v>
      </c>
      <c r="N78" s="177">
        <f>SUM(B78:M78)</f>
        <v>14.559999999999999</v>
      </c>
    </row>
    <row r="79" spans="1:24">
      <c r="A79" s="175">
        <v>2015</v>
      </c>
      <c r="B79" s="177">
        <v>0.4</v>
      </c>
      <c r="C79" s="179">
        <v>0.54</v>
      </c>
      <c r="D79" s="179">
        <v>0.32</v>
      </c>
      <c r="E79" s="179">
        <v>1.44</v>
      </c>
      <c r="F79" s="179">
        <v>5.61</v>
      </c>
      <c r="G79" s="179">
        <v>1.95</v>
      </c>
      <c r="H79" s="179">
        <v>1.19</v>
      </c>
      <c r="I79" s="179">
        <v>0.57999999999999996</v>
      </c>
      <c r="J79" s="179">
        <v>0.04</v>
      </c>
      <c r="K79" s="179">
        <v>1.88</v>
      </c>
      <c r="L79" s="179">
        <v>0.53</v>
      </c>
      <c r="M79" s="179">
        <v>0.5</v>
      </c>
      <c r="N79" s="179">
        <f>SUM(B79:M79)</f>
        <v>14.979999999999999</v>
      </c>
    </row>
    <row r="80" spans="1:24">
      <c r="A80" s="175">
        <v>2016</v>
      </c>
      <c r="B80" s="177">
        <v>0.27</v>
      </c>
      <c r="C80" s="179">
        <v>0.69</v>
      </c>
      <c r="D80" s="179">
        <v>0.82</v>
      </c>
      <c r="E80" s="179">
        <v>1.35</v>
      </c>
      <c r="F80" s="179">
        <v>1.42</v>
      </c>
      <c r="G80" s="179">
        <v>0.96</v>
      </c>
      <c r="H80" s="179"/>
      <c r="I80" s="179"/>
      <c r="J80" s="179"/>
      <c r="K80" s="179"/>
      <c r="L80" s="179"/>
      <c r="M80" s="179"/>
      <c r="N80" s="179"/>
    </row>
    <row r="81" spans="1:14">
      <c r="A81" s="175" t="s">
        <v>202</v>
      </c>
      <c r="B81" s="177">
        <f t="shared" ref="B81:I81" si="2">AVERAGE(B3:B78)</f>
        <v>0.29934210526315791</v>
      </c>
      <c r="C81" s="177">
        <f t="shared" si="2"/>
        <v>0.27960526315789486</v>
      </c>
      <c r="D81" s="177">
        <f t="shared" si="2"/>
        <v>0.72394736842105234</v>
      </c>
      <c r="E81" s="177">
        <f t="shared" si="2"/>
        <v>1.2507894736842105</v>
      </c>
      <c r="F81" s="177">
        <f t="shared" si="2"/>
        <v>2.2273684210526317</v>
      </c>
      <c r="G81" s="177">
        <f t="shared" si="2"/>
        <v>2.2528947368421059</v>
      </c>
      <c r="H81" s="177">
        <f t="shared" si="2"/>
        <v>2.0469736842105264</v>
      </c>
      <c r="I81" s="177">
        <f t="shared" si="2"/>
        <v>1.6693421052631578</v>
      </c>
      <c r="J81" s="177">
        <f>AVERAGE(J3:J79)</f>
        <v>1.2435064935064939</v>
      </c>
      <c r="K81" s="177">
        <f>AVERAGE(K3:K79)</f>
        <v>0.78220779220779235</v>
      </c>
      <c r="L81" s="177">
        <f>AVERAGE(L3:L79)</f>
        <v>0.39155844155844155</v>
      </c>
      <c r="M81" s="177">
        <f>AVERAGE(M3:M79)</f>
        <v>0.27376623376623377</v>
      </c>
      <c r="N81" s="177">
        <f>AVERAGE(N3:N79)</f>
        <v>13.457922077922078</v>
      </c>
    </row>
    <row r="82" spans="1:14">
      <c r="B82" s="177" t="s">
        <v>201</v>
      </c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</row>
    <row r="83" spans="1:14">
      <c r="A83" s="180" t="s">
        <v>203</v>
      </c>
      <c r="B83" s="177">
        <f>B81</f>
        <v>0.29934210526315791</v>
      </c>
      <c r="C83" s="177">
        <f t="shared" ref="C83:M83" si="3">B83+C81</f>
        <v>0.57894736842105277</v>
      </c>
      <c r="D83" s="177">
        <f t="shared" si="3"/>
        <v>1.3028947368421051</v>
      </c>
      <c r="E83" s="177">
        <f t="shared" si="3"/>
        <v>2.5536842105263156</v>
      </c>
      <c r="F83" s="177">
        <f t="shared" si="3"/>
        <v>4.7810526315789472</v>
      </c>
      <c r="G83" s="177">
        <f t="shared" si="3"/>
        <v>7.0339473684210532</v>
      </c>
      <c r="H83" s="177">
        <f t="shared" si="3"/>
        <v>9.0809210526315791</v>
      </c>
      <c r="I83" s="177">
        <f t="shared" si="3"/>
        <v>10.750263157894738</v>
      </c>
      <c r="J83" s="177">
        <f t="shared" si="3"/>
        <v>11.993769651401232</v>
      </c>
      <c r="K83" s="177">
        <f t="shared" si="3"/>
        <v>12.775977443609024</v>
      </c>
      <c r="L83" s="177">
        <f t="shared" si="3"/>
        <v>13.167535885167466</v>
      </c>
      <c r="M83" s="177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M236"/>
  <sheetViews>
    <sheetView tabSelected="1" topLeftCell="A72" workbookViewId="0">
      <selection activeCell="P75" sqref="P75"/>
    </sheetView>
  </sheetViews>
  <sheetFormatPr baseColWidth="10" defaultColWidth="8.83203125" defaultRowHeight="12" x14ac:dyDescent="0"/>
  <cols>
    <col min="2" max="2" width="0.83203125" customWidth="1"/>
    <col min="3" max="3" width="9.6640625" customWidth="1"/>
    <col min="4" max="4" width="1.83203125" customWidth="1"/>
    <col min="5" max="5" width="11.6640625" customWidth="1"/>
    <col min="6" max="6" width="0.83203125" customWidth="1"/>
    <col min="7" max="7" width="17.6640625" customWidth="1"/>
    <col min="8" max="8" width="0.83203125" customWidth="1"/>
    <col min="9" max="9" width="14.1640625" customWidth="1"/>
    <col min="10" max="13" width="0.83203125" customWidth="1"/>
    <col min="14" max="14" width="2.6640625" customWidth="1"/>
    <col min="15" max="15" width="0.83203125" customWidth="1"/>
    <col min="16" max="20" width="10.6640625" customWidth="1"/>
    <col min="21" max="21" width="13.6640625" customWidth="1"/>
    <col min="22" max="22" width="9.1640625" customWidth="1"/>
    <col min="23" max="23" width="6.5" customWidth="1"/>
    <col min="25" max="28" width="10.6640625" customWidth="1"/>
    <col min="29" max="29" width="10.6640625" bestFit="1" customWidth="1"/>
  </cols>
  <sheetData>
    <row r="1" spans="1:39">
      <c r="A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W1" s="13"/>
    </row>
    <row r="2" spans="1:39" ht="20">
      <c r="A2" s="13"/>
      <c r="C2" s="347" t="s">
        <v>311</v>
      </c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169"/>
      <c r="U2" s="170"/>
      <c r="W2" s="13"/>
    </row>
    <row r="3" spans="1:39" ht="14">
      <c r="A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71"/>
      <c r="U3" s="170"/>
      <c r="W3" s="13"/>
    </row>
    <row r="4" spans="1:39" ht="14">
      <c r="A4" s="13"/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31"/>
      <c r="O4" s="31"/>
      <c r="P4" s="31"/>
      <c r="Q4" s="31"/>
      <c r="R4" s="31"/>
      <c r="S4" s="31"/>
      <c r="T4" s="171"/>
      <c r="U4" s="170"/>
      <c r="W4" s="13" t="s">
        <v>213</v>
      </c>
    </row>
    <row r="5" spans="1:39" ht="14">
      <c r="A5" s="13"/>
      <c r="C5" s="168" t="s">
        <v>263</v>
      </c>
      <c r="D5" s="40"/>
      <c r="E5" s="14"/>
      <c r="F5" s="14"/>
      <c r="G5" s="14"/>
      <c r="H5" s="14"/>
      <c r="I5" s="14"/>
      <c r="J5" s="14"/>
      <c r="K5" s="14"/>
      <c r="L5" s="14"/>
      <c r="M5" s="14"/>
      <c r="N5" s="31"/>
      <c r="O5" s="31"/>
      <c r="P5" s="31"/>
      <c r="Q5" s="31"/>
      <c r="R5" s="31"/>
      <c r="S5" s="31"/>
      <c r="T5" s="171"/>
      <c r="U5" s="170"/>
      <c r="W5" s="13" t="s">
        <v>171</v>
      </c>
      <c r="X5" t="e">
        <f ca="1">_xll.RiskSimtable(Y5:AA5)</f>
        <v>#NAME?</v>
      </c>
      <c r="Y5">
        <v>1.3</v>
      </c>
      <c r="Z5">
        <v>1.4</v>
      </c>
      <c r="AA5">
        <v>1.5</v>
      </c>
    </row>
    <row r="6" spans="1:39" ht="159" customHeight="1">
      <c r="A6" s="13"/>
      <c r="C6" s="483" t="s">
        <v>270</v>
      </c>
      <c r="D6" s="483"/>
      <c r="E6" s="483"/>
      <c r="F6" s="483"/>
      <c r="G6" s="483"/>
      <c r="H6" s="483"/>
      <c r="I6" s="483"/>
      <c r="J6" s="483"/>
      <c r="K6" s="483"/>
      <c r="L6" s="483"/>
      <c r="M6" s="483"/>
      <c r="N6" s="483"/>
      <c r="O6" s="483"/>
      <c r="P6" s="483"/>
      <c r="Q6" s="483"/>
      <c r="R6" s="483"/>
      <c r="S6" s="483"/>
      <c r="T6" s="171"/>
      <c r="U6" s="170"/>
      <c r="W6" s="13"/>
    </row>
    <row r="7" spans="1:39" ht="15" customHeight="1">
      <c r="A7" s="67"/>
      <c r="C7" s="68" t="s">
        <v>41</v>
      </c>
      <c r="D7" s="68"/>
      <c r="E7" s="67"/>
      <c r="F7" s="67"/>
      <c r="G7" s="67"/>
      <c r="H7" s="67"/>
      <c r="I7" s="67"/>
      <c r="J7" s="67"/>
      <c r="K7" s="67"/>
      <c r="L7" s="67"/>
      <c r="M7" s="67"/>
      <c r="N7" s="13"/>
      <c r="O7" s="67"/>
      <c r="P7" s="68" t="s">
        <v>42</v>
      </c>
      <c r="Q7" s="68"/>
      <c r="R7" s="68"/>
      <c r="S7" s="68"/>
      <c r="T7" s="67"/>
      <c r="U7" s="67"/>
      <c r="W7" s="13"/>
    </row>
    <row r="8" spans="1:39" ht="15" customHeight="1">
      <c r="A8" s="67"/>
      <c r="C8" s="15" t="s">
        <v>1</v>
      </c>
      <c r="D8" s="15"/>
      <c r="E8" s="67"/>
      <c r="F8" s="67"/>
      <c r="G8" s="67"/>
      <c r="H8" s="67"/>
      <c r="I8" s="156">
        <f>UI!G18</f>
        <v>600</v>
      </c>
      <c r="J8" s="67"/>
      <c r="K8" s="67"/>
      <c r="L8" s="67"/>
      <c r="M8" s="67"/>
      <c r="N8" s="13"/>
      <c r="O8" s="67"/>
      <c r="P8" s="16" t="s">
        <v>70</v>
      </c>
      <c r="Q8" s="16"/>
      <c r="R8" s="16"/>
      <c r="S8" s="16"/>
      <c r="T8" s="67"/>
      <c r="U8" s="59">
        <f>UI!G27</f>
        <v>0.94</v>
      </c>
      <c r="W8" s="13"/>
      <c r="Y8" s="277" t="s">
        <v>65</v>
      </c>
      <c r="Z8" s="278"/>
      <c r="AA8" s="278"/>
      <c r="AB8" s="278"/>
      <c r="AC8" s="279">
        <f>I8*U9</f>
        <v>450</v>
      </c>
      <c r="AD8" s="280" t="s">
        <v>68</v>
      </c>
    </row>
    <row r="9" spans="1:39" ht="15" customHeight="1">
      <c r="A9" s="67"/>
      <c r="C9" s="15" t="s">
        <v>72</v>
      </c>
      <c r="D9" s="15"/>
      <c r="E9" s="67"/>
      <c r="F9" s="67"/>
      <c r="G9" s="67"/>
      <c r="H9" s="67"/>
      <c r="I9" s="1">
        <f>UI!G19</f>
        <v>1200</v>
      </c>
      <c r="J9" s="67"/>
      <c r="K9" s="67"/>
      <c r="L9" s="67"/>
      <c r="M9" s="67"/>
      <c r="N9" s="13"/>
      <c r="O9" s="67"/>
      <c r="P9" s="15" t="s">
        <v>71</v>
      </c>
      <c r="Q9" s="15"/>
      <c r="R9" s="16"/>
      <c r="S9" s="16"/>
      <c r="T9" s="67"/>
      <c r="U9" s="59">
        <f>UI!G28</f>
        <v>0.75</v>
      </c>
      <c r="W9" s="13"/>
    </row>
    <row r="10" spans="1:39" ht="15" customHeight="1">
      <c r="A10" s="67"/>
      <c r="C10" s="16" t="s">
        <v>3</v>
      </c>
      <c r="D10" s="16"/>
      <c r="E10" s="67"/>
      <c r="F10" s="67"/>
      <c r="G10" s="67"/>
      <c r="H10" s="67"/>
      <c r="I10" s="2">
        <f>UI!G20</f>
        <v>850</v>
      </c>
      <c r="J10" s="67"/>
      <c r="K10" s="67"/>
      <c r="L10" s="67"/>
      <c r="M10" s="67"/>
      <c r="N10" s="13"/>
      <c r="O10" s="67"/>
      <c r="P10" s="15" t="s">
        <v>30</v>
      </c>
      <c r="Q10" s="15"/>
      <c r="R10" s="69"/>
      <c r="S10" s="69"/>
      <c r="T10" s="13"/>
      <c r="U10" s="257">
        <f>UI!G29</f>
        <v>375</v>
      </c>
      <c r="V10" t="s">
        <v>310</v>
      </c>
      <c r="W10" s="13"/>
    </row>
    <row r="11" spans="1:39" ht="15" customHeight="1">
      <c r="A11" s="67"/>
      <c r="C11" s="69" t="s">
        <v>53</v>
      </c>
      <c r="D11" s="16"/>
      <c r="E11" s="67"/>
      <c r="F11" s="67"/>
      <c r="G11" s="67"/>
      <c r="H11" s="67"/>
      <c r="I11" s="1">
        <f>UI!G21</f>
        <v>15</v>
      </c>
      <c r="J11" s="67"/>
      <c r="K11" s="67"/>
      <c r="L11" s="67"/>
      <c r="M11" s="67"/>
      <c r="N11" s="13"/>
      <c r="O11" s="67"/>
      <c r="P11" s="15" t="s">
        <v>31</v>
      </c>
      <c r="Q11" s="15"/>
      <c r="R11" s="69"/>
      <c r="S11" s="69"/>
      <c r="T11" s="13"/>
      <c r="U11" s="258">
        <f>UI!G30</f>
        <v>600</v>
      </c>
      <c r="V11" s="470">
        <f>(($U$11-$U$10)*$I$13)+$U$10</f>
        <v>534.50140397067605</v>
      </c>
      <c r="AH11" s="363"/>
      <c r="AI11" s="357"/>
      <c r="AJ11" s="357"/>
      <c r="AK11" s="357"/>
      <c r="AM11" s="357"/>
    </row>
    <row r="12" spans="1:39" ht="15" customHeight="1" thickBot="1">
      <c r="A12" s="67"/>
      <c r="C12" s="16" t="s">
        <v>45</v>
      </c>
      <c r="D12" s="16"/>
      <c r="E12" s="67"/>
      <c r="F12" s="67"/>
      <c r="G12" s="67"/>
      <c r="H12" s="67"/>
      <c r="I12" s="2">
        <f>UI!G22</f>
        <v>500</v>
      </c>
      <c r="J12" s="67"/>
      <c r="K12" s="67"/>
      <c r="L12" s="67"/>
      <c r="M12" s="67"/>
      <c r="N12" s="13"/>
      <c r="O12" s="67"/>
      <c r="P12" s="364" t="s">
        <v>299</v>
      </c>
      <c r="Q12" s="364"/>
      <c r="R12" s="69"/>
      <c r="S12" s="69"/>
      <c r="T12" s="13"/>
      <c r="U12" s="13"/>
      <c r="W12" s="13"/>
      <c r="X12" t="s">
        <v>172</v>
      </c>
      <c r="AH12" s="363"/>
      <c r="AJ12" s="357"/>
      <c r="AK12" s="357"/>
      <c r="AM12" s="357"/>
    </row>
    <row r="13" spans="1:39" ht="15" customHeight="1" thickTop="1" thickBot="1">
      <c r="A13" s="67"/>
      <c r="C13" s="490" t="s">
        <v>309</v>
      </c>
      <c r="D13" s="490"/>
      <c r="E13" s="490"/>
      <c r="F13" s="490"/>
      <c r="G13" s="490"/>
      <c r="H13" s="67"/>
      <c r="I13" s="186">
        <f>'Drought Calculator'!F3</f>
        <v>0.70889512875856031</v>
      </c>
      <c r="J13" s="67"/>
      <c r="K13" s="67"/>
      <c r="L13" s="67"/>
      <c r="M13" s="67"/>
      <c r="N13" s="13"/>
      <c r="O13" s="67"/>
      <c r="P13" s="40" t="s">
        <v>43</v>
      </c>
      <c r="Q13" s="40"/>
      <c r="R13" s="69"/>
      <c r="S13" s="69"/>
      <c r="T13" s="13"/>
      <c r="U13" s="39">
        <f>UI!G33</f>
        <v>1.45</v>
      </c>
      <c r="W13" s="13"/>
      <c r="X13">
        <v>1.45</v>
      </c>
      <c r="AH13" s="363"/>
      <c r="AJ13" s="357"/>
      <c r="AK13" s="357"/>
      <c r="AM13" s="357"/>
    </row>
    <row r="14" spans="1:39" ht="15" customHeight="1" thickTop="1">
      <c r="A14" s="67"/>
      <c r="C14" s="68" t="s">
        <v>44</v>
      </c>
      <c r="D14" s="68"/>
      <c r="E14" s="67"/>
      <c r="F14" s="67"/>
      <c r="G14" s="67"/>
      <c r="H14" s="67"/>
      <c r="I14" s="67"/>
      <c r="J14" s="67"/>
      <c r="K14" s="67"/>
      <c r="L14" s="67"/>
      <c r="M14" s="67"/>
      <c r="N14" s="13"/>
      <c r="O14" s="67"/>
      <c r="P14" s="71" t="s">
        <v>74</v>
      </c>
      <c r="Q14" s="71"/>
      <c r="R14" s="69"/>
      <c r="S14" s="69"/>
      <c r="T14" s="13"/>
      <c r="U14" s="39">
        <f>UI!G34</f>
        <v>1.31</v>
      </c>
      <c r="W14" s="13"/>
      <c r="X14">
        <v>1.32</v>
      </c>
      <c r="AH14" s="363"/>
      <c r="AJ14" s="357"/>
      <c r="AK14" s="357"/>
      <c r="AM14" s="357"/>
    </row>
    <row r="15" spans="1:39" ht="15" customHeight="1">
      <c r="A15" s="67"/>
      <c r="C15" s="16" t="s">
        <v>51</v>
      </c>
      <c r="D15" s="68"/>
      <c r="E15" s="67"/>
      <c r="F15" s="67"/>
      <c r="G15" s="67"/>
      <c r="H15" s="67"/>
      <c r="I15" s="3">
        <f>UI!G43</f>
        <v>6.5000000000000002E-2</v>
      </c>
      <c r="J15" s="67"/>
      <c r="K15" s="67"/>
      <c r="L15" s="67"/>
      <c r="M15" s="67"/>
      <c r="N15" s="13"/>
      <c r="O15" s="67"/>
      <c r="P15" s="71" t="s">
        <v>102</v>
      </c>
      <c r="Q15" s="71"/>
      <c r="R15" s="16"/>
      <c r="S15" s="16"/>
      <c r="T15" s="13"/>
      <c r="U15" s="39">
        <f>UI!G35</f>
        <v>1.25</v>
      </c>
      <c r="W15" s="13"/>
      <c r="X15">
        <v>1.25</v>
      </c>
      <c r="Y15" s="53" t="s">
        <v>173</v>
      </c>
      <c r="Z15" s="112"/>
      <c r="AA15" s="270" t="s">
        <v>60</v>
      </c>
      <c r="AB15" s="271" t="s">
        <v>61</v>
      </c>
      <c r="AH15" s="363"/>
      <c r="AJ15" s="357"/>
      <c r="AK15" s="357"/>
      <c r="AM15" s="357"/>
    </row>
    <row r="16" spans="1:39" ht="15" customHeight="1">
      <c r="A16" s="67"/>
      <c r="C16" s="16" t="s">
        <v>52</v>
      </c>
      <c r="D16" s="15"/>
      <c r="E16" s="67"/>
      <c r="F16" s="67"/>
      <c r="G16" s="67"/>
      <c r="H16" s="67"/>
      <c r="I16" s="3">
        <f>UI!G44</f>
        <v>1.2500000000000001E-2</v>
      </c>
      <c r="J16" s="67"/>
      <c r="K16" s="67"/>
      <c r="L16" s="67"/>
      <c r="M16" s="67"/>
      <c r="N16" s="13"/>
      <c r="O16" s="67"/>
      <c r="P16" s="167" t="s">
        <v>101</v>
      </c>
      <c r="Q16" s="71"/>
      <c r="R16" s="16"/>
      <c r="S16" s="16"/>
      <c r="T16" s="13"/>
      <c r="U16" s="39">
        <f>UI!G36</f>
        <v>1.25</v>
      </c>
      <c r="W16" s="13"/>
      <c r="X16">
        <v>1.2</v>
      </c>
      <c r="Y16" s="272">
        <f>I22</f>
        <v>1</v>
      </c>
      <c r="Z16" s="273"/>
      <c r="AA16" s="273">
        <f>IF($U$19&lt;2, $U$18-I21, 12-I21)</f>
        <v>6</v>
      </c>
      <c r="AB16" s="274">
        <f>AA16*30</f>
        <v>180</v>
      </c>
      <c r="AH16" s="363"/>
      <c r="AJ16" s="357"/>
      <c r="AK16" s="357"/>
      <c r="AM16" s="357"/>
    </row>
    <row r="17" spans="1:39" ht="15" customHeight="1">
      <c r="A17" s="67"/>
      <c r="C17" s="69" t="s">
        <v>36</v>
      </c>
      <c r="D17" s="15"/>
      <c r="E17" s="67"/>
      <c r="F17" s="67"/>
      <c r="G17" s="67"/>
      <c r="H17" s="67"/>
      <c r="I17" s="2">
        <f>UI!G45</f>
        <v>0</v>
      </c>
      <c r="J17" s="67"/>
      <c r="K17" s="67"/>
      <c r="L17" s="67"/>
      <c r="M17" s="67"/>
      <c r="N17" s="13"/>
      <c r="O17" s="67"/>
      <c r="P17" s="13"/>
      <c r="Q17" s="13"/>
      <c r="R17" s="69"/>
      <c r="S17" s="69"/>
      <c r="T17" s="13"/>
      <c r="U17" s="13"/>
      <c r="W17" s="13"/>
      <c r="Y17" s="272">
        <f>Y16+1</f>
        <v>2</v>
      </c>
      <c r="Z17" s="273"/>
      <c r="AA17" s="273">
        <f>IF($U$19&gt;Y17,12,IF($U$19=Y17,$U$18,0))</f>
        <v>0</v>
      </c>
      <c r="AB17" s="274">
        <f t="shared" ref="AB17:AB19" si="0">AA17*30</f>
        <v>0</v>
      </c>
      <c r="AH17" s="363"/>
      <c r="AJ17" s="357"/>
      <c r="AK17" s="357"/>
      <c r="AM17" s="357"/>
    </row>
    <row r="18" spans="1:39" ht="15" customHeight="1">
      <c r="A18" s="67"/>
      <c r="C18" s="15" t="s">
        <v>29</v>
      </c>
      <c r="D18" s="15"/>
      <c r="E18" s="67"/>
      <c r="F18" s="67"/>
      <c r="G18" s="67"/>
      <c r="H18" s="67"/>
      <c r="I18" s="4">
        <f>UI!G46</f>
        <v>0.19</v>
      </c>
      <c r="J18" s="67"/>
      <c r="K18" s="67"/>
      <c r="L18" s="67"/>
      <c r="M18" s="67"/>
      <c r="N18" s="17"/>
      <c r="O18" s="70"/>
      <c r="P18" s="163" t="s">
        <v>302</v>
      </c>
      <c r="Q18" s="68"/>
      <c r="R18" s="15"/>
      <c r="S18" s="165" t="s">
        <v>97</v>
      </c>
      <c r="T18" s="13"/>
      <c r="U18" s="259">
        <f>UI!F12</f>
        <v>12</v>
      </c>
      <c r="W18" s="13"/>
      <c r="Y18" s="272">
        <f t="shared" ref="Y18:Y20" si="1">Y17+1</f>
        <v>3</v>
      </c>
      <c r="Z18" s="273"/>
      <c r="AA18" s="273">
        <f t="shared" ref="AA18:AA20" si="2">IF($U$19&gt;Y18,12,IF($U$19=Y18,$U$18,0))</f>
        <v>0</v>
      </c>
      <c r="AB18" s="274">
        <f t="shared" si="0"/>
        <v>0</v>
      </c>
      <c r="AH18" s="363"/>
      <c r="AJ18" s="357"/>
      <c r="AK18" s="357"/>
      <c r="AM18" s="357"/>
    </row>
    <row r="19" spans="1:39" ht="15" customHeight="1">
      <c r="A19" s="67"/>
      <c r="C19" s="15" t="s">
        <v>214</v>
      </c>
      <c r="I19" s="187">
        <f>UI!G51</f>
        <v>1</v>
      </c>
      <c r="J19" s="67"/>
      <c r="K19" s="67"/>
      <c r="L19" s="67"/>
      <c r="M19" s="67"/>
      <c r="N19" s="13"/>
      <c r="O19" s="67"/>
      <c r="P19" s="68"/>
      <c r="Q19" s="68"/>
      <c r="R19" s="13"/>
      <c r="S19" s="166" t="s">
        <v>249</v>
      </c>
      <c r="T19" s="471"/>
      <c r="U19" s="260">
        <f>UI!F13</f>
        <v>1</v>
      </c>
      <c r="W19" s="13"/>
      <c r="Y19" s="272">
        <f t="shared" si="1"/>
        <v>4</v>
      </c>
      <c r="Z19" s="273"/>
      <c r="AA19" s="273">
        <f t="shared" si="2"/>
        <v>0</v>
      </c>
      <c r="AB19" s="274">
        <f t="shared" si="0"/>
        <v>0</v>
      </c>
      <c r="AH19" s="363"/>
      <c r="AJ19" s="357"/>
      <c r="AK19" s="357"/>
      <c r="AM19" s="357"/>
    </row>
    <row r="20" spans="1:39" ht="15" customHeight="1">
      <c r="A20" s="67"/>
      <c r="J20" s="67"/>
      <c r="K20" s="67"/>
      <c r="L20" s="67"/>
      <c r="M20" s="67"/>
      <c r="N20" s="13"/>
      <c r="O20" s="67"/>
      <c r="P20" s="68"/>
      <c r="Q20" s="68"/>
      <c r="R20" s="13"/>
      <c r="S20" s="166"/>
      <c r="T20" s="13"/>
      <c r="U20" s="13"/>
      <c r="W20" s="13"/>
      <c r="Y20" s="275">
        <f t="shared" si="1"/>
        <v>5</v>
      </c>
      <c r="Z20" s="134"/>
      <c r="AA20" s="134">
        <f t="shared" si="2"/>
        <v>0</v>
      </c>
      <c r="AB20" s="276">
        <f>AA20*30</f>
        <v>0</v>
      </c>
      <c r="AH20" s="363"/>
      <c r="AJ20" s="357"/>
      <c r="AK20" s="357"/>
      <c r="AM20" s="357"/>
    </row>
    <row r="21" spans="1:39" ht="15" customHeight="1">
      <c r="A21" s="67"/>
      <c r="C21" s="164" t="s">
        <v>170</v>
      </c>
      <c r="I21" s="157">
        <f>UI!F10</f>
        <v>6</v>
      </c>
      <c r="J21" s="67"/>
      <c r="K21" s="67"/>
      <c r="L21" s="67"/>
      <c r="M21" s="67"/>
      <c r="N21" s="13"/>
      <c r="O21" s="67"/>
      <c r="P21" s="469"/>
      <c r="Q21" s="469"/>
      <c r="R21" s="469"/>
      <c r="S21" s="469"/>
      <c r="T21" s="469"/>
      <c r="W21" s="13"/>
      <c r="Y21" s="275"/>
      <c r="Z21" s="134"/>
      <c r="AA21" s="134">
        <f>SUM(AA16:AA20)</f>
        <v>6</v>
      </c>
      <c r="AB21" s="276">
        <f>SUM(AB16:AB20)</f>
        <v>180</v>
      </c>
      <c r="AH21" s="363"/>
      <c r="AI21" s="357"/>
      <c r="AJ21" s="357"/>
      <c r="AK21" s="357"/>
      <c r="AM21" s="357"/>
    </row>
    <row r="22" spans="1:39" ht="15" customHeight="1">
      <c r="A22" s="67"/>
      <c r="C22" s="163" t="s">
        <v>248</v>
      </c>
      <c r="E22">
        <f>UI!F8</f>
        <v>2002</v>
      </c>
      <c r="I22" s="162">
        <f>IF($I$21=1,1,IF($I$21=2,1,IF($I$21=3,1,IF($I$21=4,1,IF($I$21=5,1,IF($I$21=6,1,IF($I$21=7,1,IF($I$21=8,1,IF($I$21=9,1,IF($I$21=10,1,IF($I$21=11,1,IF($I$21=12,1,0))))))))))))</f>
        <v>1</v>
      </c>
      <c r="J22" s="67"/>
      <c r="K22" s="67"/>
      <c r="L22" s="67"/>
      <c r="M22" s="67"/>
      <c r="N22" s="13"/>
      <c r="O22" s="67"/>
      <c r="P22" s="469"/>
      <c r="Q22" s="469"/>
      <c r="R22" s="469"/>
      <c r="S22" s="469"/>
      <c r="T22" s="469"/>
      <c r="W22" s="13"/>
      <c r="AH22" s="363"/>
      <c r="AI22" s="357"/>
      <c r="AJ22" s="357"/>
      <c r="AK22" s="357"/>
      <c r="AM22" s="357"/>
    </row>
    <row r="23" spans="1:39" ht="16" customHeight="1">
      <c r="A23" s="67"/>
      <c r="C23" s="13"/>
      <c r="D23" s="13"/>
      <c r="E23" s="13"/>
      <c r="F23" s="13"/>
      <c r="G23" s="13"/>
      <c r="H23" s="13"/>
      <c r="I23" s="13"/>
      <c r="J23" s="67"/>
      <c r="K23" s="67"/>
      <c r="L23" s="67"/>
      <c r="M23" s="67"/>
      <c r="N23" s="13"/>
      <c r="O23" s="67"/>
      <c r="P23" s="13"/>
      <c r="Q23" s="13"/>
      <c r="R23" s="67"/>
      <c r="S23" s="67"/>
      <c r="T23" s="67"/>
      <c r="U23" s="13"/>
      <c r="W23" s="13"/>
      <c r="AH23" s="363"/>
      <c r="AI23" s="357"/>
      <c r="AJ23" s="357"/>
      <c r="AK23" s="357"/>
      <c r="AM23" s="357"/>
    </row>
    <row r="24" spans="1:39" ht="15" customHeight="1">
      <c r="A24" s="67"/>
      <c r="C24" s="46" t="s">
        <v>4</v>
      </c>
      <c r="D24" s="46"/>
      <c r="E24" s="67"/>
      <c r="F24" s="67"/>
      <c r="G24" s="67"/>
      <c r="H24" s="67"/>
      <c r="I24" s="67"/>
      <c r="J24" s="67"/>
      <c r="N24" s="13"/>
      <c r="O24" s="13"/>
      <c r="P24" s="13"/>
      <c r="Q24" s="13"/>
      <c r="R24" s="13"/>
      <c r="S24" s="13"/>
      <c r="T24" s="13"/>
      <c r="U24" s="13"/>
      <c r="W24" s="13"/>
      <c r="Y24" s="107"/>
      <c r="Z24" s="107"/>
      <c r="AA24" s="107"/>
      <c r="AB24" s="107"/>
      <c r="AI24" s="357"/>
      <c r="AJ24" s="357"/>
      <c r="AK24" s="357"/>
    </row>
    <row r="25" spans="1:39" ht="15" customHeight="1">
      <c r="A25" s="67"/>
      <c r="C25" s="18"/>
      <c r="D25" s="32"/>
      <c r="E25" s="72"/>
      <c r="F25" s="72"/>
      <c r="G25" s="72"/>
      <c r="H25" s="32"/>
      <c r="I25" s="47" t="s">
        <v>5</v>
      </c>
      <c r="N25" s="13"/>
      <c r="P25" s="324" t="s">
        <v>6</v>
      </c>
      <c r="Q25" s="60"/>
      <c r="R25" s="60"/>
      <c r="S25" s="60"/>
      <c r="T25" s="484" t="s">
        <v>7</v>
      </c>
      <c r="U25" s="485"/>
      <c r="W25" s="13"/>
    </row>
    <row r="26" spans="1:39" ht="15" customHeight="1" thickBot="1">
      <c r="A26" s="67"/>
      <c r="C26" s="19" t="s">
        <v>8</v>
      </c>
      <c r="D26" s="33"/>
      <c r="E26" s="73"/>
      <c r="F26" s="73"/>
      <c r="G26" s="37" t="s">
        <v>9</v>
      </c>
      <c r="H26" s="74"/>
      <c r="I26" s="48" t="s">
        <v>10</v>
      </c>
      <c r="N26" s="13"/>
      <c r="P26" s="325" t="s">
        <v>11</v>
      </c>
      <c r="Q26" s="62"/>
      <c r="R26" s="62"/>
      <c r="S26" s="62"/>
      <c r="T26" s="75" t="s">
        <v>12</v>
      </c>
      <c r="U26" s="252" t="s">
        <v>13</v>
      </c>
      <c r="W26" s="13"/>
    </row>
    <row r="27" spans="1:39" ht="15" customHeight="1" thickBot="1">
      <c r="A27" s="67"/>
      <c r="C27" s="281" t="s">
        <v>14</v>
      </c>
      <c r="D27" s="76"/>
      <c r="E27" s="73"/>
      <c r="F27" s="73"/>
      <c r="G27" s="5">
        <v>22</v>
      </c>
      <c r="H27" s="74"/>
      <c r="I27" s="6">
        <f>UI!G41</f>
        <v>100</v>
      </c>
      <c r="N27" s="13"/>
      <c r="P27" s="326">
        <f>AB16</f>
        <v>180</v>
      </c>
      <c r="Q27" s="7"/>
      <c r="R27" s="7"/>
      <c r="S27" s="7"/>
      <c r="T27" s="253">
        <f>I29*P27</f>
        <v>198.00000000000003</v>
      </c>
      <c r="U27" s="254">
        <f>T27*I8</f>
        <v>118800.00000000001</v>
      </c>
      <c r="W27" s="13"/>
    </row>
    <row r="28" spans="1:39" ht="15" customHeight="1" thickTop="1">
      <c r="A28" s="67"/>
      <c r="C28" s="282" t="s">
        <v>15</v>
      </c>
      <c r="D28" s="49"/>
      <c r="E28" s="77"/>
      <c r="F28" s="73"/>
      <c r="G28" s="5">
        <v>0</v>
      </c>
      <c r="H28" s="74"/>
      <c r="I28" s="6">
        <v>0</v>
      </c>
      <c r="N28" s="13"/>
      <c r="P28" s="327">
        <f>AB17</f>
        <v>0</v>
      </c>
      <c r="Q28" s="7"/>
      <c r="R28" s="7"/>
      <c r="S28" s="7"/>
      <c r="T28" s="253">
        <f>I29*P28</f>
        <v>0</v>
      </c>
      <c r="U28" s="254">
        <f>T28*I8</f>
        <v>0</v>
      </c>
      <c r="W28" s="13"/>
    </row>
    <row r="29" spans="1:39" ht="15" customHeight="1">
      <c r="A29" s="67"/>
      <c r="C29" s="282" t="s">
        <v>46</v>
      </c>
      <c r="D29" s="49"/>
      <c r="E29" s="77"/>
      <c r="F29" s="77"/>
      <c r="G29" s="77"/>
      <c r="H29" s="38"/>
      <c r="I29" s="301">
        <f>(G27*(I27/2000))+(G28*(I28/2000))</f>
        <v>1.1000000000000001</v>
      </c>
      <c r="N29" s="13"/>
      <c r="P29" s="328">
        <f>AB21</f>
        <v>180</v>
      </c>
      <c r="Q29" s="8"/>
      <c r="R29" s="8"/>
      <c r="S29" s="8"/>
      <c r="T29" s="255">
        <f>I29*P29</f>
        <v>198.00000000000003</v>
      </c>
      <c r="U29" s="256">
        <f>T29*I8</f>
        <v>118800.00000000001</v>
      </c>
      <c r="W29" s="13"/>
    </row>
    <row r="30" spans="1:39" ht="10" customHeight="1">
      <c r="A30" s="67"/>
      <c r="C30" s="13"/>
      <c r="D30" s="13"/>
      <c r="E30" s="13"/>
      <c r="F30" s="13"/>
      <c r="G30" s="13"/>
      <c r="H30" s="13"/>
      <c r="I30" s="13"/>
      <c r="N30" s="13"/>
      <c r="P30" s="13"/>
      <c r="Q30" s="13"/>
      <c r="R30" s="13"/>
      <c r="S30" s="13"/>
      <c r="T30" s="13"/>
      <c r="U30" s="13"/>
      <c r="W30" s="13"/>
    </row>
    <row r="31" spans="1:39" ht="15" customHeight="1">
      <c r="A31" s="67"/>
      <c r="C31" s="61" t="s">
        <v>215</v>
      </c>
      <c r="D31" s="29"/>
      <c r="E31" s="65"/>
      <c r="P31" s="61" t="s">
        <v>215</v>
      </c>
      <c r="Q31" s="29"/>
      <c r="R31" s="65"/>
    </row>
    <row r="32" spans="1:39" ht="15" customHeight="1">
      <c r="A32" s="67"/>
      <c r="C32" s="283" t="s">
        <v>227</v>
      </c>
      <c r="D32" s="188"/>
      <c r="E32" s="189"/>
      <c r="F32" s="189"/>
      <c r="G32" s="189"/>
      <c r="H32" s="189"/>
      <c r="I32" s="9">
        <f>UI!G52</f>
        <v>3000</v>
      </c>
      <c r="P32" s="283" t="s">
        <v>240</v>
      </c>
      <c r="Q32" s="188"/>
      <c r="R32" s="189"/>
      <c r="S32" s="189"/>
      <c r="T32" s="189"/>
      <c r="U32" s="222">
        <f t="array" ref="U32">SUM(('RI-Insurance'!F6:F16*0.01)*'RI-Insurance'!E6:E16)</f>
        <v>13944.150000000001</v>
      </c>
      <c r="X32" s="53" t="s">
        <v>66</v>
      </c>
      <c r="Y32" s="112"/>
      <c r="Z32" s="112"/>
      <c r="AA32" s="112"/>
      <c r="AB32" s="129">
        <f>AC8-I47</f>
        <v>448</v>
      </c>
      <c r="AC32" s="130" t="s">
        <v>68</v>
      </c>
    </row>
    <row r="33" spans="1:29" ht="15" customHeight="1">
      <c r="A33" s="67"/>
      <c r="C33" s="284" t="s">
        <v>205</v>
      </c>
      <c r="D33" s="190"/>
      <c r="E33" s="191"/>
      <c r="F33" s="191"/>
      <c r="G33" s="191"/>
      <c r="H33" s="191"/>
      <c r="I33" s="220">
        <f>UI!G53</f>
        <v>0.9</v>
      </c>
      <c r="P33" s="284" t="s">
        <v>239</v>
      </c>
      <c r="Q33" s="190"/>
      <c r="R33" s="191"/>
      <c r="S33" s="191"/>
      <c r="T33" s="191"/>
      <c r="U33" s="222">
        <f>U32*(1-I36)</f>
        <v>6832.6335000000008</v>
      </c>
      <c r="X33" s="54" t="s">
        <v>67</v>
      </c>
      <c r="Y33" s="114"/>
      <c r="Z33" s="114"/>
      <c r="AA33" s="114"/>
      <c r="AB33" s="131">
        <f>U11*(1+I48)</f>
        <v>540</v>
      </c>
      <c r="AC33" s="121" t="s">
        <v>69</v>
      </c>
    </row>
    <row r="34" spans="1:29" ht="15" customHeight="1">
      <c r="A34" s="67"/>
      <c r="C34" s="284" t="s">
        <v>228</v>
      </c>
      <c r="D34" s="190"/>
      <c r="E34" s="191"/>
      <c r="F34" s="191"/>
      <c r="G34" s="191"/>
      <c r="H34" s="191"/>
      <c r="I34" s="220">
        <f>UI!G54</f>
        <v>1</v>
      </c>
      <c r="P34" s="284" t="s">
        <v>241</v>
      </c>
      <c r="Q34" s="190"/>
      <c r="R34" s="191"/>
      <c r="S34" s="191"/>
      <c r="T34" s="191"/>
      <c r="U34" s="223">
        <f t="array" ref="U34">SUMPRODUCT((I33-IF('RI-Insurance'!$G$6:$G$16/'RI-Insurance'!$C$6:$C$16 &lt; I33, 'RI-Insurance'!$G$6:$G$16/'RI-Insurance'!$C$6:$C$16, I33))/I33,'RI-Insurance'!$F$6:$F$16)</f>
        <v>38656.891807297579</v>
      </c>
      <c r="X34" s="54" t="s">
        <v>62</v>
      </c>
      <c r="Y34" s="114"/>
      <c r="Z34" s="114"/>
      <c r="AA34" s="114"/>
      <c r="AB34" s="132">
        <f>AC8*U11*U14</f>
        <v>353700</v>
      </c>
      <c r="AC34" s="121"/>
    </row>
    <row r="35" spans="1:29" ht="15" customHeight="1">
      <c r="A35" s="67"/>
      <c r="C35" s="284" t="s">
        <v>229</v>
      </c>
      <c r="D35" s="190"/>
      <c r="E35" s="191"/>
      <c r="F35" s="191"/>
      <c r="G35" s="191"/>
      <c r="H35" s="191"/>
      <c r="I35" s="10">
        <f>UI!G55</f>
        <v>33</v>
      </c>
      <c r="P35" s="284" t="s">
        <v>242</v>
      </c>
      <c r="Q35" s="190"/>
      <c r="R35" s="191"/>
      <c r="S35" s="191"/>
      <c r="T35" s="191"/>
      <c r="U35" s="223">
        <f>IF($E$94&lt;$U$19,SUMPRODUCT((I33-IF('RI-Insurance'!$H$6:$H$16/'RI-Insurance'!$C$6:$C$16 &lt; I33, 'RI-Insurance'!$H$6:$H$16/'RI-Insurance'!$C$6:$C$16,I33 ))/I33,'RI-Insurance'!$F$6:$F$16),0)</f>
        <v>0</v>
      </c>
      <c r="X35" s="55" t="s">
        <v>63</v>
      </c>
      <c r="Y35" s="116"/>
      <c r="Z35" s="116"/>
      <c r="AA35" s="116"/>
      <c r="AB35" s="117">
        <f>AB32*AB33*U14</f>
        <v>316915.20000000001</v>
      </c>
      <c r="AC35" s="121"/>
    </row>
    <row r="36" spans="1:29" ht="15" customHeight="1">
      <c r="A36" s="67"/>
      <c r="C36" s="284" t="s">
        <v>230</v>
      </c>
      <c r="D36" s="190"/>
      <c r="E36" s="191"/>
      <c r="F36" s="191"/>
      <c r="G36" s="191"/>
      <c r="H36" s="191"/>
      <c r="I36" s="220">
        <f>IF($I$33=90%,51%,IF($I$33=85%,55%,IF($I$33=80%,55%,IF($I$33=75%,59%,IF($I$33=70%,59%,0)))))</f>
        <v>0.51</v>
      </c>
      <c r="P36" s="284" t="s">
        <v>243</v>
      </c>
      <c r="Q36" s="190"/>
      <c r="R36" s="191"/>
      <c r="S36" s="191"/>
      <c r="T36" s="191"/>
      <c r="U36" s="223">
        <f>IF($E$109&lt;$U$19,SUMPRODUCT(($I$33-IF('RI-Insurance'!I$6:I$16/'RI-Insurance'!$C$6:$C$16&lt;$I$33,'RI-Insurance'!$I$6:$I$16/'RI-Insurance'!$C$6:$C$16,$I$33))/$I$33,'RI-Insurance'!$F$6:$F$16),0)</f>
        <v>0</v>
      </c>
      <c r="X36" s="54"/>
      <c r="Y36" s="114"/>
      <c r="Z36" s="114"/>
      <c r="AA36" s="114"/>
      <c r="AB36" s="132">
        <f>AB34-AB35</f>
        <v>36784.799999999988</v>
      </c>
      <c r="AC36" s="121"/>
    </row>
    <row r="37" spans="1:29" ht="15" customHeight="1">
      <c r="A37" s="67"/>
      <c r="C37" s="284" t="s">
        <v>238</v>
      </c>
      <c r="D37" s="190"/>
      <c r="E37" s="191"/>
      <c r="F37" s="191"/>
      <c r="G37" s="191"/>
      <c r="H37" s="191"/>
      <c r="I37" s="221">
        <f>I32*I33*I35*I34</f>
        <v>89100</v>
      </c>
      <c r="P37" s="284" t="s">
        <v>244</v>
      </c>
      <c r="Q37" s="190"/>
      <c r="R37" s="191"/>
      <c r="S37" s="191"/>
      <c r="T37" s="191"/>
      <c r="U37" s="223">
        <f>IF($E$123&lt;$U$19,SUMPRODUCT(($I$33-IF('RI-Insurance'!J$6:J$16/'RI-Insurance'!$C$6:$C$16 &lt; $I$33, 'RI-Insurance'!$J$6:$J$16/'RI-Insurance'!$C$6:$C$16, $I$33))/$I$33,'RI-Insurance'!$F$6:$F$16),0)</f>
        <v>0</v>
      </c>
      <c r="X37" s="113" t="s">
        <v>25</v>
      </c>
      <c r="Y37" s="26"/>
      <c r="Z37" s="114"/>
      <c r="AA37" s="26"/>
      <c r="AB37" s="27">
        <f>ROUNDUP(40000/(I9+U10),0)</f>
        <v>26</v>
      </c>
      <c r="AC37" s="121"/>
    </row>
    <row r="38" spans="1:29" ht="15" customHeight="1">
      <c r="A38" s="67"/>
      <c r="C38" s="285"/>
      <c r="D38" s="192"/>
      <c r="E38" s="193"/>
      <c r="F38" s="193"/>
      <c r="G38" s="193"/>
      <c r="H38" s="193"/>
      <c r="I38" s="194"/>
      <c r="P38" s="285" t="s">
        <v>245</v>
      </c>
      <c r="Q38" s="192"/>
      <c r="R38" s="193"/>
      <c r="S38" s="193"/>
      <c r="T38" s="193"/>
      <c r="U38" s="223">
        <f>IF($E$137&lt;$U$19,SUMPRODUCT(($I$33-IF('RI-Insurance'!J$6:J$16/'RI-Insurance'!$C$6:$C$16 &lt; $I$33, 'RI-Insurance'!$J$6:$J$16/'RI-Insurance'!$C$6:$C$16, $I$33))/$I$33,'RI-Insurance'!$F$6:$F$16),0)</f>
        <v>0</v>
      </c>
      <c r="X38" s="113" t="s">
        <v>26</v>
      </c>
      <c r="Y38" s="26"/>
      <c r="Z38" s="114"/>
      <c r="AA38" s="26"/>
      <c r="AB38" s="27">
        <f>ROUNDUP(40000/I9,0)</f>
        <v>34</v>
      </c>
      <c r="AC38" s="121"/>
    </row>
    <row r="39" spans="1:29" ht="15" customHeight="1">
      <c r="A39" s="13"/>
      <c r="C39" s="286"/>
      <c r="D39" s="195"/>
      <c r="E39" s="195"/>
      <c r="F39" s="195"/>
      <c r="G39" s="195"/>
      <c r="H39" s="195"/>
      <c r="I39" s="299"/>
      <c r="P39" s="286" t="s">
        <v>246</v>
      </c>
      <c r="Q39" s="195"/>
      <c r="R39" s="195"/>
      <c r="S39" s="195"/>
      <c r="T39" s="195"/>
      <c r="U39" s="250">
        <f>U33*5</f>
        <v>34163.167500000003</v>
      </c>
      <c r="X39" s="113" t="s">
        <v>27</v>
      </c>
      <c r="Y39" s="26"/>
      <c r="Z39" s="114"/>
      <c r="AA39" s="26"/>
      <c r="AB39" s="28">
        <f>ROUNDUP(I8/AB37,0)</f>
        <v>24</v>
      </c>
      <c r="AC39" s="121"/>
    </row>
    <row r="40" spans="1:29" ht="15" customHeight="1">
      <c r="A40" s="13"/>
      <c r="C40" s="287"/>
      <c r="D40" s="196"/>
      <c r="E40" s="196"/>
      <c r="F40" s="196"/>
      <c r="G40" s="196"/>
      <c r="H40" s="196"/>
      <c r="I40" s="300"/>
      <c r="P40" s="287" t="s">
        <v>247</v>
      </c>
      <c r="Q40" s="196"/>
      <c r="R40" s="196"/>
      <c r="S40" s="196"/>
      <c r="T40" s="196"/>
      <c r="U40" s="251">
        <f>SUM(U34:U38)</f>
        <v>38656.891807297579</v>
      </c>
      <c r="X40" s="115" t="s">
        <v>28</v>
      </c>
      <c r="Y40" s="56"/>
      <c r="Z40" s="116"/>
      <c r="AA40" s="56"/>
      <c r="AB40" s="57">
        <f>ROUNDUP(I8/AB38,0)</f>
        <v>18</v>
      </c>
      <c r="AC40" s="133"/>
    </row>
    <row r="41" spans="1:29" ht="15" customHeight="1">
      <c r="A41" s="13"/>
      <c r="C41" s="29"/>
      <c r="D41" s="29"/>
      <c r="E41" s="45"/>
      <c r="W41" s="29"/>
    </row>
    <row r="42" spans="1:29" ht="15" customHeight="1">
      <c r="A42" s="13"/>
      <c r="C42" s="61" t="s">
        <v>38</v>
      </c>
      <c r="D42" s="61"/>
      <c r="E42" s="13"/>
      <c r="F42" s="13"/>
      <c r="G42" s="13"/>
      <c r="H42" s="13"/>
      <c r="I42" s="13"/>
      <c r="J42" s="13"/>
      <c r="N42" s="13"/>
      <c r="P42" s="13"/>
      <c r="Q42" s="13"/>
      <c r="R42" s="13"/>
      <c r="S42" s="13"/>
      <c r="T42" s="13"/>
      <c r="U42" s="13"/>
      <c r="W42" s="29"/>
    </row>
    <row r="43" spans="1:29" ht="15" customHeight="1">
      <c r="A43" s="13"/>
      <c r="C43" s="288" t="s">
        <v>17</v>
      </c>
      <c r="D43" s="41"/>
      <c r="E43" s="78"/>
      <c r="F43" s="78"/>
      <c r="G43" s="78"/>
      <c r="H43" s="78"/>
      <c r="I43" s="9">
        <v>300</v>
      </c>
      <c r="N43" s="13"/>
      <c r="P43" s="20"/>
      <c r="Q43" s="78"/>
      <c r="R43" s="78"/>
      <c r="S43" s="78"/>
      <c r="T43" s="486" t="s">
        <v>7</v>
      </c>
      <c r="U43" s="487"/>
      <c r="Y43" s="53" t="s">
        <v>73</v>
      </c>
      <c r="Z43" s="112"/>
      <c r="AA43" s="112"/>
      <c r="AB43" s="112"/>
      <c r="AC43" s="118">
        <f>(I8*U9)*U11*U14</f>
        <v>353700</v>
      </c>
    </row>
    <row r="44" spans="1:29" ht="15" customHeight="1" thickBot="1">
      <c r="A44" s="13"/>
      <c r="C44" s="289" t="s">
        <v>19</v>
      </c>
      <c r="D44" s="42"/>
      <c r="E44" s="79"/>
      <c r="F44" s="79"/>
      <c r="G44" s="79"/>
      <c r="H44" s="79"/>
      <c r="I44" s="10">
        <v>4</v>
      </c>
      <c r="N44" s="13"/>
      <c r="P44" s="329"/>
      <c r="Q44" s="80"/>
      <c r="R44" s="80"/>
      <c r="S44" s="80"/>
      <c r="T44" s="81" t="s">
        <v>12</v>
      </c>
      <c r="U44" s="236" t="s">
        <v>13</v>
      </c>
      <c r="Y44" s="55" t="s">
        <v>63</v>
      </c>
      <c r="Z44" s="116"/>
      <c r="AA44" s="116"/>
      <c r="AB44" s="116"/>
      <c r="AC44" s="119">
        <f>(I8*U8)*U10*U13</f>
        <v>306675</v>
      </c>
    </row>
    <row r="45" spans="1:29" ht="15" customHeight="1">
      <c r="A45" s="13"/>
      <c r="C45" s="289" t="s">
        <v>21</v>
      </c>
      <c r="D45" s="42"/>
      <c r="E45" s="79"/>
      <c r="F45" s="79"/>
      <c r="G45" s="79"/>
      <c r="H45" s="79"/>
      <c r="I45" s="10">
        <f>UI!G42</f>
        <v>16.489999999999998</v>
      </c>
      <c r="N45" s="13"/>
      <c r="P45" s="135" t="s">
        <v>18</v>
      </c>
      <c r="Q45" s="21"/>
      <c r="R45" s="21"/>
      <c r="S45" s="21"/>
      <c r="T45" s="63">
        <f>U45/$I$8</f>
        <v>48</v>
      </c>
      <c r="U45" s="237">
        <f>I43*I44*AB39</f>
        <v>28800</v>
      </c>
      <c r="Y45" s="54"/>
      <c r="Z45" s="114"/>
      <c r="AA45" s="114"/>
      <c r="AB45" s="114"/>
      <c r="AC45" s="120">
        <f>AC43-AC44</f>
        <v>47025</v>
      </c>
    </row>
    <row r="46" spans="1:29" ht="15" customHeight="1">
      <c r="A46" s="13"/>
      <c r="C46" s="289" t="s">
        <v>92</v>
      </c>
      <c r="D46" s="42"/>
      <c r="E46" s="79"/>
      <c r="F46" s="79"/>
      <c r="G46" s="79"/>
      <c r="H46" s="79"/>
      <c r="I46" s="9">
        <f>AB16</f>
        <v>180</v>
      </c>
      <c r="N46" s="13"/>
      <c r="P46" s="135" t="s">
        <v>20</v>
      </c>
      <c r="Q46" s="21"/>
      <c r="R46" s="21"/>
      <c r="S46" s="21"/>
      <c r="T46" s="63">
        <f t="shared" ref="T46:T50" si="3">U46/$I$8</f>
        <v>36</v>
      </c>
      <c r="U46" s="237">
        <f>I43*I44*AB40</f>
        <v>21600</v>
      </c>
      <c r="Y46" s="54"/>
      <c r="Z46" s="114"/>
      <c r="AA46" s="114"/>
      <c r="AB46" s="114"/>
      <c r="AC46" s="121"/>
    </row>
    <row r="47" spans="1:29" ht="15" customHeight="1">
      <c r="A47" s="13"/>
      <c r="C47" s="289" t="s">
        <v>93</v>
      </c>
      <c r="D47" s="42"/>
      <c r="E47" s="79"/>
      <c r="F47" s="79"/>
      <c r="G47" s="79"/>
      <c r="H47" s="79"/>
      <c r="I47" s="9">
        <v>2</v>
      </c>
      <c r="N47" s="13"/>
      <c r="P47" s="135" t="s">
        <v>22</v>
      </c>
      <c r="Q47" s="21"/>
      <c r="R47" s="21"/>
      <c r="S47" s="21"/>
      <c r="T47" s="63">
        <f>U47/$I$8</f>
        <v>98.94</v>
      </c>
      <c r="U47" s="238">
        <f>(I45/30)*I46*I8</f>
        <v>59364</v>
      </c>
      <c r="Y47" s="54" t="s">
        <v>75</v>
      </c>
      <c r="Z47" s="114"/>
      <c r="AA47" s="114"/>
      <c r="AB47" s="114"/>
      <c r="AC47" s="120">
        <f>(I8*U9)*U11*U15</f>
        <v>337500</v>
      </c>
    </row>
    <row r="48" spans="1:29" ht="15" customHeight="1">
      <c r="A48" s="13"/>
      <c r="C48" s="289" t="s">
        <v>94</v>
      </c>
      <c r="D48" s="42"/>
      <c r="E48" s="79"/>
      <c r="F48" s="79"/>
      <c r="G48" s="79"/>
      <c r="H48" s="79"/>
      <c r="I48" s="59">
        <v>-0.1</v>
      </c>
      <c r="N48" s="13"/>
      <c r="P48" s="135" t="s">
        <v>23</v>
      </c>
      <c r="Q48" s="21"/>
      <c r="R48" s="21"/>
      <c r="S48" s="21"/>
      <c r="T48" s="63">
        <f>U48/$I$8</f>
        <v>0.5</v>
      </c>
      <c r="U48" s="238">
        <f>I49</f>
        <v>300</v>
      </c>
      <c r="Y48" s="54" t="s">
        <v>76</v>
      </c>
      <c r="Z48" s="114"/>
      <c r="AA48" s="114"/>
      <c r="AB48" s="114"/>
      <c r="AC48" s="120">
        <f>(I8*U9)*U11*U16</f>
        <v>337500</v>
      </c>
    </row>
    <row r="49" spans="1:30" ht="15" customHeight="1">
      <c r="A49" s="13"/>
      <c r="C49" s="290" t="s">
        <v>39</v>
      </c>
      <c r="D49" s="43"/>
      <c r="E49" s="82"/>
      <c r="F49" s="82"/>
      <c r="G49" s="82"/>
      <c r="H49" s="82"/>
      <c r="I49" s="11">
        <v>300</v>
      </c>
      <c r="N49" s="13"/>
      <c r="P49" s="330" t="s">
        <v>64</v>
      </c>
      <c r="Q49" s="239"/>
      <c r="R49" s="240"/>
      <c r="S49" s="240"/>
      <c r="T49" s="224">
        <f>U49/$I$8</f>
        <v>61.307999999999979</v>
      </c>
      <c r="U49" s="241">
        <f>AB36</f>
        <v>36784.799999999988</v>
      </c>
      <c r="W49" s="13"/>
      <c r="Y49" s="54" t="s">
        <v>80</v>
      </c>
      <c r="Z49" s="114"/>
      <c r="AA49" s="114"/>
      <c r="AB49" s="114"/>
      <c r="AC49" s="120">
        <f>I8*I10</f>
        <v>510000</v>
      </c>
    </row>
    <row r="50" spans="1:30" ht="15" customHeight="1" thickBot="1">
      <c r="A50" s="13"/>
      <c r="C50" s="291" t="s">
        <v>98</v>
      </c>
      <c r="D50" s="145"/>
      <c r="E50" s="145"/>
      <c r="F50" s="145"/>
      <c r="G50" s="145"/>
      <c r="H50" s="145"/>
      <c r="I50" s="297">
        <f>AB21</f>
        <v>180</v>
      </c>
      <c r="N50" s="13"/>
      <c r="P50" s="331" t="s">
        <v>297</v>
      </c>
      <c r="Q50" s="22"/>
      <c r="R50" s="22"/>
      <c r="S50" s="22"/>
      <c r="T50" s="64">
        <f t="shared" si="3"/>
        <v>5.8801315068493141</v>
      </c>
      <c r="U50" s="242">
        <f>(U45+U46+U47+U48)*((I15/365)*I46)</f>
        <v>3528.0789041095886</v>
      </c>
      <c r="W50" s="13"/>
      <c r="Y50" s="54"/>
      <c r="Z50" s="114"/>
      <c r="AA50" s="114"/>
      <c r="AB50" s="114"/>
      <c r="AC50" s="121"/>
    </row>
    <row r="51" spans="1:30" ht="15" customHeight="1" thickTop="1">
      <c r="A51" s="13"/>
      <c r="C51" s="292" t="s">
        <v>99</v>
      </c>
      <c r="D51" s="146"/>
      <c r="E51" s="146"/>
      <c r="F51" s="146"/>
      <c r="G51" s="146"/>
      <c r="H51" s="146"/>
      <c r="I51" s="298">
        <f>AA21</f>
        <v>6</v>
      </c>
      <c r="N51" s="13"/>
      <c r="P51" s="332" t="s">
        <v>16</v>
      </c>
      <c r="Q51" s="110"/>
      <c r="R51" s="110"/>
      <c r="S51" s="110"/>
      <c r="T51" s="111">
        <f>SUM(T45:T48, T50)</f>
        <v>189.32013150684932</v>
      </c>
      <c r="U51" s="243">
        <f>SUM(U45:U48, U50)</f>
        <v>113592.07890410958</v>
      </c>
      <c r="W51" s="29"/>
      <c r="Y51" s="122" t="s">
        <v>82</v>
      </c>
      <c r="Z51" s="123"/>
      <c r="AA51" s="123"/>
      <c r="AB51" s="114"/>
      <c r="AC51" s="124">
        <f>AC49</f>
        <v>510000</v>
      </c>
    </row>
    <row r="52" spans="1:30" ht="15" customHeight="1">
      <c r="A52" s="13"/>
      <c r="C52" s="13"/>
      <c r="D52" s="13"/>
      <c r="E52" s="13"/>
      <c r="F52" s="13"/>
      <c r="G52" s="13"/>
      <c r="H52" s="13"/>
      <c r="I52" s="13"/>
      <c r="N52" s="13"/>
      <c r="P52" s="13"/>
      <c r="Q52" s="13"/>
      <c r="R52" s="13"/>
      <c r="S52" s="13"/>
      <c r="T52" s="13"/>
      <c r="U52" s="13"/>
      <c r="W52" s="13"/>
      <c r="Y52" s="125" t="s">
        <v>83</v>
      </c>
      <c r="Z52" s="152"/>
      <c r="AA52" s="126"/>
      <c r="AB52" s="114"/>
      <c r="AC52" s="124">
        <f>AC51*AB16*(I16/360)</f>
        <v>3187.5</v>
      </c>
    </row>
    <row r="53" spans="1:30" ht="15" customHeight="1">
      <c r="A53" s="13"/>
      <c r="C53" s="61" t="s">
        <v>100</v>
      </c>
      <c r="D53" s="61"/>
      <c r="E53" s="13"/>
      <c r="F53" s="13"/>
      <c r="G53" s="13"/>
      <c r="H53" s="13"/>
      <c r="I53" s="13"/>
      <c r="J53" s="13"/>
      <c r="N53" s="13"/>
      <c r="P53" s="13"/>
      <c r="Q53" s="13"/>
      <c r="R53" s="13"/>
      <c r="S53" s="13"/>
      <c r="T53" s="13"/>
      <c r="U53" s="13"/>
      <c r="W53" s="13"/>
      <c r="Y53" s="125" t="s">
        <v>84</v>
      </c>
      <c r="Z53" s="152"/>
      <c r="AA53" s="114"/>
      <c r="AB53" s="114"/>
      <c r="AC53" s="124">
        <f>(AC51+AC52)*I16</f>
        <v>6414.84375</v>
      </c>
    </row>
    <row r="54" spans="1:30" ht="15" customHeight="1">
      <c r="A54" s="13"/>
      <c r="C54" s="293" t="s">
        <v>105</v>
      </c>
      <c r="D54" s="50"/>
      <c r="E54" s="50"/>
      <c r="F54" s="50"/>
      <c r="G54" s="50"/>
      <c r="H54" s="34"/>
      <c r="I54" s="12">
        <v>100</v>
      </c>
      <c r="N54" s="13"/>
      <c r="P54" s="83"/>
      <c r="Q54" s="34"/>
      <c r="R54" s="34"/>
      <c r="S54" s="34"/>
      <c r="T54" s="488" t="s">
        <v>7</v>
      </c>
      <c r="U54" s="489"/>
      <c r="W54" s="13"/>
      <c r="Y54" s="127" t="s">
        <v>85</v>
      </c>
      <c r="Z54" s="153"/>
      <c r="AA54" s="116"/>
      <c r="AB54" s="116"/>
      <c r="AC54" s="128">
        <f>(AC51+AC52+AC53)*I16</f>
        <v>6495.029296875</v>
      </c>
    </row>
    <row r="55" spans="1:30" ht="15" customHeight="1" thickBot="1">
      <c r="A55" s="13"/>
      <c r="C55" s="294" t="s">
        <v>104</v>
      </c>
      <c r="D55" s="52"/>
      <c r="E55" s="51"/>
      <c r="F55" s="51"/>
      <c r="G55" s="51"/>
      <c r="H55" s="35"/>
      <c r="I55" s="12">
        <v>5000</v>
      </c>
      <c r="N55" s="13"/>
      <c r="P55" s="333"/>
      <c r="Q55" s="84"/>
      <c r="R55" s="84"/>
      <c r="S55" s="84"/>
      <c r="T55" s="85" t="s">
        <v>12</v>
      </c>
      <c r="U55" s="244" t="s">
        <v>13</v>
      </c>
      <c r="W55" s="13"/>
    </row>
    <row r="56" spans="1:30" ht="15" customHeight="1">
      <c r="A56" s="13"/>
      <c r="C56" s="294" t="s">
        <v>103</v>
      </c>
      <c r="D56" s="52"/>
      <c r="E56" s="51"/>
      <c r="F56" s="51"/>
      <c r="G56" s="51"/>
      <c r="H56" s="35"/>
      <c r="I56" s="12">
        <v>5000</v>
      </c>
      <c r="N56" s="13"/>
      <c r="P56" s="334" t="s">
        <v>32</v>
      </c>
      <c r="Q56" s="23"/>
      <c r="R56" s="23"/>
      <c r="S56" s="23"/>
      <c r="T56" s="24">
        <f>U56/I8</f>
        <v>78.375</v>
      </c>
      <c r="U56" s="245">
        <f>AC45</f>
        <v>47025</v>
      </c>
      <c r="W56" s="13"/>
      <c r="X56" s="155" t="s">
        <v>114</v>
      </c>
      <c r="Y56" s="154" t="s">
        <v>109</v>
      </c>
      <c r="Z56" t="s">
        <v>107</v>
      </c>
      <c r="AA56" t="s">
        <v>110</v>
      </c>
      <c r="AB56" t="s">
        <v>111</v>
      </c>
      <c r="AC56" t="s">
        <v>112</v>
      </c>
      <c r="AD56" t="s">
        <v>113</v>
      </c>
    </row>
    <row r="57" spans="1:30" ht="15" customHeight="1">
      <c r="A57" s="13"/>
      <c r="C57" s="295" t="s">
        <v>78</v>
      </c>
      <c r="D57" s="24"/>
      <c r="E57" s="35"/>
      <c r="F57" s="35"/>
      <c r="G57" s="35"/>
      <c r="H57" s="35"/>
      <c r="I57" s="12">
        <v>20</v>
      </c>
      <c r="N57" s="13"/>
      <c r="P57" s="334" t="s">
        <v>77</v>
      </c>
      <c r="Q57" s="23"/>
      <c r="R57" s="23"/>
      <c r="S57" s="23"/>
      <c r="T57" s="24">
        <f>U57/I8</f>
        <v>100</v>
      </c>
      <c r="U57" s="246">
        <f>(I54*I8)</f>
        <v>60000</v>
      </c>
      <c r="W57" s="13"/>
      <c r="X57" s="158" t="s">
        <v>262</v>
      </c>
      <c r="Y57" s="148">
        <f>P78</f>
        <v>514687.5</v>
      </c>
      <c r="Z57" s="148">
        <f t="shared" ref="Z57:AD57" si="4">Q78</f>
        <v>514687.5</v>
      </c>
      <c r="AA57" s="148">
        <f t="shared" si="4"/>
        <v>514687.5</v>
      </c>
      <c r="AB57" s="148">
        <f t="shared" si="4"/>
        <v>514687.5</v>
      </c>
      <c r="AC57" s="148">
        <f t="shared" si="4"/>
        <v>514687.5</v>
      </c>
      <c r="AD57" s="148">
        <f t="shared" si="4"/>
        <v>514687.5</v>
      </c>
    </row>
    <row r="58" spans="1:30" ht="15" customHeight="1">
      <c r="A58" s="13"/>
      <c r="C58" s="296" t="s">
        <v>40</v>
      </c>
      <c r="D58" s="44"/>
      <c r="E58" s="36"/>
      <c r="F58" s="36"/>
      <c r="G58" s="36"/>
      <c r="H58" s="36"/>
      <c r="I58" s="12">
        <v>850</v>
      </c>
      <c r="N58" s="13"/>
      <c r="P58" s="334" t="s">
        <v>79</v>
      </c>
      <c r="Q58" s="23"/>
      <c r="R58" s="23"/>
      <c r="S58" s="23"/>
      <c r="T58" s="24">
        <f>U58/I8</f>
        <v>20</v>
      </c>
      <c r="U58" s="246">
        <f>I57*I8</f>
        <v>12000</v>
      </c>
      <c r="W58" s="13"/>
      <c r="X58" s="149">
        <f>E80</f>
        <v>1</v>
      </c>
      <c r="Y58" s="148">
        <f>P92</f>
        <v>542151.01341899997</v>
      </c>
      <c r="Z58" s="148">
        <f t="shared" ref="Z58:AD58" si="5">Q92</f>
        <v>542182.20546033559</v>
      </c>
      <c r="AA58" s="148">
        <f t="shared" si="5"/>
        <v>476724.2583072976</v>
      </c>
      <c r="AB58" s="148">
        <f t="shared" si="5"/>
        <v>481932.179403188</v>
      </c>
      <c r="AC58" s="148">
        <f t="shared" si="5"/>
        <v>577570.49119880609</v>
      </c>
      <c r="AD58" s="148">
        <f t="shared" si="5"/>
        <v>501070.49119880609</v>
      </c>
    </row>
    <row r="59" spans="1:30" ht="15" customHeight="1" thickBot="1">
      <c r="A59" s="13"/>
      <c r="C59" s="474" t="s">
        <v>96</v>
      </c>
      <c r="D59" s="475"/>
      <c r="E59" s="475"/>
      <c r="F59" s="475"/>
      <c r="G59" s="475"/>
      <c r="H59" s="475"/>
      <c r="I59" s="476"/>
      <c r="N59" s="13"/>
      <c r="P59" s="335" t="s">
        <v>95</v>
      </c>
      <c r="Q59" s="139"/>
      <c r="R59" s="139"/>
      <c r="S59" s="139"/>
      <c r="T59" s="25">
        <f>U59/I8</f>
        <v>-5.3125</v>
      </c>
      <c r="U59" s="247">
        <f>-(AC49*AB16*(I16/360))</f>
        <v>-3187.5</v>
      </c>
      <c r="W59" s="13"/>
      <c r="X59" s="149">
        <f>E94</f>
        <v>2</v>
      </c>
      <c r="Y59" s="148">
        <f>P107</f>
        <v>563464.52177806792</v>
      </c>
      <c r="Z59" s="148">
        <f t="shared" ref="Z59:AD59" si="6">Q107</f>
        <v>563495.98129115801</v>
      </c>
      <c r="AA59" s="148">
        <f t="shared" si="6"/>
        <v>496278.30640422</v>
      </c>
      <c r="AB59" s="148">
        <f t="shared" si="6"/>
        <v>501718.44870177616</v>
      </c>
      <c r="AC59" s="148">
        <f t="shared" si="6"/>
        <v>579093.15816083585</v>
      </c>
      <c r="AD59" s="148">
        <f t="shared" si="6"/>
        <v>501937.17066083587</v>
      </c>
    </row>
    <row r="60" spans="1:30" ht="15" thickTop="1">
      <c r="A60" s="13"/>
      <c r="C60" s="477"/>
      <c r="D60" s="478"/>
      <c r="E60" s="478"/>
      <c r="F60" s="478"/>
      <c r="G60" s="478"/>
      <c r="H60" s="478"/>
      <c r="I60" s="479"/>
      <c r="N60" s="13"/>
      <c r="P60" s="336" t="s">
        <v>81</v>
      </c>
      <c r="Q60" s="140"/>
      <c r="R60" s="140"/>
      <c r="S60" s="140"/>
      <c r="T60" s="141">
        <f>SUM(T56:T59)</f>
        <v>193.0625</v>
      </c>
      <c r="U60" s="248">
        <f>SUM(U56:U59)</f>
        <v>115837.5</v>
      </c>
      <c r="W60" s="13"/>
      <c r="X60" s="149">
        <f>E109</f>
        <v>3</v>
      </c>
      <c r="Y60" s="148">
        <f>P121</f>
        <v>584960.79347131483</v>
      </c>
      <c r="Z60" s="148">
        <f>Q121</f>
        <v>584992.52274972969</v>
      </c>
      <c r="AA60" s="148">
        <f>R121</f>
        <v>516704.26950578415</v>
      </c>
      <c r="AB60" s="148">
        <f>S121</f>
        <v>522386.98774838838</v>
      </c>
      <c r="AC60" s="148">
        <f>T121</f>
        <v>605096.69541106501</v>
      </c>
      <c r="AD60" s="148">
        <f t="shared" ref="AD60" si="7">U121</f>
        <v>502811.28189925256</v>
      </c>
    </row>
    <row r="61" spans="1:30" ht="14">
      <c r="A61" s="13"/>
      <c r="C61" s="477"/>
      <c r="D61" s="478"/>
      <c r="E61" s="478"/>
      <c r="F61" s="478"/>
      <c r="G61" s="478"/>
      <c r="H61" s="478"/>
      <c r="I61" s="479"/>
      <c r="N61" s="13"/>
      <c r="P61" s="334" t="s">
        <v>24</v>
      </c>
      <c r="Q61" s="23"/>
      <c r="R61" s="23"/>
      <c r="S61" s="23"/>
      <c r="T61" s="24">
        <f>U61/I8</f>
        <v>-828.75</v>
      </c>
      <c r="U61" s="246">
        <f>-((I8-I11)*I10)</f>
        <v>-497250</v>
      </c>
      <c r="W61" s="13"/>
      <c r="X61" s="149">
        <f>E123</f>
        <v>4</v>
      </c>
      <c r="Y61" s="148">
        <f>P135</f>
        <v>606641.39569433138</v>
      </c>
      <c r="Z61" s="148">
        <f>Q135</f>
        <v>606673.39705130865</v>
      </c>
      <c r="AA61" s="148">
        <f>R135</f>
        <v>537799.57203579624</v>
      </c>
      <c r="AB61" s="148">
        <f>S135</f>
        <v>543531.01958733075</v>
      </c>
      <c r="AC61" s="148">
        <f>T135</f>
        <v>631323.21299321484</v>
      </c>
      <c r="AD61" s="148">
        <f t="shared" ref="AD61" si="8">U135</f>
        <v>503692.88864153862</v>
      </c>
    </row>
    <row r="62" spans="1:30" ht="14">
      <c r="A62" s="13"/>
      <c r="C62" s="477"/>
      <c r="D62" s="478"/>
      <c r="E62" s="478"/>
      <c r="F62" s="478"/>
      <c r="G62" s="478"/>
      <c r="H62" s="478"/>
      <c r="I62" s="479"/>
      <c r="N62" s="13"/>
      <c r="P62" s="334" t="s">
        <v>90</v>
      </c>
      <c r="Q62" s="23"/>
      <c r="R62" s="23"/>
      <c r="S62" s="23"/>
      <c r="T62" s="24">
        <f>U62/I8</f>
        <v>-26.828955078124999</v>
      </c>
      <c r="U62" s="246">
        <f>-(AC52+AC53+AC54)</f>
        <v>-16097.373046875</v>
      </c>
      <c r="W62" s="13"/>
      <c r="X62" s="149">
        <f>E137</f>
        <v>5</v>
      </c>
      <c r="Y62" s="148">
        <f>P149</f>
        <v>628507.90908141027</v>
      </c>
      <c r="Z62" s="148">
        <f>Q149</f>
        <v>628540.18485002359</v>
      </c>
      <c r="AA62" s="148">
        <f>R149</f>
        <v>559075.76678500324</v>
      </c>
      <c r="AB62" s="148">
        <f>S149</f>
        <v>564856.36149929219</v>
      </c>
      <c r="AC62" s="148">
        <f>T149</f>
        <v>657774.62296363164</v>
      </c>
      <c r="AD62" s="148">
        <f t="shared" ref="AD62" si="9">U149</f>
        <v>504582.05516163982</v>
      </c>
    </row>
    <row r="63" spans="1:30" ht="14">
      <c r="A63" s="13"/>
      <c r="C63" s="480"/>
      <c r="D63" s="481"/>
      <c r="E63" s="481"/>
      <c r="F63" s="481"/>
      <c r="G63" s="481"/>
      <c r="H63" s="481"/>
      <c r="I63" s="482"/>
      <c r="N63" s="13"/>
      <c r="P63" s="334" t="s">
        <v>89</v>
      </c>
      <c r="Q63" s="23"/>
      <c r="R63" s="23"/>
      <c r="S63" s="23"/>
      <c r="T63" s="24">
        <f>U63/I8</f>
        <v>1125</v>
      </c>
      <c r="U63" s="246">
        <f>AC47+AC48</f>
        <v>675000</v>
      </c>
      <c r="W63" s="13"/>
    </row>
    <row r="64" spans="1:30" ht="15">
      <c r="A64" s="13"/>
      <c r="C64" s="144"/>
      <c r="D64" s="144"/>
      <c r="E64" s="144"/>
      <c r="F64" s="144"/>
      <c r="G64" s="144"/>
      <c r="H64" s="144"/>
      <c r="I64" s="144"/>
      <c r="J64" s="13"/>
      <c r="N64" s="13"/>
      <c r="P64" s="334" t="s">
        <v>88</v>
      </c>
      <c r="Q64" s="23"/>
      <c r="R64" s="23"/>
      <c r="S64" s="23"/>
      <c r="T64" s="24">
        <f>U64/I8</f>
        <v>-983.33333333333337</v>
      </c>
      <c r="U64" s="246">
        <f>-((2*(I8*I12))-(I55+I56))</f>
        <v>-590000</v>
      </c>
      <c r="W64" s="13"/>
    </row>
    <row r="65" spans="1:23" ht="15" thickBot="1">
      <c r="A65" s="13"/>
      <c r="C65" s="13"/>
      <c r="D65" s="13"/>
      <c r="E65" s="13"/>
      <c r="F65" s="13"/>
      <c r="G65" s="13"/>
      <c r="H65" s="13"/>
      <c r="I65" s="13"/>
      <c r="J65" s="13"/>
      <c r="N65" s="13"/>
      <c r="P65" s="335" t="s">
        <v>86</v>
      </c>
      <c r="Q65" s="139"/>
      <c r="R65" s="139"/>
      <c r="S65" s="139"/>
      <c r="T65" s="25">
        <f>U65/I8</f>
        <v>850</v>
      </c>
      <c r="U65" s="247">
        <f>I58*I8</f>
        <v>510000</v>
      </c>
      <c r="W65" s="13"/>
    </row>
    <row r="66" spans="1:23" ht="15" thickTop="1">
      <c r="A66" s="13"/>
      <c r="C66" s="13"/>
      <c r="D66" s="13"/>
      <c r="E66" s="13"/>
      <c r="F66" s="13"/>
      <c r="G66" s="13"/>
      <c r="H66" s="13"/>
      <c r="I66" s="13"/>
      <c r="J66" s="13"/>
      <c r="N66" s="13"/>
      <c r="P66" s="334" t="s">
        <v>87</v>
      </c>
      <c r="Q66" s="23"/>
      <c r="R66" s="23"/>
      <c r="S66" s="23"/>
      <c r="T66" s="24">
        <f>SUM(T61:T65)</f>
        <v>136.08771158854165</v>
      </c>
      <c r="U66" s="246">
        <f>SUM(U61:U65)</f>
        <v>81652.626953125</v>
      </c>
      <c r="W66" s="13"/>
    </row>
    <row r="67" spans="1:23" ht="14">
      <c r="A67" s="13"/>
      <c r="C67" s="13"/>
      <c r="D67" s="13"/>
      <c r="E67" s="13"/>
      <c r="F67" s="13"/>
      <c r="G67" s="13"/>
      <c r="H67" s="13"/>
      <c r="I67" s="13"/>
      <c r="J67" s="13"/>
      <c r="N67" s="13"/>
      <c r="P67" s="337" t="s">
        <v>91</v>
      </c>
      <c r="Q67" s="142"/>
      <c r="R67" s="142"/>
      <c r="S67" s="142"/>
      <c r="T67" s="143">
        <f>T60+T66</f>
        <v>329.15021158854165</v>
      </c>
      <c r="U67" s="249">
        <f>U60+U66</f>
        <v>197490.126953125</v>
      </c>
      <c r="W67" s="13"/>
    </row>
    <row r="68" spans="1:23" ht="10" customHeight="1">
      <c r="A68" s="13"/>
      <c r="C68" s="13"/>
      <c r="D68" s="13"/>
      <c r="E68" s="13"/>
      <c r="F68" s="13"/>
      <c r="G68" s="13"/>
      <c r="H68" s="13"/>
      <c r="I68" s="13"/>
      <c r="J68" s="13"/>
      <c r="N68" s="13"/>
      <c r="W68" s="13"/>
    </row>
    <row r="69" spans="1:23">
      <c r="A69" s="13"/>
      <c r="C69" s="13"/>
      <c r="D69" s="13"/>
      <c r="E69" s="13"/>
      <c r="F69" s="13"/>
      <c r="G69" s="13"/>
      <c r="H69" s="13"/>
      <c r="I69" s="13"/>
      <c r="J69" s="13"/>
      <c r="N69" s="13"/>
      <c r="O69" s="17"/>
      <c r="P69" s="17"/>
      <c r="Q69" s="17"/>
      <c r="R69" s="17"/>
      <c r="S69" s="17"/>
      <c r="T69" s="17"/>
      <c r="U69" s="17"/>
      <c r="W69" s="13"/>
    </row>
    <row r="70" spans="1:23" ht="14">
      <c r="A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340"/>
      <c r="U70" s="340"/>
      <c r="W70" s="13"/>
    </row>
    <row r="71" spans="1:23" ht="14">
      <c r="A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339"/>
      <c r="P71" s="339"/>
      <c r="Q71" s="151"/>
      <c r="R71" s="106"/>
      <c r="S71" s="106"/>
      <c r="T71" s="29"/>
      <c r="U71" s="29"/>
      <c r="W71" s="13"/>
    </row>
    <row r="72" spans="1:23" ht="28">
      <c r="A72" s="13"/>
      <c r="C72" s="13"/>
      <c r="D72" s="13"/>
      <c r="E72" s="13"/>
      <c r="F72" s="13"/>
      <c r="G72" s="13"/>
      <c r="H72" s="13"/>
      <c r="I72" s="344" t="s">
        <v>208</v>
      </c>
      <c r="J72" s="345"/>
      <c r="K72" s="345"/>
      <c r="L72" s="345"/>
      <c r="M72" s="345"/>
      <c r="N72" s="345"/>
      <c r="O72" s="346"/>
      <c r="P72" s="341" t="s">
        <v>300</v>
      </c>
      <c r="Q72" s="341" t="s">
        <v>211</v>
      </c>
      <c r="R72" s="341" t="s">
        <v>117</v>
      </c>
      <c r="S72" s="341" t="s">
        <v>261</v>
      </c>
      <c r="T72" s="342" t="s">
        <v>209</v>
      </c>
      <c r="U72" s="343" t="s">
        <v>210</v>
      </c>
      <c r="W72" s="13"/>
    </row>
    <row r="73" spans="1:23" ht="14">
      <c r="A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7"/>
      <c r="O73" s="13"/>
      <c r="P73" s="67"/>
      <c r="Q73" s="67"/>
      <c r="R73" s="67"/>
      <c r="S73" s="67"/>
      <c r="T73" s="67"/>
      <c r="U73" s="67"/>
      <c r="W73" s="13"/>
    </row>
    <row r="74" spans="1:23" ht="14">
      <c r="A74" s="13"/>
      <c r="C74" s="17"/>
      <c r="E74" s="305" t="s">
        <v>35</v>
      </c>
      <c r="F74" s="261"/>
      <c r="G74" s="261"/>
      <c r="H74" s="261"/>
      <c r="I74" s="261"/>
      <c r="J74" s="261"/>
      <c r="K74" s="261"/>
      <c r="L74" s="261"/>
      <c r="M74" s="261"/>
      <c r="N74" s="304"/>
      <c r="O74" s="17"/>
      <c r="P74" s="136"/>
      <c r="Q74" s="136"/>
      <c r="R74" s="109"/>
      <c r="S74" s="109"/>
      <c r="T74" s="109"/>
      <c r="U74" s="109"/>
      <c r="W74" s="13"/>
    </row>
    <row r="75" spans="1:23" ht="14">
      <c r="A75" s="13"/>
      <c r="C75" s="17"/>
      <c r="E75" s="306" t="s">
        <v>0</v>
      </c>
      <c r="F75" s="86"/>
      <c r="G75" s="86"/>
      <c r="H75" s="86"/>
      <c r="I75" s="86"/>
      <c r="J75" s="86"/>
      <c r="K75" s="86"/>
      <c r="L75" s="86"/>
      <c r="M75" s="86"/>
      <c r="N75" s="86"/>
      <c r="O75" s="261"/>
      <c r="P75" s="302">
        <f>$I$8*$I$10</f>
        <v>510000</v>
      </c>
      <c r="Q75" s="302">
        <f>$I$8*$I$10</f>
        <v>510000</v>
      </c>
      <c r="R75" s="302">
        <f>$I$8*$I$10</f>
        <v>510000</v>
      </c>
      <c r="S75" s="302">
        <f>$I$8*$I$10</f>
        <v>510000</v>
      </c>
      <c r="T75" s="302">
        <f t="shared" ref="T75:U75" si="10">$I$8*$I$10</f>
        <v>510000</v>
      </c>
      <c r="U75" s="303">
        <f t="shared" si="10"/>
        <v>510000</v>
      </c>
      <c r="W75" s="13"/>
    </row>
    <row r="76" spans="1:23" ht="14">
      <c r="A76" s="13"/>
      <c r="C76" s="17"/>
      <c r="E76" s="306" t="s">
        <v>2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7">
        <f>$U$9*$I8*$U$10*$U$13</f>
        <v>244687.5</v>
      </c>
      <c r="Q76" s="87">
        <f t="shared" ref="Q76:U76" si="11">$U$9*$I8*$U$10*$U$13</f>
        <v>244687.5</v>
      </c>
      <c r="R76" s="87">
        <f t="shared" si="11"/>
        <v>244687.5</v>
      </c>
      <c r="S76" s="87">
        <f t="shared" si="11"/>
        <v>244687.5</v>
      </c>
      <c r="T76" s="87">
        <f t="shared" si="11"/>
        <v>244687.5</v>
      </c>
      <c r="U76" s="262">
        <f t="shared" si="11"/>
        <v>244687.5</v>
      </c>
      <c r="W76" s="13"/>
    </row>
    <row r="77" spans="1:23" ht="14">
      <c r="A77" s="13"/>
      <c r="C77" s="17"/>
      <c r="E77" s="306" t="s">
        <v>47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7">
        <f>-(($I$8*$I$12)-($I$8*$I$54))</f>
        <v>-240000</v>
      </c>
      <c r="Q77" s="87">
        <f t="shared" ref="Q77:U77" si="12">-(($I$8*$I$12)-($I$8*$I$54))</f>
        <v>-240000</v>
      </c>
      <c r="R77" s="87">
        <f t="shared" si="12"/>
        <v>-240000</v>
      </c>
      <c r="S77" s="87">
        <f t="shared" si="12"/>
        <v>-240000</v>
      </c>
      <c r="T77" s="87">
        <f t="shared" si="12"/>
        <v>-240000</v>
      </c>
      <c r="U77" s="262">
        <f t="shared" si="12"/>
        <v>-240000</v>
      </c>
      <c r="W77" s="13"/>
    </row>
    <row r="78" spans="1:23" ht="14">
      <c r="A78" s="13"/>
      <c r="C78" s="70"/>
      <c r="E78" s="307" t="s">
        <v>16</v>
      </c>
      <c r="F78" s="263"/>
      <c r="G78" s="263"/>
      <c r="H78" s="263"/>
      <c r="I78" s="264"/>
      <c r="J78" s="264"/>
      <c r="K78" s="264"/>
      <c r="L78" s="264"/>
      <c r="M78" s="264"/>
      <c r="N78" s="264"/>
      <c r="O78" s="264"/>
      <c r="P78" s="265">
        <f t="shared" ref="P78:U78" si="13">SUM(P75:P77)</f>
        <v>514687.5</v>
      </c>
      <c r="Q78" s="265">
        <f t="shared" si="13"/>
        <v>514687.5</v>
      </c>
      <c r="R78" s="265">
        <f t="shared" si="13"/>
        <v>514687.5</v>
      </c>
      <c r="S78" s="265">
        <f t="shared" si="13"/>
        <v>514687.5</v>
      </c>
      <c r="T78" s="265">
        <f t="shared" si="13"/>
        <v>514687.5</v>
      </c>
      <c r="U78" s="266">
        <f t="shared" si="13"/>
        <v>514687.5</v>
      </c>
      <c r="W78" s="13"/>
    </row>
    <row r="79" spans="1:23" ht="14">
      <c r="A79" s="13"/>
      <c r="C79" s="17"/>
      <c r="E79" s="6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67"/>
      <c r="Q79" s="67"/>
      <c r="R79" s="67"/>
      <c r="S79" s="67"/>
      <c r="T79" s="67"/>
      <c r="U79" s="67"/>
      <c r="W79" s="13"/>
    </row>
    <row r="80" spans="1:23" ht="14">
      <c r="A80" s="13"/>
      <c r="C80" s="17"/>
      <c r="E80" s="108">
        <f>I22</f>
        <v>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88"/>
      <c r="Q80" s="88"/>
      <c r="R80" s="67"/>
      <c r="S80" s="67"/>
      <c r="T80" s="67"/>
      <c r="U80" s="67"/>
      <c r="W80" s="13"/>
    </row>
    <row r="81" spans="1:30" ht="15.75" customHeight="1">
      <c r="A81" s="13"/>
      <c r="C81" s="17"/>
      <c r="E81" s="16" t="s">
        <v>48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89">
        <f>($I$8*$U$9)*$U$11*$U$14</f>
        <v>353700</v>
      </c>
      <c r="Q81" s="89">
        <f>IF($I$22=E80,($I$8*$U$9)*$V$11*$U$14,($I$8*$U$9)*$U$11*$U$14)</f>
        <v>315088.57764071354</v>
      </c>
      <c r="R81" s="90">
        <f>($I$8*$U$9)*$U$11*$U$14</f>
        <v>353700</v>
      </c>
      <c r="S81" s="90">
        <f>IF(E80&lt;$U$19,(($I$8*$U$9)-$I$47)*($U$11*(1+$I$48))*$U$14,($I$8*$U$9)*$U$11*$U$14)</f>
        <v>353700</v>
      </c>
      <c r="T81" s="90">
        <f>AC44</f>
        <v>306675</v>
      </c>
      <c r="U81" s="90">
        <f>AC44</f>
        <v>306675</v>
      </c>
      <c r="W81" s="13"/>
      <c r="AC81" s="150"/>
    </row>
    <row r="82" spans="1:30" ht="14">
      <c r="A82" s="13"/>
      <c r="C82" s="17"/>
      <c r="E82" s="16" t="s">
        <v>206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89">
        <v>0</v>
      </c>
      <c r="Q82" s="89">
        <f>IF($I$19=1,$U$34,0)</f>
        <v>38656.891807297579</v>
      </c>
      <c r="R82" s="89">
        <f t="shared" ref="R82:U82" si="14">IF($I$19=1,$U$34,0)</f>
        <v>38656.891807297579</v>
      </c>
      <c r="S82" s="89">
        <f t="shared" si="14"/>
        <v>38656.891807297579</v>
      </c>
      <c r="T82" s="89">
        <f t="shared" si="14"/>
        <v>38656.891807297579</v>
      </c>
      <c r="U82" s="89">
        <f t="shared" si="14"/>
        <v>38656.891807297579</v>
      </c>
      <c r="W82" s="13"/>
      <c r="AC82" s="150"/>
    </row>
    <row r="83" spans="1:30" ht="14">
      <c r="A83" s="13"/>
      <c r="C83" s="17"/>
      <c r="E83" s="91" t="s">
        <v>212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3">
        <f>-IF($I$19=1, ($I$12*$I$8)+U33, $I$12*$I$8)</f>
        <v>-306832.6335</v>
      </c>
      <c r="Q83" s="93">
        <f>-IF($I$19=1, ($I$12*$I$8)+U33, $I$12*$I$8)</f>
        <v>-306832.6335</v>
      </c>
      <c r="R83" s="94">
        <f>-IF(I19=1,(I8*I12)+(AB16*I29*I8)+U33, (I8*I12)+(AB16*I29*I8))</f>
        <v>-425632.6335</v>
      </c>
      <c r="S83" s="94">
        <f>-IF(I19=1, ((I8*I12)+U51)+(U33), ((I8*I12)+U51))</f>
        <v>-420424.7124041096</v>
      </c>
      <c r="T83" s="94">
        <f>-IF(I19 = 1, (I8*(I12-I54))+(U33), (I8*(I12-I54)))</f>
        <v>-246832.6335</v>
      </c>
      <c r="U83" s="94">
        <f>-IF(I19 = 1, I8*(I12-I54)+U33, I8*(I12-I54))</f>
        <v>-246832.6335</v>
      </c>
      <c r="W83" s="13"/>
    </row>
    <row r="84" spans="1:30" ht="15" customHeight="1">
      <c r="A84" s="13"/>
      <c r="C84" s="17"/>
      <c r="E84" s="235" t="s">
        <v>49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90">
        <f t="shared" ref="P84:U84" si="15">SUM(P81:P83)</f>
        <v>46867.366500000004</v>
      </c>
      <c r="Q84" s="90">
        <f t="shared" si="15"/>
        <v>46912.835948011139</v>
      </c>
      <c r="R84" s="90">
        <f t="shared" si="15"/>
        <v>-33275.741692702402</v>
      </c>
      <c r="S84" s="90">
        <f t="shared" si="15"/>
        <v>-28067.820596812002</v>
      </c>
      <c r="T84" s="90">
        <f t="shared" si="15"/>
        <v>98499.258307297598</v>
      </c>
      <c r="U84" s="90">
        <f t="shared" si="15"/>
        <v>98499.258307297598</v>
      </c>
      <c r="W84" s="13"/>
      <c r="X84" s="155" t="s">
        <v>115</v>
      </c>
      <c r="Y84" s="154" t="s">
        <v>109</v>
      </c>
      <c r="Z84" t="s">
        <v>107</v>
      </c>
      <c r="AA84" t="s">
        <v>110</v>
      </c>
      <c r="AB84" t="s">
        <v>111</v>
      </c>
      <c r="AC84" t="s">
        <v>112</v>
      </c>
      <c r="AD84" t="s">
        <v>113</v>
      </c>
    </row>
    <row r="85" spans="1:30" ht="15" customHeight="1">
      <c r="A85" s="13"/>
      <c r="C85" s="17"/>
      <c r="E85" s="91" t="s">
        <v>33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5">
        <f t="shared" ref="P85:U85" si="16">IF(P84&gt;0,P84*(0.124+0.15+0.04),0)</f>
        <v>14716.353081000001</v>
      </c>
      <c r="Q85" s="95">
        <f t="shared" si="16"/>
        <v>14730.630487675498</v>
      </c>
      <c r="R85" s="95">
        <f t="shared" si="16"/>
        <v>0</v>
      </c>
      <c r="S85" s="95">
        <f t="shared" si="16"/>
        <v>0</v>
      </c>
      <c r="T85" s="95">
        <f t="shared" si="16"/>
        <v>30928.767108491447</v>
      </c>
      <c r="U85" s="95">
        <f t="shared" si="16"/>
        <v>30928.767108491447</v>
      </c>
      <c r="W85" s="17"/>
      <c r="X85" s="155" t="s">
        <v>116</v>
      </c>
      <c r="Y85" s="159">
        <f>$P$84</f>
        <v>46867.366500000004</v>
      </c>
      <c r="Z85" s="159">
        <f t="shared" ref="Z85:AD85" si="17">$P$84</f>
        <v>46867.366500000004</v>
      </c>
      <c r="AA85" s="159">
        <f t="shared" si="17"/>
        <v>46867.366500000004</v>
      </c>
      <c r="AB85" s="159">
        <f t="shared" si="17"/>
        <v>46867.366500000004</v>
      </c>
      <c r="AC85" s="159">
        <f t="shared" si="17"/>
        <v>46867.366500000004</v>
      </c>
      <c r="AD85" s="159">
        <f t="shared" si="17"/>
        <v>46867.366500000004</v>
      </c>
    </row>
    <row r="86" spans="1:30" ht="14">
      <c r="A86" s="13"/>
      <c r="C86" s="17"/>
      <c r="E86" s="96" t="s">
        <v>34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97">
        <f t="shared" ref="P86:U86" si="18">P84-P85</f>
        <v>32151.013419000003</v>
      </c>
      <c r="Q86" s="97">
        <f t="shared" si="18"/>
        <v>32182.205460335641</v>
      </c>
      <c r="R86" s="97">
        <f t="shared" si="18"/>
        <v>-33275.741692702402</v>
      </c>
      <c r="S86" s="97">
        <f t="shared" si="18"/>
        <v>-28067.820596812002</v>
      </c>
      <c r="T86" s="97">
        <f t="shared" si="18"/>
        <v>67570.49119880615</v>
      </c>
      <c r="U86" s="97">
        <f t="shared" si="18"/>
        <v>67570.49119880615</v>
      </c>
      <c r="W86" s="17"/>
      <c r="X86" s="149">
        <f>E80</f>
        <v>1</v>
      </c>
      <c r="Y86" s="148">
        <f t="shared" ref="Y86:AD86" si="19">P84</f>
        <v>46867.366500000004</v>
      </c>
      <c r="Z86" s="148">
        <f t="shared" si="19"/>
        <v>46912.835948011139</v>
      </c>
      <c r="AA86" s="148">
        <f t="shared" si="19"/>
        <v>-33275.741692702402</v>
      </c>
      <c r="AB86" s="148">
        <f t="shared" si="19"/>
        <v>-28067.820596812002</v>
      </c>
      <c r="AC86" s="148">
        <f t="shared" si="19"/>
        <v>98499.258307297598</v>
      </c>
      <c r="AD86" s="148">
        <f t="shared" si="19"/>
        <v>98499.258307297598</v>
      </c>
    </row>
    <row r="87" spans="1:30" ht="14">
      <c r="A87" s="13"/>
      <c r="C87" s="17"/>
      <c r="E87" s="98" t="s">
        <v>50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99">
        <v>0</v>
      </c>
      <c r="Q87" s="99">
        <v>0</v>
      </c>
      <c r="R87" s="100">
        <v>0</v>
      </c>
      <c r="S87" s="100">
        <v>0</v>
      </c>
      <c r="T87" s="100">
        <f>I8*I10</f>
        <v>510000</v>
      </c>
      <c r="U87" s="100">
        <f>I8*I10</f>
        <v>510000</v>
      </c>
      <c r="W87" s="17"/>
      <c r="X87" s="149">
        <f>E94</f>
        <v>2</v>
      </c>
      <c r="Y87" s="148">
        <f t="shared" ref="Y87:AD87" si="20">P99</f>
        <v>31069.254167737505</v>
      </c>
      <c r="Z87" s="148">
        <f t="shared" si="20"/>
        <v>31069.644068254198</v>
      </c>
      <c r="AA87" s="148">
        <f t="shared" si="20"/>
        <v>28504.443289974348</v>
      </c>
      <c r="AB87" s="148">
        <f t="shared" si="20"/>
        <v>28842.958161207225</v>
      </c>
      <c r="AC87" s="148">
        <f t="shared" si="20"/>
        <v>2219.6311399850765</v>
      </c>
      <c r="AD87" s="148">
        <f t="shared" si="20"/>
        <v>1263.3811399850765</v>
      </c>
    </row>
    <row r="88" spans="1:30" ht="14">
      <c r="A88" s="13"/>
      <c r="C88" s="17"/>
      <c r="E88" s="101" t="s">
        <v>37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99">
        <v>0</v>
      </c>
      <c r="Q88" s="99">
        <v>0</v>
      </c>
      <c r="R88" s="100">
        <v>0</v>
      </c>
      <c r="S88" s="30">
        <v>0</v>
      </c>
      <c r="T88" s="100">
        <v>0</v>
      </c>
      <c r="U88" s="100">
        <f>(I8*(I10-I17))*0.15</f>
        <v>76500</v>
      </c>
      <c r="W88" s="17"/>
      <c r="X88" s="149">
        <f>E109</f>
        <v>3</v>
      </c>
      <c r="Y88" s="148">
        <f>P114</f>
        <v>31335.673022225852</v>
      </c>
      <c r="Z88" s="148">
        <f>Q114</f>
        <v>31336.066266139478</v>
      </c>
      <c r="AA88" s="148">
        <f>R114</f>
        <v>29775.456416274305</v>
      </c>
      <c r="AB88" s="148">
        <f>S114</f>
        <v>30129.065665615453</v>
      </c>
      <c r="AC88" s="148">
        <f>T114</f>
        <v>37906.03097701045</v>
      </c>
      <c r="AD88" s="148">
        <f t="shared" ref="AD88" si="21">U114</f>
        <v>1274.2146332604489</v>
      </c>
    </row>
    <row r="89" spans="1:30" ht="15.75" customHeight="1">
      <c r="A89" s="13"/>
      <c r="C89" s="17"/>
      <c r="E89" s="305" t="s">
        <v>59</v>
      </c>
      <c r="F89" s="261"/>
      <c r="G89" s="261"/>
      <c r="H89" s="261"/>
      <c r="I89" s="261"/>
      <c r="J89" s="261"/>
      <c r="K89" s="261"/>
      <c r="L89" s="261"/>
      <c r="M89" s="261"/>
      <c r="N89" s="304"/>
      <c r="O89" s="17"/>
      <c r="P89" s="137"/>
      <c r="Q89" s="137"/>
      <c r="R89" s="70"/>
      <c r="S89" s="70"/>
      <c r="T89" s="70"/>
      <c r="U89" s="70"/>
      <c r="W89" s="17"/>
      <c r="X89" s="149">
        <f>E123</f>
        <v>4</v>
      </c>
      <c r="Y89" s="148">
        <f>P128</f>
        <v>31604.376418391439</v>
      </c>
      <c r="Z89" s="148">
        <f>Q128</f>
        <v>31604.773034371625</v>
      </c>
      <c r="AA89" s="148">
        <f>R128</f>
        <v>30751.169868822304</v>
      </c>
      <c r="AB89" s="148">
        <f>S128</f>
        <v>30822.20384685486</v>
      </c>
      <c r="AC89" s="148">
        <f>T128</f>
        <v>38231.075192638316</v>
      </c>
      <c r="AD89" s="148">
        <f t="shared" ref="AD89" si="22">U128</f>
        <v>1285.1410237406571</v>
      </c>
    </row>
    <row r="90" spans="1:30" ht="15.75" customHeight="1">
      <c r="A90" s="13"/>
      <c r="C90" s="17"/>
      <c r="E90" s="308" t="s">
        <v>0</v>
      </c>
      <c r="F90" s="86"/>
      <c r="G90" s="86"/>
      <c r="H90" s="86"/>
      <c r="I90" s="86"/>
      <c r="J90" s="86"/>
      <c r="K90" s="86"/>
      <c r="L90" s="86"/>
      <c r="M90" s="86"/>
      <c r="N90" s="86"/>
      <c r="O90" s="261"/>
      <c r="P90" s="302">
        <f>P75-P87</f>
        <v>510000</v>
      </c>
      <c r="Q90" s="302">
        <f t="shared" ref="Q90:U90" si="23">Q75-Q87</f>
        <v>510000</v>
      </c>
      <c r="R90" s="302">
        <f t="shared" si="23"/>
        <v>510000</v>
      </c>
      <c r="S90" s="302">
        <f t="shared" si="23"/>
        <v>510000</v>
      </c>
      <c r="T90" s="302">
        <f t="shared" si="23"/>
        <v>0</v>
      </c>
      <c r="U90" s="303">
        <f t="shared" si="23"/>
        <v>0</v>
      </c>
      <c r="W90" s="17"/>
      <c r="X90" s="149">
        <f>E137</f>
        <v>5</v>
      </c>
      <c r="Y90" s="148">
        <f>P142</f>
        <v>31875.383946179147</v>
      </c>
      <c r="Z90" s="148">
        <f>Q142</f>
        <v>31875.783963141363</v>
      </c>
      <c r="AA90" s="148">
        <f>R142</f>
        <v>31014.861150447457</v>
      </c>
      <c r="AB90" s="148">
        <f>S142</f>
        <v>31086.504244841639</v>
      </c>
      <c r="AC90" s="148">
        <f>T142</f>
        <v>38558.906662415189</v>
      </c>
      <c r="AD90" s="148">
        <f t="shared" ref="AD90" si="24">U142</f>
        <v>1296.1611080192333</v>
      </c>
    </row>
    <row r="91" spans="1:30" ht="14">
      <c r="A91" s="13"/>
      <c r="C91" s="17"/>
      <c r="E91" s="309" t="s">
        <v>47</v>
      </c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7">
        <f>P86+P87-P88</f>
        <v>32151.013419000003</v>
      </c>
      <c r="Q91" s="87">
        <f t="shared" ref="Q91:U91" si="25">Q86+Q87-Q88</f>
        <v>32182.205460335641</v>
      </c>
      <c r="R91" s="87">
        <f t="shared" si="25"/>
        <v>-33275.741692702402</v>
      </c>
      <c r="S91" s="87">
        <f t="shared" si="25"/>
        <v>-28067.820596812002</v>
      </c>
      <c r="T91" s="87">
        <f t="shared" si="25"/>
        <v>577570.49119880609</v>
      </c>
      <c r="U91" s="262">
        <f t="shared" si="25"/>
        <v>501070.49119880609</v>
      </c>
      <c r="W91" s="17"/>
    </row>
    <row r="92" spans="1:30" ht="14">
      <c r="A92" s="13"/>
      <c r="C92" s="17"/>
      <c r="E92" s="307" t="s">
        <v>16</v>
      </c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5">
        <f>SUM(P90:P91)</f>
        <v>542151.01341899997</v>
      </c>
      <c r="Q92" s="265">
        <f>SUM(Q90:Q91)</f>
        <v>542182.20546033559</v>
      </c>
      <c r="R92" s="265">
        <f>SUM(R90:R91)</f>
        <v>476724.2583072976</v>
      </c>
      <c r="S92" s="265">
        <f t="shared" ref="S92" si="26">SUM(S90:S91)</f>
        <v>481932.179403188</v>
      </c>
      <c r="T92" s="265">
        <f>SUM(T90:T91)</f>
        <v>577570.49119880609</v>
      </c>
      <c r="U92" s="266">
        <f>SUM(U90:U91)</f>
        <v>501070.49119880609</v>
      </c>
      <c r="W92" s="17"/>
    </row>
    <row r="93" spans="1:30" ht="14">
      <c r="A93" s="13"/>
      <c r="C93" s="17"/>
      <c r="E93" s="6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67"/>
      <c r="Q93" s="67"/>
      <c r="R93" s="67"/>
      <c r="S93" s="67"/>
      <c r="T93" s="67"/>
      <c r="U93" s="67"/>
      <c r="W93" s="17"/>
    </row>
    <row r="94" spans="1:30" ht="14">
      <c r="A94" s="13"/>
      <c r="C94" s="17"/>
      <c r="E94" s="108">
        <f>E80+1</f>
        <v>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67"/>
      <c r="Q94" s="67"/>
      <c r="R94" s="67"/>
      <c r="S94" s="67"/>
      <c r="T94" s="67"/>
      <c r="U94" s="67"/>
      <c r="W94" s="17"/>
    </row>
    <row r="95" spans="1:30" ht="14">
      <c r="A95" s="13"/>
      <c r="C95" s="17"/>
      <c r="E95" s="98" t="s">
        <v>48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0">
        <f>($I$8*$U$9)*$U$11*$U$15</f>
        <v>337500</v>
      </c>
      <c r="Q95" s="90">
        <f>IF($E$94=$U$19,($I$8*$U$9)*$U$11*0.9*$U$15,($I$8*$U$9)*$U$11*$U$15)</f>
        <v>337500</v>
      </c>
      <c r="R95" s="90">
        <f>($I$8*$U$9)*$U$11*$U$15</f>
        <v>337500</v>
      </c>
      <c r="S95" s="90">
        <f>IF(E94=$U$19,(($I$8*$U$9)-$I$47)*($U$11*(1+$I$48))*$U$15,($I$8*$U$9)*$U$11*$U$15)</f>
        <v>337500</v>
      </c>
      <c r="T95" s="90">
        <f>IF(E94&gt;$U$19,($E$8*$U$9)*$U$11*$U$15,0)</f>
        <v>0</v>
      </c>
      <c r="U95" s="90">
        <v>0</v>
      </c>
      <c r="W95" s="17"/>
    </row>
    <row r="96" spans="1:30" ht="14">
      <c r="A96" s="13"/>
      <c r="C96" s="17"/>
      <c r="E96" s="98" t="s">
        <v>207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0">
        <v>0</v>
      </c>
      <c r="Q96" s="89">
        <f>IF(AND($E$94&lt;$U$19,$I$19=1),$U$35,0)</f>
        <v>0</v>
      </c>
      <c r="R96" s="89">
        <f>IF(AND($E$94&lt;$U$19,$I$19=1),$U$35,0)</f>
        <v>0</v>
      </c>
      <c r="S96" s="89">
        <f>IF(AND($E$94&lt;$U$19,$I$19=1),$U$35,0)</f>
        <v>0</v>
      </c>
      <c r="T96" s="89">
        <f>IF(AND($I$19=1, T95&lt;&gt;0),$U$35,0)</f>
        <v>0</v>
      </c>
      <c r="U96" s="89">
        <f t="shared" ref="U96" si="27">IF($I$19=1,$U$35,0)</f>
        <v>0</v>
      </c>
      <c r="W96" s="17"/>
    </row>
    <row r="97" spans="1:23" ht="14">
      <c r="A97" s="13"/>
      <c r="C97" s="17"/>
      <c r="E97" s="16" t="s">
        <v>54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3">
        <f>-IF($I$19=1, ($I$12*$I$8)+U33, $I$12*$I$8)</f>
        <v>-306832.6335</v>
      </c>
      <c r="Q97" s="93">
        <f>-IF($I$19=1, ($I$12*$I$8)+U33, $I$12*$I$8)</f>
        <v>-306832.6335</v>
      </c>
      <c r="R97" s="94">
        <f>-IF($AB17 &gt; 0, ($I$8*$I$12) + ($AB$17*$I$29*$I$8), ($I$8*$I$12)) - IF(I19 = 1, U33, 0)</f>
        <v>-306832.6335</v>
      </c>
      <c r="S97" s="94">
        <f>-(IF($AB$17&gt;0,(($I$8*$I$12)+($AA$17*$I$45*$I$8)),($I$8*$I$12))) - IF(I19 = 1, U33, 0)</f>
        <v>-306832.6335</v>
      </c>
      <c r="T97" s="94">
        <f>IF(T95=0,-$I$55,-($I$8*$I$12 +  IF($I$19 = 1, U33, 0)))</f>
        <v>-5000</v>
      </c>
      <c r="U97" s="94">
        <f>-$I$55</f>
        <v>-5000</v>
      </c>
      <c r="W97" s="17"/>
    </row>
    <row r="98" spans="1:23" ht="14">
      <c r="A98" s="13"/>
      <c r="C98" s="17"/>
      <c r="E98" s="91" t="s">
        <v>58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4">
        <f t="shared" ref="P98:U98" si="28">IF(P91&gt;0,P91*$I$16,P91*$I$15)</f>
        <v>401.88766773750007</v>
      </c>
      <c r="Q98" s="94">
        <f t="shared" si="28"/>
        <v>402.27756825419556</v>
      </c>
      <c r="R98" s="94">
        <f t="shared" si="28"/>
        <v>-2162.9232100256563</v>
      </c>
      <c r="S98" s="94">
        <f t="shared" si="28"/>
        <v>-1824.4083387927801</v>
      </c>
      <c r="T98" s="94">
        <f t="shared" si="28"/>
        <v>7219.6311399850765</v>
      </c>
      <c r="U98" s="94">
        <f t="shared" si="28"/>
        <v>6263.3811399850765</v>
      </c>
      <c r="W98" s="17"/>
    </row>
    <row r="99" spans="1:23" ht="14">
      <c r="A99" s="13"/>
      <c r="C99" s="17"/>
      <c r="E99" s="235" t="s">
        <v>49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0">
        <f t="shared" ref="P99:U99" si="29">SUM(P95:P98)</f>
        <v>31069.254167737505</v>
      </c>
      <c r="Q99" s="90">
        <f t="shared" si="29"/>
        <v>31069.644068254198</v>
      </c>
      <c r="R99" s="90">
        <f t="shared" si="29"/>
        <v>28504.443289974348</v>
      </c>
      <c r="S99" s="90">
        <f t="shared" si="29"/>
        <v>28842.958161207225</v>
      </c>
      <c r="T99" s="90">
        <f t="shared" si="29"/>
        <v>2219.6311399850765</v>
      </c>
      <c r="U99" s="90">
        <f t="shared" si="29"/>
        <v>1263.3811399850765</v>
      </c>
      <c r="W99" s="17"/>
    </row>
    <row r="100" spans="1:23" ht="14">
      <c r="A100" s="13"/>
      <c r="C100" s="17"/>
      <c r="E100" s="91" t="s">
        <v>33</v>
      </c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5">
        <f t="shared" ref="P100:U100" si="30">IF(P99&gt;0,P99*(0.124+0.15+0.04),0)</f>
        <v>9755.7458086695769</v>
      </c>
      <c r="Q100" s="95">
        <f t="shared" si="30"/>
        <v>9755.8682374318178</v>
      </c>
      <c r="R100" s="95">
        <f t="shared" si="30"/>
        <v>8950.3951930519452</v>
      </c>
      <c r="S100" s="95">
        <f t="shared" si="30"/>
        <v>9056.6888626190685</v>
      </c>
      <c r="T100" s="95">
        <f t="shared" si="30"/>
        <v>696.96417795531409</v>
      </c>
      <c r="U100" s="95">
        <f t="shared" si="30"/>
        <v>396.70167795531404</v>
      </c>
      <c r="W100" s="17"/>
    </row>
    <row r="101" spans="1:23" ht="14">
      <c r="A101" s="13"/>
      <c r="C101" s="17"/>
      <c r="E101" s="96" t="s">
        <v>34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7">
        <f>P99-P100</f>
        <v>21313.508359067928</v>
      </c>
      <c r="Q101" s="97">
        <f>Q99-Q100</f>
        <v>21313.775830822378</v>
      </c>
      <c r="R101" s="97">
        <f t="shared" ref="R101:S101" si="31">R99-R100</f>
        <v>19554.048096922401</v>
      </c>
      <c r="S101" s="102">
        <f t="shared" si="31"/>
        <v>19786.269298588159</v>
      </c>
      <c r="T101" s="97">
        <f>T99-T100</f>
        <v>1522.6669620297625</v>
      </c>
      <c r="U101" s="97">
        <f>U99-U100</f>
        <v>866.67946202976248</v>
      </c>
      <c r="W101" s="17"/>
    </row>
    <row r="102" spans="1:23" ht="14">
      <c r="A102" s="13"/>
      <c r="C102" s="17"/>
      <c r="E102" s="96" t="s">
        <v>55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0">
        <v>0</v>
      </c>
      <c r="Q102" s="90">
        <v>0</v>
      </c>
      <c r="R102" s="90">
        <v>0</v>
      </c>
      <c r="S102" s="90">
        <v>0</v>
      </c>
      <c r="T102" s="90">
        <f>IF(E94=$U$19,$I$8*$I$58,0)</f>
        <v>0</v>
      </c>
      <c r="U102" s="90">
        <v>0</v>
      </c>
      <c r="W102" s="17"/>
    </row>
    <row r="103" spans="1:23" ht="14">
      <c r="A103" s="13"/>
      <c r="C103" s="17"/>
      <c r="E103" s="9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0"/>
      <c r="Q103" s="90"/>
      <c r="R103" s="90"/>
      <c r="S103" s="90"/>
      <c r="T103" s="90"/>
      <c r="U103" s="90"/>
      <c r="W103" s="17"/>
    </row>
    <row r="104" spans="1:23" ht="14">
      <c r="A104" s="13"/>
      <c r="C104" s="17"/>
      <c r="E104" s="305" t="s">
        <v>59</v>
      </c>
      <c r="F104" s="261"/>
      <c r="G104" s="261"/>
      <c r="H104" s="261"/>
      <c r="I104" s="261"/>
      <c r="J104" s="261"/>
      <c r="K104" s="261"/>
      <c r="L104" s="261"/>
      <c r="M104" s="261"/>
      <c r="N104" s="304"/>
      <c r="O104" s="17"/>
      <c r="P104" s="137"/>
      <c r="Q104" s="137"/>
      <c r="R104" s="70"/>
      <c r="S104" s="70"/>
      <c r="T104" s="70"/>
      <c r="U104" s="70"/>
      <c r="W104" s="17"/>
    </row>
    <row r="105" spans="1:23" ht="14">
      <c r="A105" s="13"/>
      <c r="C105" s="17"/>
      <c r="E105" s="308" t="s">
        <v>0</v>
      </c>
      <c r="F105" s="86"/>
      <c r="G105" s="86"/>
      <c r="H105" s="86"/>
      <c r="I105" s="86"/>
      <c r="J105" s="86"/>
      <c r="K105" s="86"/>
      <c r="L105" s="86"/>
      <c r="M105" s="86"/>
      <c r="N105" s="86"/>
      <c r="O105" s="261"/>
      <c r="P105" s="312">
        <f t="shared" ref="P105:U105" si="32">P90+P102</f>
        <v>510000</v>
      </c>
      <c r="Q105" s="312">
        <f t="shared" si="32"/>
        <v>510000</v>
      </c>
      <c r="R105" s="312">
        <f t="shared" si="32"/>
        <v>510000</v>
      </c>
      <c r="S105" s="312">
        <f t="shared" si="32"/>
        <v>510000</v>
      </c>
      <c r="T105" s="312">
        <f t="shared" si="32"/>
        <v>0</v>
      </c>
      <c r="U105" s="313">
        <f t="shared" si="32"/>
        <v>0</v>
      </c>
      <c r="W105" s="17"/>
    </row>
    <row r="106" spans="1:23" ht="14">
      <c r="A106" s="13"/>
      <c r="C106" s="17"/>
      <c r="E106" s="309" t="s">
        <v>47</v>
      </c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3">
        <f>P91+P101</f>
        <v>53464.52177806793</v>
      </c>
      <c r="Q106" s="103">
        <f>Q91+Q101</f>
        <v>53495.981291158023</v>
      </c>
      <c r="R106" s="103">
        <f>R91+R101</f>
        <v>-13721.693595780001</v>
      </c>
      <c r="S106" s="103">
        <f>S91+S101</f>
        <v>-8281.5512982238433</v>
      </c>
      <c r="T106" s="103">
        <f>T91+T101-T102</f>
        <v>579093.15816083585</v>
      </c>
      <c r="U106" s="267">
        <f>U91+U101</f>
        <v>501937.17066083587</v>
      </c>
      <c r="W106" s="17"/>
    </row>
    <row r="107" spans="1:23" ht="14">
      <c r="A107" s="13"/>
      <c r="C107" s="17"/>
      <c r="E107" s="307" t="s">
        <v>16</v>
      </c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310">
        <f>SUM(P105:P106)</f>
        <v>563464.52177806792</v>
      </c>
      <c r="Q107" s="310">
        <f>SUM(Q105:Q106)</f>
        <v>563495.98129115801</v>
      </c>
      <c r="R107" s="310">
        <f t="shared" ref="R107:S107" si="33">SUM(R105:R106)</f>
        <v>496278.30640422</v>
      </c>
      <c r="S107" s="310">
        <f t="shared" si="33"/>
        <v>501718.44870177616</v>
      </c>
      <c r="T107" s="310">
        <f>SUM(T105:T106)</f>
        <v>579093.15816083585</v>
      </c>
      <c r="U107" s="311">
        <f>SUM(U105:U106)</f>
        <v>501937.17066083587</v>
      </c>
      <c r="W107" s="17"/>
    </row>
    <row r="108" spans="1:23" ht="10" customHeight="1">
      <c r="A108" s="13"/>
      <c r="C108" s="17"/>
      <c r="E108" s="10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7"/>
      <c r="Q108" s="97"/>
      <c r="R108" s="30"/>
      <c r="S108" s="30"/>
      <c r="T108" s="30"/>
      <c r="U108" s="30"/>
      <c r="W108" s="17"/>
    </row>
    <row r="109" spans="1:23" ht="15" customHeight="1">
      <c r="A109" s="13"/>
      <c r="C109" s="17"/>
      <c r="E109" s="108">
        <f>E94+1</f>
        <v>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7"/>
      <c r="Q109" s="97"/>
      <c r="R109" s="30"/>
      <c r="S109" s="30"/>
      <c r="T109" s="30"/>
      <c r="U109" s="30"/>
      <c r="W109" s="17"/>
    </row>
    <row r="110" spans="1:23" ht="15" customHeight="1">
      <c r="A110" s="13"/>
      <c r="C110" s="17"/>
      <c r="E110" s="98" t="s">
        <v>48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0">
        <f>($I$8*$U$9)*$U$11*$U$16</f>
        <v>337500</v>
      </c>
      <c r="Q110" s="90">
        <f>($I$8*$U$9)*$U$11*$U$16</f>
        <v>337500</v>
      </c>
      <c r="R110" s="90">
        <f>($I$8*$U$9)*$U$11*$U$16</f>
        <v>337500</v>
      </c>
      <c r="S110" s="90">
        <f>IF(E109&lt;$U$19,(($I$8*$U$9)-$I$47)*($U$11*(1+$I$48))*$U$16,($I$8*$U$9)*$U$11*$U$16)</f>
        <v>337500</v>
      </c>
      <c r="T110" s="90">
        <f>IF(E109&gt;$U$19,($I$8*$U$9)*$U$11*$U$16,0)</f>
        <v>337500</v>
      </c>
      <c r="U110" s="90">
        <v>0</v>
      </c>
      <c r="W110" s="17"/>
    </row>
    <row r="111" spans="1:23" ht="15" customHeight="1">
      <c r="A111" s="13"/>
      <c r="C111" s="17"/>
      <c r="E111" s="98" t="s">
        <v>207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0">
        <v>0</v>
      </c>
      <c r="Q111" s="89">
        <f>IF(AND($E$109&lt;$U$19,$I$19=1),$U$36,0)</f>
        <v>0</v>
      </c>
      <c r="R111" s="89">
        <f>IF(AND($E$109&lt;$U$19,$I$19=1),$U$36,0)</f>
        <v>0</v>
      </c>
      <c r="S111" s="89">
        <f>IF(AND($E$109&lt;$U$19,$I$19=1),$U$36,0)</f>
        <v>0</v>
      </c>
      <c r="T111" s="89">
        <f>IF(AND(AND($E$109&lt;$U$19,$I$19=1), T110&lt;&gt;0),$U$36,0)</f>
        <v>0</v>
      </c>
      <c r="U111" s="89">
        <f>IF(AND($I$19=1, U110&lt;&gt;0),$U$36,0)</f>
        <v>0</v>
      </c>
      <c r="W111" s="17"/>
    </row>
    <row r="112" spans="1:23" ht="15" customHeight="1">
      <c r="A112" s="13"/>
      <c r="C112" s="17"/>
      <c r="E112" s="16" t="s">
        <v>54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3">
        <f>-IF($I$19=1, ($I$12*$I$8)+U33, $I$12*$I$8)</f>
        <v>-306832.6335</v>
      </c>
      <c r="Q112" s="93">
        <f>-IF($I$19=1, ($I$12*$I$8)+U33, $I$12*$I$8)</f>
        <v>-306832.6335</v>
      </c>
      <c r="R112" s="94">
        <f>IF($AB18&gt;0,-(($I$8*$I$12)+($AB$18*$I$29*$I$8)),-($I$8*$I$12))- IF(I19 = 1, U33, 0)</f>
        <v>-306832.6335</v>
      </c>
      <c r="S112" s="94">
        <f>-(IF($AB$18&gt;0,(($I$8*$I$12)+($AA$18*$I$45*$I$8)),($I$8*$I$12))) - IF(I19 = 1, U33, 0)</f>
        <v>-306832.6335</v>
      </c>
      <c r="T112" s="94">
        <f>IF(T110=0,-$I$55,-($I$8*$I$12 + IF($I$19 = 1, U33, 0)))</f>
        <v>-306832.6335</v>
      </c>
      <c r="U112" s="94">
        <f>-$I$55</f>
        <v>-5000</v>
      </c>
      <c r="W112" s="17"/>
    </row>
    <row r="113" spans="1:23" ht="15" customHeight="1">
      <c r="A113" s="13"/>
      <c r="C113" s="17"/>
      <c r="E113" s="91" t="s">
        <v>58</v>
      </c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4">
        <f t="shared" ref="P113:U113" si="34">IF(P106&gt;0,P106*$I$16,P106*$I$15)</f>
        <v>668.30652222584922</v>
      </c>
      <c r="Q113" s="94">
        <f t="shared" si="34"/>
        <v>668.69976613947529</v>
      </c>
      <c r="R113" s="94">
        <f t="shared" si="34"/>
        <v>-891.91008372570013</v>
      </c>
      <c r="S113" s="94">
        <f t="shared" si="34"/>
        <v>-538.30083438454983</v>
      </c>
      <c r="T113" s="94">
        <f t="shared" si="34"/>
        <v>7238.6644770104485</v>
      </c>
      <c r="U113" s="94">
        <f t="shared" si="34"/>
        <v>6274.2146332604489</v>
      </c>
      <c r="W113" s="17"/>
    </row>
    <row r="114" spans="1:23" ht="15" customHeight="1">
      <c r="A114" s="13"/>
      <c r="C114" s="17"/>
      <c r="E114" s="235" t="s">
        <v>49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0">
        <f>SUM(P110:P113)</f>
        <v>31335.673022225852</v>
      </c>
      <c r="Q114" s="90">
        <f>SUM(Q110:Q113)</f>
        <v>31336.066266139478</v>
      </c>
      <c r="R114" s="90">
        <f>SUM(R110:R113)</f>
        <v>29775.456416274305</v>
      </c>
      <c r="S114" s="90">
        <f>SUM(S110:S113)</f>
        <v>30129.065665615453</v>
      </c>
      <c r="T114" s="90">
        <f>SUM(T110:T113)</f>
        <v>37906.03097701045</v>
      </c>
      <c r="U114" s="90">
        <f t="shared" ref="U114" si="35">SUM(U110:U113)</f>
        <v>1274.2146332604489</v>
      </c>
      <c r="W114" s="17"/>
    </row>
    <row r="115" spans="1:23" ht="15" customHeight="1">
      <c r="A115" s="13"/>
      <c r="C115" s="17"/>
      <c r="E115" s="91" t="s">
        <v>33</v>
      </c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5">
        <f>IF(P114&gt;0,P114*(0.124+0.15+0.04),0)</f>
        <v>9839.4013289789182</v>
      </c>
      <c r="Q115" s="95">
        <f>IF(Q114&gt;0,Q114*(0.124+0.15+0.04),0)</f>
        <v>9839.5248075677955</v>
      </c>
      <c r="R115" s="95">
        <f>IF(R114&gt;0,R114*(0.124+0.15+0.04),0)</f>
        <v>9349.493314710131</v>
      </c>
      <c r="S115" s="95">
        <f>IF(S114&gt;0,S114*(0.124+0.15+0.04),0)</f>
        <v>9460.5266190032526</v>
      </c>
      <c r="T115" s="95">
        <f>IF(T114&gt;0,T114*(0.124+0.15+0.04),0)</f>
        <v>11902.493726781282</v>
      </c>
      <c r="U115" s="95">
        <f t="shared" ref="U115" si="36">IF(U114&gt;0,U114*(0.124+0.15+0.04),0)</f>
        <v>400.10339484378096</v>
      </c>
      <c r="W115" s="17"/>
    </row>
    <row r="116" spans="1:23" ht="15" customHeight="1">
      <c r="A116" s="13"/>
      <c r="C116" s="17"/>
      <c r="E116" s="96" t="s">
        <v>34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7">
        <f t="shared" ref="P116:U116" si="37">P114-P115</f>
        <v>21496.271693246934</v>
      </c>
      <c r="Q116" s="97">
        <f t="shared" si="37"/>
        <v>21496.541458571683</v>
      </c>
      <c r="R116" s="97">
        <f t="shared" si="37"/>
        <v>20425.963101564172</v>
      </c>
      <c r="S116" s="97">
        <f t="shared" si="37"/>
        <v>20668.539046612201</v>
      </c>
      <c r="T116" s="97">
        <f t="shared" si="37"/>
        <v>26003.537250229168</v>
      </c>
      <c r="U116" s="97">
        <f t="shared" si="37"/>
        <v>874.1112384166679</v>
      </c>
      <c r="W116" s="17"/>
    </row>
    <row r="117" spans="1:23" ht="15" customHeight="1">
      <c r="A117" s="13"/>
      <c r="C117" s="17"/>
      <c r="E117" s="96" t="s">
        <v>55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0">
        <v>0</v>
      </c>
      <c r="Q117" s="90">
        <v>0</v>
      </c>
      <c r="R117" s="90">
        <v>0</v>
      </c>
      <c r="S117" s="90">
        <v>0</v>
      </c>
      <c r="T117" s="90">
        <f>IF(E109=$U$19,$I$8*$I$58,0)</f>
        <v>0</v>
      </c>
      <c r="U117" s="90">
        <v>0</v>
      </c>
      <c r="W117" s="17"/>
    </row>
    <row r="118" spans="1:23" ht="15" customHeight="1">
      <c r="A118" s="13"/>
      <c r="C118" s="17"/>
      <c r="E118" s="305" t="s">
        <v>59</v>
      </c>
      <c r="F118" s="261"/>
      <c r="G118" s="261"/>
      <c r="H118" s="261"/>
      <c r="I118" s="261"/>
      <c r="J118" s="261"/>
      <c r="K118" s="261"/>
      <c r="L118" s="261"/>
      <c r="M118" s="261"/>
      <c r="N118" s="304"/>
      <c r="O118" s="17"/>
      <c r="P118" s="137"/>
      <c r="Q118" s="137"/>
      <c r="R118" s="70"/>
      <c r="S118" s="70"/>
      <c r="T118" s="70"/>
      <c r="U118" s="70"/>
      <c r="W118" s="17"/>
    </row>
    <row r="119" spans="1:23" ht="15" customHeight="1">
      <c r="A119" s="13"/>
      <c r="C119" s="17"/>
      <c r="E119" s="308" t="s">
        <v>0</v>
      </c>
      <c r="F119" s="86"/>
      <c r="G119" s="86"/>
      <c r="H119" s="86"/>
      <c r="I119" s="86"/>
      <c r="J119" s="86"/>
      <c r="K119" s="86"/>
      <c r="L119" s="86"/>
      <c r="M119" s="86"/>
      <c r="N119" s="86"/>
      <c r="O119" s="261"/>
      <c r="P119" s="312">
        <f t="shared" ref="P119:U119" si="38">P105+P117</f>
        <v>510000</v>
      </c>
      <c r="Q119" s="312">
        <f t="shared" si="38"/>
        <v>510000</v>
      </c>
      <c r="R119" s="302">
        <f t="shared" si="38"/>
        <v>510000</v>
      </c>
      <c r="S119" s="302">
        <f t="shared" si="38"/>
        <v>510000</v>
      </c>
      <c r="T119" s="302">
        <f t="shared" si="38"/>
        <v>0</v>
      </c>
      <c r="U119" s="303">
        <f t="shared" si="38"/>
        <v>0</v>
      </c>
      <c r="W119" s="17"/>
    </row>
    <row r="120" spans="1:23" ht="15" customHeight="1">
      <c r="A120" s="13"/>
      <c r="C120" s="17"/>
      <c r="E120" s="309" t="s">
        <v>47</v>
      </c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3">
        <f>P106+P116-P117</f>
        <v>74960.793471314857</v>
      </c>
      <c r="Q120" s="103">
        <f>Q106+Q116-Q117</f>
        <v>74992.522749729702</v>
      </c>
      <c r="R120" s="103">
        <f>R106+R116-R117</f>
        <v>6704.2695057841702</v>
      </c>
      <c r="S120" s="103">
        <f>S106+S116-S117</f>
        <v>12386.987748388357</v>
      </c>
      <c r="T120" s="103">
        <f>T106+T116-T117</f>
        <v>605096.69541106501</v>
      </c>
      <c r="U120" s="267">
        <f t="shared" ref="U120" si="39">U106+U116-U117</f>
        <v>502811.28189925256</v>
      </c>
      <c r="W120" s="17"/>
    </row>
    <row r="121" spans="1:23" ht="19.5" customHeight="1">
      <c r="A121" s="13"/>
      <c r="C121" s="17"/>
      <c r="E121" s="307" t="s">
        <v>16</v>
      </c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310">
        <f t="shared" ref="P121:U121" si="40">SUM(P119:P120)</f>
        <v>584960.79347131483</v>
      </c>
      <c r="Q121" s="310">
        <f t="shared" si="40"/>
        <v>584992.52274972969</v>
      </c>
      <c r="R121" s="310">
        <f t="shared" si="40"/>
        <v>516704.26950578415</v>
      </c>
      <c r="S121" s="310">
        <f t="shared" si="40"/>
        <v>522386.98774838838</v>
      </c>
      <c r="T121" s="310">
        <f t="shared" si="40"/>
        <v>605096.69541106501</v>
      </c>
      <c r="U121" s="311">
        <f t="shared" si="40"/>
        <v>502811.28189925256</v>
      </c>
      <c r="W121" s="17"/>
    </row>
    <row r="122" spans="1:23" ht="15" customHeight="1">
      <c r="A122" s="13"/>
      <c r="C122" s="17"/>
      <c r="E122" s="6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67"/>
      <c r="Q122" s="67"/>
      <c r="R122" s="67"/>
      <c r="S122" s="67"/>
      <c r="T122" s="67"/>
      <c r="U122" s="67"/>
      <c r="W122" s="17"/>
    </row>
    <row r="123" spans="1:23" ht="15" customHeight="1">
      <c r="A123" s="13"/>
      <c r="C123" s="17"/>
      <c r="E123" s="108">
        <f>E109+1</f>
        <v>4</v>
      </c>
      <c r="F123" s="13"/>
      <c r="G123" s="147"/>
      <c r="H123" s="13"/>
      <c r="I123" s="13"/>
      <c r="J123" s="13"/>
      <c r="K123" s="13"/>
      <c r="L123" s="13"/>
      <c r="M123" s="13"/>
      <c r="N123" s="13"/>
      <c r="O123" s="13"/>
      <c r="P123" s="97"/>
      <c r="Q123" s="97"/>
      <c r="R123" s="30"/>
      <c r="S123" s="30"/>
      <c r="T123" s="30"/>
      <c r="U123" s="30"/>
      <c r="W123" s="17"/>
    </row>
    <row r="124" spans="1:23" ht="15" customHeight="1">
      <c r="A124" s="13"/>
      <c r="C124" s="17"/>
      <c r="E124" s="98" t="s">
        <v>48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90">
        <f>($I$8*$U$9)*$U$11*$U$16</f>
        <v>337500</v>
      </c>
      <c r="Q124" s="90">
        <f>IF($U$19=E123,($I$8*$U$9)*$U$11*$I$13*$U$16,($I$8*$U$9)*$U$11*$U$16)</f>
        <v>337500</v>
      </c>
      <c r="R124" s="90">
        <f>($I$8*$U$9)*$U$11*$U$16</f>
        <v>337500</v>
      </c>
      <c r="S124" s="90">
        <f>IF(E123&lt;$U$19,(($I$8*$U$9)-$I$47)*($U$11*(1+$I$48))*$U$16,($I$8*$U$9)*$U$11*$U$16)</f>
        <v>337500</v>
      </c>
      <c r="T124" s="90">
        <f>IF(E123&gt;$U$19,($I$8*$U$9)*$U$11*$U$16,"X")</f>
        <v>337500</v>
      </c>
      <c r="U124" s="90">
        <v>0</v>
      </c>
      <c r="W124" s="17"/>
    </row>
    <row r="125" spans="1:23" ht="15" customHeight="1">
      <c r="A125" s="13"/>
      <c r="C125" s="17"/>
      <c r="E125" s="98" t="s">
        <v>207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90">
        <v>0</v>
      </c>
      <c r="Q125" s="89">
        <f>IF(AND($E$123&lt;$U$19,$I$19=1),$U$37,0)</f>
        <v>0</v>
      </c>
      <c r="R125" s="89">
        <f>IF(AND($E$123&lt;$U$19,$I$19=1),$U$37,0)</f>
        <v>0</v>
      </c>
      <c r="S125" s="89">
        <f>IF(AND($E$123&lt;$U$19,$I$19=1),$U$37,0)</f>
        <v>0</v>
      </c>
      <c r="T125" s="89">
        <f>IF(AND($E$123&lt;$U$19,$I$19=1, T124&lt;&gt;0),$U$37,0)</f>
        <v>0</v>
      </c>
      <c r="U125" s="89">
        <f>IF(AND($I$19=1, U124&lt;&gt;0),$U$37,0)</f>
        <v>0</v>
      </c>
      <c r="W125" s="17"/>
    </row>
    <row r="126" spans="1:23" ht="15" customHeight="1">
      <c r="A126" s="13"/>
      <c r="C126" s="17"/>
      <c r="E126" s="16" t="s">
        <v>54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93">
        <f>-IF($I$19=1, ($I$12*$I$8)+U33, $I$12*$I$8)</f>
        <v>-306832.6335</v>
      </c>
      <c r="Q126" s="93">
        <f>-IF($I$19=1, ($I$12*$I$8)+U33, $I$12*$I$8)</f>
        <v>-306832.6335</v>
      </c>
      <c r="R126" s="94">
        <f>IF($AA32&gt;0,-(($I$8*$I$12)+($AB$18*$I$29*$I$8)),-($I$8*$I$12)) - IF(I19 = 1, U33, 0)</f>
        <v>-306832.6335</v>
      </c>
      <c r="S126" s="94">
        <f>-(IF($AB$19&gt;0,(($I$8*$I$12)+($AA$18*$I$45*$I$8)),($I$8*$I$12))) - IF(I19 = 1, U33, 0)</f>
        <v>-306832.6335</v>
      </c>
      <c r="T126" s="94">
        <f>IF(T124=0,-$I$55,-($I$8*$I$12 +  IF($I$19 = 1, U33, 0)))</f>
        <v>-306832.6335</v>
      </c>
      <c r="U126" s="94">
        <f>-$I$55</f>
        <v>-5000</v>
      </c>
      <c r="W126" s="17"/>
    </row>
    <row r="127" spans="1:23" ht="15" customHeight="1">
      <c r="A127" s="13"/>
      <c r="C127" s="17"/>
      <c r="E127" s="91" t="s">
        <v>58</v>
      </c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4">
        <f>IF(P120&gt;0,P120*$I$16,P120*$I$15)</f>
        <v>937.0099183914358</v>
      </c>
      <c r="Q127" s="94">
        <f>IF(Q120&gt;0,Q120*$I$16,Q120*$I$15)</f>
        <v>937.40653437162132</v>
      </c>
      <c r="R127" s="94">
        <f>IF(R120&gt;0,R120*$I$16,R120*$I$15)</f>
        <v>83.803368822302133</v>
      </c>
      <c r="S127" s="94">
        <f>IF(S120&gt;0,S120*$I$16,S120*$I$15)</f>
        <v>154.83734685485447</v>
      </c>
      <c r="T127" s="94">
        <f>IF(T120&gt;0,T120*$I$16,T120*$I$15)</f>
        <v>7563.7086926383126</v>
      </c>
      <c r="U127" s="94">
        <f t="shared" ref="U127" si="41">IF(U120&gt;0,U120*$I$16,U120*$I$15)</f>
        <v>6285.1410237406571</v>
      </c>
      <c r="W127" s="17"/>
    </row>
    <row r="128" spans="1:23" ht="15" customHeight="1">
      <c r="A128" s="13"/>
      <c r="C128" s="17"/>
      <c r="E128" s="235" t="s">
        <v>49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90">
        <f>SUM(P124:P127)</f>
        <v>31604.376418391439</v>
      </c>
      <c r="Q128" s="90">
        <f>SUM(Q124:Q127)</f>
        <v>31604.773034371625</v>
      </c>
      <c r="R128" s="90">
        <f>SUM(R124:R127)</f>
        <v>30751.169868822304</v>
      </c>
      <c r="S128" s="90">
        <f>SUM(S124:S127)</f>
        <v>30822.20384685486</v>
      </c>
      <c r="T128" s="90">
        <f>SUM(T124:T127)</f>
        <v>38231.075192638316</v>
      </c>
      <c r="U128" s="90">
        <f t="shared" ref="U128" si="42">SUM(U124:U127)</f>
        <v>1285.1410237406571</v>
      </c>
      <c r="W128" s="17"/>
    </row>
    <row r="129" spans="1:23" ht="15" customHeight="1">
      <c r="A129" s="13"/>
      <c r="C129" s="17"/>
      <c r="E129" s="91" t="s">
        <v>33</v>
      </c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5">
        <f>IF(P128&gt;0,P128*(0.124+0.15+0.04),0)</f>
        <v>9923.7741953749119</v>
      </c>
      <c r="Q129" s="95">
        <f>IF(Q128&gt;0,Q128*(0.124+0.15+0.04),0)</f>
        <v>9923.8987327926898</v>
      </c>
      <c r="R129" s="95">
        <f>IF(R128&gt;0,R128*(0.124+0.15+0.04),0)</f>
        <v>9655.8673388102034</v>
      </c>
      <c r="S129" s="95">
        <f>IF(S128&gt;0,S128*(0.124+0.15+0.04),0)</f>
        <v>9678.1720079124261</v>
      </c>
      <c r="T129" s="95">
        <f>IF(T128&gt;0,T128*(0.124+0.15+0.04),0)</f>
        <v>12004.557610488431</v>
      </c>
      <c r="U129" s="95">
        <f t="shared" ref="U129" si="43">IF(U128&gt;0,U128*(0.124+0.15+0.04),0)</f>
        <v>403.53428145456633</v>
      </c>
      <c r="W129" s="17"/>
    </row>
    <row r="130" spans="1:23" ht="15" customHeight="1">
      <c r="A130" s="13"/>
      <c r="C130" s="17"/>
      <c r="E130" s="96" t="s">
        <v>34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97">
        <f t="shared" ref="P130:U130" si="44">P128-P129</f>
        <v>21680.602223016525</v>
      </c>
      <c r="Q130" s="97">
        <f t="shared" si="44"/>
        <v>21680.874301578937</v>
      </c>
      <c r="R130" s="97">
        <f t="shared" si="44"/>
        <v>21095.302530012101</v>
      </c>
      <c r="S130" s="97">
        <f t="shared" si="44"/>
        <v>21144.031838942436</v>
      </c>
      <c r="T130" s="97">
        <f t="shared" si="44"/>
        <v>26226.517582149885</v>
      </c>
      <c r="U130" s="97">
        <f t="shared" si="44"/>
        <v>881.60674228609082</v>
      </c>
      <c r="W130" s="17"/>
    </row>
    <row r="131" spans="1:23" ht="15" customHeight="1">
      <c r="A131" s="13"/>
      <c r="C131" s="17"/>
      <c r="E131" s="96" t="s">
        <v>55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90">
        <v>0</v>
      </c>
      <c r="Q131" s="90">
        <v>0</v>
      </c>
      <c r="R131" s="90">
        <v>0</v>
      </c>
      <c r="S131" s="90">
        <v>0</v>
      </c>
      <c r="T131" s="90">
        <f>IF(E123=$U$19,$I$8*$I$58,0)</f>
        <v>0</v>
      </c>
      <c r="U131" s="90">
        <v>0</v>
      </c>
      <c r="W131" s="17"/>
    </row>
    <row r="132" spans="1:23" ht="15" customHeight="1">
      <c r="A132" s="13"/>
      <c r="C132" s="17"/>
      <c r="E132" s="305" t="s">
        <v>59</v>
      </c>
      <c r="F132" s="261"/>
      <c r="G132" s="261"/>
      <c r="H132" s="261"/>
      <c r="I132" s="261"/>
      <c r="J132" s="261"/>
      <c r="K132" s="261"/>
      <c r="L132" s="261"/>
      <c r="M132" s="261"/>
      <c r="N132" s="304"/>
      <c r="O132" s="17"/>
      <c r="P132" s="137"/>
      <c r="Q132" s="137"/>
      <c r="R132" s="70"/>
      <c r="S132" s="70"/>
      <c r="T132" s="70"/>
      <c r="U132" s="70"/>
      <c r="W132" s="17"/>
    </row>
    <row r="133" spans="1:23" ht="15" customHeight="1">
      <c r="A133" s="13"/>
      <c r="C133" s="17"/>
      <c r="E133" s="308" t="s">
        <v>0</v>
      </c>
      <c r="F133" s="86"/>
      <c r="G133" s="86"/>
      <c r="H133" s="86"/>
      <c r="I133" s="86"/>
      <c r="J133" s="86"/>
      <c r="K133" s="86"/>
      <c r="L133" s="86"/>
      <c r="M133" s="86"/>
      <c r="N133" s="86"/>
      <c r="O133" s="261"/>
      <c r="P133" s="312">
        <f t="shared" ref="P133:U133" si="45">P119+P131</f>
        <v>510000</v>
      </c>
      <c r="Q133" s="312">
        <f t="shared" si="45"/>
        <v>510000</v>
      </c>
      <c r="R133" s="302">
        <f t="shared" si="45"/>
        <v>510000</v>
      </c>
      <c r="S133" s="302">
        <f t="shared" si="45"/>
        <v>510000</v>
      </c>
      <c r="T133" s="302">
        <f t="shared" si="45"/>
        <v>0</v>
      </c>
      <c r="U133" s="303">
        <f t="shared" si="45"/>
        <v>0</v>
      </c>
      <c r="W133" s="17"/>
    </row>
    <row r="134" spans="1:23" ht="15.75" customHeight="1">
      <c r="A134" s="13"/>
      <c r="C134" s="17"/>
      <c r="E134" s="309" t="s">
        <v>47</v>
      </c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3">
        <f>P120+P130-P131</f>
        <v>96641.395694331382</v>
      </c>
      <c r="Q134" s="103">
        <f>Q120+Q130-Q131</f>
        <v>96673.397051308639</v>
      </c>
      <c r="R134" s="103">
        <f>R120+R130-R131</f>
        <v>27799.572035796271</v>
      </c>
      <c r="S134" s="103">
        <f>S120+S130-S131</f>
        <v>33531.019587330797</v>
      </c>
      <c r="T134" s="103">
        <f>T120+T130-T131</f>
        <v>631323.21299321484</v>
      </c>
      <c r="U134" s="267">
        <f t="shared" ref="U134" si="46">U120+U130-U131</f>
        <v>503692.88864153862</v>
      </c>
      <c r="W134" s="17"/>
    </row>
    <row r="135" spans="1:23" ht="14">
      <c r="A135" s="13"/>
      <c r="C135" s="17"/>
      <c r="E135" s="307" t="s">
        <v>16</v>
      </c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310">
        <f t="shared" ref="P135:U135" si="47">SUM(P133:P134)</f>
        <v>606641.39569433138</v>
      </c>
      <c r="Q135" s="310">
        <f t="shared" si="47"/>
        <v>606673.39705130865</v>
      </c>
      <c r="R135" s="310">
        <f t="shared" si="47"/>
        <v>537799.57203579624</v>
      </c>
      <c r="S135" s="310">
        <f t="shared" si="47"/>
        <v>543531.01958733075</v>
      </c>
      <c r="T135" s="310">
        <f t="shared" si="47"/>
        <v>631323.21299321484</v>
      </c>
      <c r="U135" s="311">
        <f t="shared" si="47"/>
        <v>503692.88864153862</v>
      </c>
      <c r="W135" s="17"/>
    </row>
    <row r="136" spans="1:23" ht="14">
      <c r="A136" s="13"/>
      <c r="C136" s="17"/>
      <c r="E136" s="6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67"/>
      <c r="Q136" s="67"/>
      <c r="R136" s="67"/>
      <c r="S136" s="67"/>
      <c r="T136" s="67"/>
      <c r="U136" s="67"/>
      <c r="W136" s="17"/>
    </row>
    <row r="137" spans="1:23" ht="15.75" customHeight="1">
      <c r="A137" s="13"/>
      <c r="C137" s="17"/>
      <c r="E137" s="108">
        <f>E123+1</f>
        <v>5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97"/>
      <c r="Q137" s="97"/>
      <c r="R137" s="30"/>
      <c r="S137" s="30"/>
      <c r="T137" s="30"/>
      <c r="U137" s="30"/>
      <c r="W137" s="17"/>
    </row>
    <row r="138" spans="1:23" ht="14">
      <c r="A138" s="13"/>
      <c r="C138" s="17"/>
      <c r="E138" s="98" t="s">
        <v>48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90">
        <f>($I$8*$U$9)*$U$11*$U$16</f>
        <v>337500</v>
      </c>
      <c r="Q138" s="90">
        <f>IF($U$19=E137,($I$8*$U$9)*$U$11*$I$13*$U$16,($I$8*$U$9)*$U$11*$U$16)</f>
        <v>337500</v>
      </c>
      <c r="R138" s="90">
        <f>($I$8*$U$9)*$U$11*$U$16</f>
        <v>337500</v>
      </c>
      <c r="S138" s="90">
        <f>IF(E137&lt;$U$19,(($I$8*$U$9)-$I$47)*($U$11*(1+$I$48))*$U$16,($I$8*$U$9)*$U$11*$U$16)</f>
        <v>337500</v>
      </c>
      <c r="T138" s="90">
        <f>IF(E137&gt;$U$19,($I$8*$U$9)*$U$11*$U$16,0)</f>
        <v>337500</v>
      </c>
      <c r="U138" s="90">
        <v>0</v>
      </c>
      <c r="W138" s="17"/>
    </row>
    <row r="139" spans="1:23" ht="15.75" customHeight="1">
      <c r="A139" s="13"/>
      <c r="C139" s="17"/>
      <c r="E139" s="98" t="s">
        <v>207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90">
        <v>0</v>
      </c>
      <c r="Q139" s="89">
        <f>IF(AND($E$137&lt;$U$19,$I$19=1),$U$38,0)</f>
        <v>0</v>
      </c>
      <c r="R139" s="89">
        <f>IF(AND($E$137&lt;$U$19,$I$19=1),$U$38,0)</f>
        <v>0</v>
      </c>
      <c r="S139" s="89">
        <f>IF(AND($E$137&lt;$U$19,$I$19=1),$U$38,0)</f>
        <v>0</v>
      </c>
      <c r="T139" s="89">
        <f>IF(AND($E$137&lt;$U$19,$I$19=1, T138&lt;&gt;0),$U$38,0)</f>
        <v>0</v>
      </c>
      <c r="U139" s="89">
        <f>IF(AND($I$19=1, U138&lt;&gt;0),$U$38,0)</f>
        <v>0</v>
      </c>
      <c r="W139" s="17"/>
    </row>
    <row r="140" spans="1:23" ht="14">
      <c r="C140" s="17"/>
      <c r="E140" s="16" t="s">
        <v>54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93">
        <f>-IF($I$19=1, ($I$12*$I$8)+U33, $I$12*$I$8)</f>
        <v>-306832.6335</v>
      </c>
      <c r="Q140" s="93">
        <f>-IF($I$19=1, ($I$12*$I$8)+U33, $I$12*$I$8)</f>
        <v>-306832.6335</v>
      </c>
      <c r="R140" s="94">
        <f>IF($AB45&gt;0,-(($I$8*$I$12)+($AB$18*$I$29*$I$8)),-($I$8*$I$12)) - IF(I19 = 1, U33, 0)</f>
        <v>-306832.6335</v>
      </c>
      <c r="S140" s="94">
        <f>-(IF($AB$20&gt;0,(($I$8*$I$12)+($AA$18*$I$45*$I$8)),($I$8*$I$12))) - IF(I19 = 1, U33, 0)</f>
        <v>-306832.6335</v>
      </c>
      <c r="T140" s="94">
        <f>IF(T138=0,-$I$55,-($I$8*$I$12 +  IF($I$19 = 1, U33, 0)))</f>
        <v>-306832.6335</v>
      </c>
      <c r="U140" s="94">
        <f>-$I$55</f>
        <v>-5000</v>
      </c>
      <c r="W140" s="17"/>
    </row>
    <row r="141" spans="1:23" ht="14">
      <c r="C141" s="17"/>
      <c r="E141" s="91" t="s">
        <v>58</v>
      </c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4">
        <f>IF(P134&gt;0,P134*$I$16,P134*$I$15)</f>
        <v>1208.0174461791423</v>
      </c>
      <c r="Q141" s="94">
        <f>IF(Q134&gt;0,Q134*$I$16,Q134*$I$15)</f>
        <v>1208.417463141358</v>
      </c>
      <c r="R141" s="94">
        <f>IF(R134&gt;0,R134*$I$16,R134*$I$15)</f>
        <v>347.49465044745341</v>
      </c>
      <c r="S141" s="94">
        <f>IF(S134&gt;0,S134*$I$16,S134*$I$15)</f>
        <v>419.13774484163497</v>
      </c>
      <c r="T141" s="94">
        <f>IF(T134&gt;0,T134*$I$16,T134*$I$15)</f>
        <v>7891.5401624151855</v>
      </c>
      <c r="U141" s="94">
        <f t="shared" ref="U141" si="48">IF(U134&gt;0,U134*$I$16,U134*$I$15)</f>
        <v>6296.1611080192333</v>
      </c>
      <c r="W141" s="17"/>
    </row>
    <row r="142" spans="1:23" ht="14">
      <c r="C142" s="17"/>
      <c r="E142" s="235" t="s">
        <v>49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90">
        <f>SUM(P138:P141)</f>
        <v>31875.383946179147</v>
      </c>
      <c r="Q142" s="90">
        <f>SUM(Q138:Q141)</f>
        <v>31875.783963141363</v>
      </c>
      <c r="R142" s="90">
        <f>SUM(R138:R141)</f>
        <v>31014.861150447457</v>
      </c>
      <c r="S142" s="90">
        <f>SUM(S138:S141)</f>
        <v>31086.504244841639</v>
      </c>
      <c r="T142" s="90">
        <f>SUM(T138:T141)</f>
        <v>38558.906662415189</v>
      </c>
      <c r="U142" s="90">
        <f t="shared" ref="U142" si="49">SUM(U138:U141)</f>
        <v>1296.1611080192333</v>
      </c>
      <c r="W142" s="17"/>
    </row>
    <row r="143" spans="1:23" ht="14">
      <c r="C143" s="17"/>
      <c r="E143" s="91" t="s">
        <v>33</v>
      </c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5">
        <f>IF(P142&gt;0,P142*(0.124+0.15+0.04),0)</f>
        <v>10008.870559100253</v>
      </c>
      <c r="Q143" s="95">
        <f>IF(Q142&gt;0,Q142*(0.124+0.15+0.04),0)</f>
        <v>10008.996164426388</v>
      </c>
      <c r="R143" s="95">
        <f>IF(R142&gt;0,R142*(0.124+0.15+0.04),0)</f>
        <v>9738.6664012405017</v>
      </c>
      <c r="S143" s="95">
        <f>IF(S142&gt;0,S142*(0.124+0.15+0.04),0)</f>
        <v>9761.1623328802743</v>
      </c>
      <c r="T143" s="95">
        <f>IF(T142&gt;0,T142*(0.124+0.15+0.04),0)</f>
        <v>12107.496691998369</v>
      </c>
      <c r="U143" s="95">
        <f t="shared" ref="U143" si="50">IF(U142&gt;0,U142*(0.124+0.15+0.04),0)</f>
        <v>406.99458791803926</v>
      </c>
      <c r="W143" s="17"/>
    </row>
    <row r="144" spans="1:23" ht="14">
      <c r="C144" s="17"/>
      <c r="E144" s="96" t="s">
        <v>34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97">
        <f t="shared" ref="P144:U144" si="51">P142-P143</f>
        <v>21866.513387078892</v>
      </c>
      <c r="Q144" s="97">
        <f t="shared" si="51"/>
        <v>21866.787798714977</v>
      </c>
      <c r="R144" s="97">
        <f t="shared" si="51"/>
        <v>21276.194749206956</v>
      </c>
      <c r="S144" s="97">
        <f t="shared" si="51"/>
        <v>21325.341911961365</v>
      </c>
      <c r="T144" s="97">
        <f t="shared" si="51"/>
        <v>26451.409970416818</v>
      </c>
      <c r="U144" s="97">
        <f t="shared" si="51"/>
        <v>889.16652010119401</v>
      </c>
      <c r="W144" s="17"/>
    </row>
    <row r="145" spans="3:23" ht="14">
      <c r="C145" s="17"/>
      <c r="E145" s="96" t="s">
        <v>55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90">
        <v>0</v>
      </c>
      <c r="Q145" s="90">
        <v>0</v>
      </c>
      <c r="R145" s="90">
        <v>0</v>
      </c>
      <c r="S145" s="90">
        <v>0</v>
      </c>
      <c r="T145" s="90">
        <f>IF(E137=$U$19,$I$8*$I$58,0)</f>
        <v>0</v>
      </c>
      <c r="U145" s="90">
        <v>0</v>
      </c>
      <c r="W145" s="17"/>
    </row>
    <row r="146" spans="3:23" ht="14">
      <c r="C146" s="17"/>
      <c r="E146" s="305" t="s">
        <v>59</v>
      </c>
      <c r="F146" s="261"/>
      <c r="G146" s="261"/>
      <c r="H146" s="261"/>
      <c r="I146" s="261"/>
      <c r="J146" s="261"/>
      <c r="K146" s="261"/>
      <c r="L146" s="261"/>
      <c r="M146" s="261"/>
      <c r="N146" s="304"/>
      <c r="O146" s="17"/>
      <c r="P146" s="137"/>
      <c r="Q146" s="137"/>
      <c r="R146" s="70"/>
      <c r="S146" s="70"/>
      <c r="T146" s="70"/>
      <c r="U146" s="70"/>
      <c r="W146" s="17"/>
    </row>
    <row r="147" spans="3:23" ht="14">
      <c r="C147" s="17"/>
      <c r="E147" s="308" t="s">
        <v>0</v>
      </c>
      <c r="F147" s="86"/>
      <c r="G147" s="86"/>
      <c r="H147" s="86"/>
      <c r="I147" s="86"/>
      <c r="J147" s="86"/>
      <c r="K147" s="86"/>
      <c r="L147" s="86"/>
      <c r="M147" s="86"/>
      <c r="N147" s="86"/>
      <c r="O147" s="261"/>
      <c r="P147" s="312">
        <f t="shared" ref="P147:U147" si="52">P133+P145</f>
        <v>510000</v>
      </c>
      <c r="Q147" s="312">
        <f t="shared" si="52"/>
        <v>510000</v>
      </c>
      <c r="R147" s="302">
        <f t="shared" si="52"/>
        <v>510000</v>
      </c>
      <c r="S147" s="302">
        <f t="shared" si="52"/>
        <v>510000</v>
      </c>
      <c r="T147" s="302">
        <f t="shared" si="52"/>
        <v>0</v>
      </c>
      <c r="U147" s="303">
        <f t="shared" si="52"/>
        <v>0</v>
      </c>
      <c r="W147" s="17"/>
    </row>
    <row r="148" spans="3:23" ht="14">
      <c r="C148" s="17"/>
      <c r="E148" s="309" t="s">
        <v>47</v>
      </c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3">
        <f>P134+P144-P145</f>
        <v>118507.90908141027</v>
      </c>
      <c r="Q148" s="103">
        <f>Q134+Q144-Q145</f>
        <v>118540.18485002362</v>
      </c>
      <c r="R148" s="103">
        <f>R134+R144-R145</f>
        <v>49075.76678500323</v>
      </c>
      <c r="S148" s="103">
        <f>S134+S144-S145</f>
        <v>54856.361499292165</v>
      </c>
      <c r="T148" s="103">
        <f>T134+T144-T145</f>
        <v>657774.62296363164</v>
      </c>
      <c r="U148" s="267">
        <f t="shared" ref="U148" si="53">U134+U144-U145</f>
        <v>504582.05516163982</v>
      </c>
      <c r="W148" s="17"/>
    </row>
    <row r="149" spans="3:23" ht="14">
      <c r="C149" s="17"/>
      <c r="E149" s="307" t="s">
        <v>16</v>
      </c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310">
        <f>SUM(P147:P148)</f>
        <v>628507.90908141027</v>
      </c>
      <c r="Q149" s="310">
        <f t="shared" ref="Q149:U149" si="54">SUM(Q147:Q148)</f>
        <v>628540.18485002359</v>
      </c>
      <c r="R149" s="310">
        <f t="shared" si="54"/>
        <v>559075.76678500324</v>
      </c>
      <c r="S149" s="310">
        <f t="shared" si="54"/>
        <v>564856.36149929219</v>
      </c>
      <c r="T149" s="310">
        <f t="shared" si="54"/>
        <v>657774.62296363164</v>
      </c>
      <c r="U149" s="311">
        <f t="shared" si="54"/>
        <v>504582.05516163982</v>
      </c>
      <c r="W149" s="17"/>
    </row>
    <row r="150" spans="3:23" ht="14">
      <c r="C150" s="29"/>
      <c r="E150" s="6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67"/>
      <c r="Q150" s="67"/>
      <c r="R150" s="67"/>
      <c r="S150" s="67"/>
      <c r="T150" s="67"/>
      <c r="U150" s="67"/>
      <c r="W150" s="17"/>
    </row>
    <row r="151" spans="3:23" ht="14">
      <c r="C151" s="29"/>
      <c r="E151" s="317" t="s">
        <v>106</v>
      </c>
      <c r="F151" s="318"/>
      <c r="G151" s="318"/>
      <c r="H151" s="318"/>
      <c r="I151" s="318"/>
      <c r="J151" s="318"/>
      <c r="K151" s="318"/>
      <c r="L151" s="318"/>
      <c r="M151" s="318"/>
      <c r="N151" s="319"/>
      <c r="O151" s="17"/>
      <c r="P151" s="70"/>
      <c r="Q151" s="70"/>
      <c r="R151" s="70"/>
      <c r="S151" s="70"/>
      <c r="T151" s="70"/>
      <c r="U151" s="70"/>
      <c r="W151" s="17"/>
    </row>
    <row r="152" spans="3:23" ht="14">
      <c r="C152" s="29"/>
      <c r="E152" s="314" t="s">
        <v>56</v>
      </c>
      <c r="F152" s="105"/>
      <c r="G152" s="105"/>
      <c r="H152" s="105"/>
      <c r="I152" s="105"/>
      <c r="J152" s="105"/>
      <c r="K152" s="105"/>
      <c r="L152" s="105"/>
      <c r="M152" s="105"/>
      <c r="N152" s="105"/>
      <c r="O152" s="318"/>
      <c r="P152" s="322">
        <f t="shared" ref="P152:U152" si="55">P149-P78</f>
        <v>113820.40908141027</v>
      </c>
      <c r="Q152" s="322">
        <f t="shared" si="55"/>
        <v>113852.68485002359</v>
      </c>
      <c r="R152" s="322">
        <f t="shared" si="55"/>
        <v>44388.266785003245</v>
      </c>
      <c r="S152" s="322">
        <f t="shared" si="55"/>
        <v>50168.861499292194</v>
      </c>
      <c r="T152" s="322">
        <f t="shared" si="55"/>
        <v>143087.12296363164</v>
      </c>
      <c r="U152" s="323">
        <f t="shared" si="55"/>
        <v>-10105.444838360185</v>
      </c>
      <c r="W152" s="17"/>
    </row>
    <row r="153" spans="3:23" ht="14">
      <c r="C153" s="29"/>
      <c r="E153" s="315" t="s">
        <v>57</v>
      </c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20">
        <f t="shared" ref="P153:U153" si="56">P152/$I$8</f>
        <v>189.70068180235046</v>
      </c>
      <c r="Q153" s="320">
        <f t="shared" si="56"/>
        <v>189.75447475003932</v>
      </c>
      <c r="R153" s="320">
        <f t="shared" si="56"/>
        <v>73.980444641672079</v>
      </c>
      <c r="S153" s="320">
        <f t="shared" si="56"/>
        <v>83.61476916548699</v>
      </c>
      <c r="T153" s="320">
        <f t="shared" si="56"/>
        <v>238.47853827271939</v>
      </c>
      <c r="U153" s="321">
        <f t="shared" si="56"/>
        <v>-16.842408063933643</v>
      </c>
      <c r="W153" s="17"/>
    </row>
    <row r="154" spans="3:23" ht="14">
      <c r="C154" s="29"/>
      <c r="D154" s="17"/>
      <c r="E154" s="13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7"/>
      <c r="Q154" s="137"/>
      <c r="R154" s="138"/>
      <c r="S154" s="138"/>
      <c r="T154" s="13"/>
      <c r="U154" s="138"/>
      <c r="W154" s="17"/>
    </row>
    <row r="155" spans="3:23" ht="14">
      <c r="C155" s="29"/>
      <c r="D155" s="29" t="s">
        <v>201</v>
      </c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P155" s="66"/>
      <c r="Q155" s="66"/>
      <c r="R155" s="58"/>
      <c r="S155" s="58"/>
      <c r="U155" s="58"/>
      <c r="W155" s="17"/>
    </row>
    <row r="156" spans="3:23" ht="14">
      <c r="C156" s="29"/>
      <c r="D156" s="29"/>
      <c r="E156" s="65"/>
      <c r="P156" s="66"/>
      <c r="Q156" s="66"/>
      <c r="R156" s="58"/>
      <c r="S156" s="58"/>
      <c r="U156" s="58"/>
      <c r="W156" s="17"/>
    </row>
    <row r="157" spans="3:23" ht="14">
      <c r="C157" s="29"/>
      <c r="D157" s="29"/>
      <c r="E157" s="419" t="s">
        <v>35</v>
      </c>
      <c r="F157" s="189"/>
      <c r="G157" s="189"/>
      <c r="H157" s="189"/>
      <c r="I157" s="189"/>
      <c r="J157" s="189"/>
      <c r="K157" s="189"/>
      <c r="L157" s="189"/>
      <c r="M157" s="189"/>
      <c r="N157" s="420"/>
      <c r="O157" s="17"/>
      <c r="P157" s="136"/>
      <c r="Q157" s="136"/>
      <c r="R157" s="109"/>
      <c r="S157" s="109"/>
      <c r="T157" s="109"/>
      <c r="U157" s="109"/>
      <c r="W157" s="17"/>
    </row>
    <row r="158" spans="3:23" ht="14">
      <c r="C158" s="29"/>
      <c r="D158" s="29"/>
      <c r="E158" s="421" t="s">
        <v>0</v>
      </c>
      <c r="F158" s="191"/>
      <c r="G158" s="191"/>
      <c r="H158" s="191"/>
      <c r="I158" s="191"/>
      <c r="J158" s="191"/>
      <c r="K158" s="191"/>
      <c r="L158" s="191"/>
      <c r="M158" s="191"/>
      <c r="N158" s="191"/>
      <c r="O158" s="189"/>
      <c r="P158" s="422">
        <f>$I$8*$I$10</f>
        <v>510000</v>
      </c>
      <c r="Q158" s="422">
        <f>$I$8*$I$10</f>
        <v>510000</v>
      </c>
      <c r="R158" s="422">
        <f>$I$8*$I$10</f>
        <v>510000</v>
      </c>
      <c r="S158" s="422">
        <f>$I$8*$I$10</f>
        <v>510000</v>
      </c>
      <c r="T158" s="422">
        <f t="shared" ref="T158:U158" si="57">$I$8*$I$10</f>
        <v>510000</v>
      </c>
      <c r="U158" s="423">
        <f t="shared" si="57"/>
        <v>510000</v>
      </c>
      <c r="W158" s="17"/>
    </row>
    <row r="159" spans="3:23" ht="14">
      <c r="C159" s="29"/>
      <c r="D159" s="29"/>
      <c r="E159" s="421" t="s">
        <v>2</v>
      </c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424">
        <f t="shared" ref="P159:U159" si="58">$U$9*$I8*$U$10*$U$13</f>
        <v>244687.5</v>
      </c>
      <c r="Q159" s="424">
        <f t="shared" si="58"/>
        <v>244687.5</v>
      </c>
      <c r="R159" s="424">
        <f t="shared" si="58"/>
        <v>244687.5</v>
      </c>
      <c r="S159" s="424">
        <f t="shared" si="58"/>
        <v>244687.5</v>
      </c>
      <c r="T159" s="424">
        <f t="shared" si="58"/>
        <v>244687.5</v>
      </c>
      <c r="U159" s="425">
        <f t="shared" si="58"/>
        <v>244687.5</v>
      </c>
      <c r="W159" s="17"/>
    </row>
    <row r="160" spans="3:23" ht="14">
      <c r="C160" s="29"/>
      <c r="D160" s="29"/>
      <c r="E160" s="421" t="s">
        <v>47</v>
      </c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424">
        <f>-(($I$8*$I$12)-($I$8*$I$54))</f>
        <v>-240000</v>
      </c>
      <c r="Q160" s="424">
        <f t="shared" ref="Q160:U160" si="59">-(($I$8*$I$12)-($I$8*$I$54))</f>
        <v>-240000</v>
      </c>
      <c r="R160" s="424">
        <f t="shared" si="59"/>
        <v>-240000</v>
      </c>
      <c r="S160" s="424">
        <f t="shared" si="59"/>
        <v>-240000</v>
      </c>
      <c r="T160" s="424">
        <f t="shared" si="59"/>
        <v>-240000</v>
      </c>
      <c r="U160" s="425">
        <f t="shared" si="59"/>
        <v>-240000</v>
      </c>
      <c r="W160" s="29"/>
    </row>
    <row r="161" spans="3:23" ht="14">
      <c r="C161" s="29"/>
      <c r="D161" s="29"/>
      <c r="E161" s="307" t="s">
        <v>16</v>
      </c>
      <c r="F161" s="263"/>
      <c r="G161" s="263"/>
      <c r="H161" s="263"/>
      <c r="I161" s="264"/>
      <c r="J161" s="264"/>
      <c r="K161" s="264"/>
      <c r="L161" s="264"/>
      <c r="M161" s="264"/>
      <c r="N161" s="264"/>
      <c r="O161" s="264"/>
      <c r="P161" s="265">
        <f t="shared" ref="P161:U161" si="60">SUM(P158:P160)</f>
        <v>514687.5</v>
      </c>
      <c r="Q161" s="265">
        <f t="shared" si="60"/>
        <v>514687.5</v>
      </c>
      <c r="R161" s="265">
        <f t="shared" si="60"/>
        <v>514687.5</v>
      </c>
      <c r="S161" s="265">
        <f t="shared" si="60"/>
        <v>514687.5</v>
      </c>
      <c r="T161" s="265">
        <f t="shared" si="60"/>
        <v>514687.5</v>
      </c>
      <c r="U161" s="266">
        <f t="shared" si="60"/>
        <v>514687.5</v>
      </c>
      <c r="W161" s="29"/>
    </row>
    <row r="162" spans="3:23" ht="14">
      <c r="C162" s="29"/>
      <c r="D162" s="29"/>
      <c r="E162" s="6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67"/>
      <c r="Q162" s="67"/>
      <c r="R162" s="67"/>
      <c r="S162" s="67"/>
      <c r="T162" s="67"/>
      <c r="U162" s="67"/>
      <c r="W162" s="29"/>
    </row>
    <row r="163" spans="3:23" ht="14">
      <c r="C163" s="29"/>
      <c r="D163" s="29"/>
      <c r="E163" s="108">
        <f>I22</f>
        <v>1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88"/>
      <c r="Q163" s="88"/>
      <c r="R163" s="67"/>
      <c r="S163" s="67"/>
      <c r="T163" s="67"/>
      <c r="U163" s="67"/>
      <c r="W163" s="29"/>
    </row>
    <row r="164" spans="3:23" ht="14">
      <c r="C164" s="29"/>
      <c r="D164" s="29"/>
      <c r="E164" s="16" t="s">
        <v>48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89">
        <f>($I$8*$U$9)*$U$11*$U$14</f>
        <v>353700</v>
      </c>
      <c r="Q164" s="89">
        <f>IF($I$22=E163,($I$8*$U$9)*$V$11*$U$14,($I$8*$U$9)*$U$11*$U$14)</f>
        <v>315088.57764071354</v>
      </c>
      <c r="R164" s="90">
        <f>($I$8*$U$9)*$U$11*$U$14</f>
        <v>353700</v>
      </c>
      <c r="S164" s="90">
        <f>IF(E80&lt;$U$19,(($I$8*$U$9)-$I$47)*($U$11*(1+$I$48))*$U$14,($I$8*$U$9)*$U$11*$U$14)</f>
        <v>353700</v>
      </c>
      <c r="T164" s="90">
        <f>AC44</f>
        <v>306675</v>
      </c>
      <c r="U164" s="90">
        <f>AC44</f>
        <v>306675</v>
      </c>
      <c r="W164" s="29"/>
    </row>
    <row r="165" spans="3:23" ht="14">
      <c r="C165" s="29"/>
      <c r="D165" s="29"/>
      <c r="E165" s="16" t="s">
        <v>206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89">
        <v>0</v>
      </c>
      <c r="Q165" s="89">
        <f>IF($I$19=1,0,$U$34)</f>
        <v>0</v>
      </c>
      <c r="R165" s="89">
        <f>IF($I$19=1,0,$U$34)</f>
        <v>0</v>
      </c>
      <c r="S165" s="89">
        <f>IF($I$19=1,0,$U$34)</f>
        <v>0</v>
      </c>
      <c r="T165" s="89">
        <f>IF($I$19=1,0,$U$34)</f>
        <v>0</v>
      </c>
      <c r="U165" s="89">
        <f>IF($I$19=1,0,$U$34)</f>
        <v>0</v>
      </c>
      <c r="W165" s="29"/>
    </row>
    <row r="166" spans="3:23" ht="14">
      <c r="C166" s="29"/>
      <c r="D166" s="29"/>
      <c r="E166" s="91" t="s">
        <v>212</v>
      </c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3">
        <f>-IF($I$19=1, $I$12*$I$8, ($I$12*$I$8)+U33)</f>
        <v>-300000</v>
      </c>
      <c r="Q166" s="93">
        <f>-IF($I$19=1, $I$12*$I$8, ($I$12*$I$8)+U33)</f>
        <v>-300000</v>
      </c>
      <c r="R166" s="94">
        <f>-IF(I19=1, (I8*I12)+(AB16*I29*I8),(I8*I12)+(AB16*I29*I8)+U33)</f>
        <v>-418800</v>
      </c>
      <c r="S166" s="94">
        <f>-IF(I19=1, ((I8*I12)+U51), ((I8*I12)+U51)+(U33))</f>
        <v>-413592.0789041096</v>
      </c>
      <c r="T166" s="94">
        <f>-IF(I19 = 1, (I8*(I12-I54)), (I8*(I12-I54))+(U33))</f>
        <v>-240000</v>
      </c>
      <c r="U166" s="94">
        <f>-IF(I19 = 1, I8*(I12-I54), I8*(I12-I54)+U33)</f>
        <v>-240000</v>
      </c>
      <c r="W166" s="29"/>
    </row>
    <row r="167" spans="3:23" ht="14">
      <c r="C167" s="29"/>
      <c r="D167" s="29"/>
      <c r="E167" s="235" t="s">
        <v>49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90">
        <f t="shared" ref="P167:U167" si="61">SUM(P164:P166)</f>
        <v>53700</v>
      </c>
      <c r="Q167" s="90">
        <f t="shared" si="61"/>
        <v>15088.577640713542</v>
      </c>
      <c r="R167" s="90">
        <f t="shared" si="61"/>
        <v>-65100</v>
      </c>
      <c r="S167" s="90">
        <f t="shared" si="61"/>
        <v>-59892.0789041096</v>
      </c>
      <c r="T167" s="90">
        <f t="shared" si="61"/>
        <v>66675</v>
      </c>
      <c r="U167" s="90">
        <f t="shared" si="61"/>
        <v>66675</v>
      </c>
      <c r="W167" s="29"/>
    </row>
    <row r="168" spans="3:23" ht="14">
      <c r="C168" s="29"/>
      <c r="D168" s="29"/>
      <c r="E168" s="91" t="s">
        <v>33</v>
      </c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5">
        <f t="shared" ref="P168:U168" si="62">IF(P167&gt;0,P167*(0.124+0.15+0.04),0)</f>
        <v>16861.8</v>
      </c>
      <c r="Q168" s="95">
        <f t="shared" si="62"/>
        <v>4737.8133791840519</v>
      </c>
      <c r="R168" s="95">
        <f t="shared" si="62"/>
        <v>0</v>
      </c>
      <c r="S168" s="95">
        <f t="shared" si="62"/>
        <v>0</v>
      </c>
      <c r="T168" s="95">
        <f t="shared" si="62"/>
        <v>20935.95</v>
      </c>
      <c r="U168" s="95">
        <f t="shared" si="62"/>
        <v>20935.95</v>
      </c>
      <c r="W168" s="29"/>
    </row>
    <row r="169" spans="3:23" ht="14">
      <c r="E169" s="96" t="s">
        <v>34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97">
        <f t="shared" ref="P169:U169" si="63">P167-P168</f>
        <v>36838.199999999997</v>
      </c>
      <c r="Q169" s="97">
        <f t="shared" si="63"/>
        <v>10350.76426152949</v>
      </c>
      <c r="R169" s="97">
        <f t="shared" si="63"/>
        <v>-65100</v>
      </c>
      <c r="S169" s="97">
        <f t="shared" si="63"/>
        <v>-59892.0789041096</v>
      </c>
      <c r="T169" s="97">
        <f t="shared" si="63"/>
        <v>45739.05</v>
      </c>
      <c r="U169" s="97">
        <f t="shared" si="63"/>
        <v>45739.05</v>
      </c>
      <c r="W169" s="29"/>
    </row>
    <row r="170" spans="3:23" ht="14">
      <c r="E170" s="98" t="s">
        <v>50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99">
        <v>0</v>
      </c>
      <c r="Q170" s="99">
        <v>0</v>
      </c>
      <c r="R170" s="100">
        <v>0</v>
      </c>
      <c r="S170" s="100">
        <v>0</v>
      </c>
      <c r="T170" s="100">
        <f>I8*I10</f>
        <v>510000</v>
      </c>
      <c r="U170" s="100">
        <f>I8*I10</f>
        <v>510000</v>
      </c>
      <c r="W170" s="29"/>
    </row>
    <row r="171" spans="3:23" ht="14">
      <c r="E171" s="101" t="s">
        <v>37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99">
        <v>0</v>
      </c>
      <c r="Q171" s="99">
        <v>0</v>
      </c>
      <c r="R171" s="100">
        <v>0</v>
      </c>
      <c r="S171" s="30">
        <v>0</v>
      </c>
      <c r="T171" s="100">
        <v>0</v>
      </c>
      <c r="U171" s="100">
        <f>(I8*(I10-I17))*0.15</f>
        <v>76500</v>
      </c>
      <c r="W171" s="29"/>
    </row>
    <row r="172" spans="3:23" ht="14">
      <c r="E172" s="419" t="s">
        <v>59</v>
      </c>
      <c r="F172" s="189"/>
      <c r="G172" s="189"/>
      <c r="H172" s="189"/>
      <c r="I172" s="189"/>
      <c r="J172" s="189"/>
      <c r="K172" s="189"/>
      <c r="L172" s="189"/>
      <c r="M172" s="189"/>
      <c r="N172" s="420"/>
      <c r="O172" s="17"/>
      <c r="P172" s="137"/>
      <c r="Q172" s="137"/>
      <c r="R172" s="70"/>
      <c r="S172" s="70"/>
      <c r="T172" s="70"/>
      <c r="U172" s="70"/>
      <c r="W172" s="29"/>
    </row>
    <row r="173" spans="3:23" ht="14">
      <c r="E173" s="426" t="s">
        <v>0</v>
      </c>
      <c r="F173" s="191"/>
      <c r="G173" s="191"/>
      <c r="H173" s="191"/>
      <c r="I173" s="191"/>
      <c r="J173" s="191"/>
      <c r="K173" s="191"/>
      <c r="L173" s="191"/>
      <c r="M173" s="191"/>
      <c r="N173" s="191"/>
      <c r="O173" s="189"/>
      <c r="P173" s="422">
        <f>P158-P170</f>
        <v>510000</v>
      </c>
      <c r="Q173" s="422">
        <f t="shared" ref="Q173:U173" si="64">Q158-Q170</f>
        <v>510000</v>
      </c>
      <c r="R173" s="422">
        <f t="shared" si="64"/>
        <v>510000</v>
      </c>
      <c r="S173" s="422">
        <f t="shared" si="64"/>
        <v>510000</v>
      </c>
      <c r="T173" s="422">
        <f t="shared" si="64"/>
        <v>0</v>
      </c>
      <c r="U173" s="423">
        <f t="shared" si="64"/>
        <v>0</v>
      </c>
      <c r="W173" s="29"/>
    </row>
    <row r="174" spans="3:23" ht="14">
      <c r="E174" s="427" t="s">
        <v>47</v>
      </c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424">
        <f>P169+P170-P171</f>
        <v>36838.199999999997</v>
      </c>
      <c r="Q174" s="424">
        <f t="shared" ref="Q174:U174" si="65">Q169+Q170-Q171</f>
        <v>10350.76426152949</v>
      </c>
      <c r="R174" s="424">
        <f t="shared" si="65"/>
        <v>-65100</v>
      </c>
      <c r="S174" s="424">
        <f t="shared" si="65"/>
        <v>-59892.0789041096</v>
      </c>
      <c r="T174" s="424">
        <f t="shared" si="65"/>
        <v>555739.05000000005</v>
      </c>
      <c r="U174" s="425">
        <f t="shared" si="65"/>
        <v>479239.05000000005</v>
      </c>
      <c r="W174" s="29"/>
    </row>
    <row r="175" spans="3:23" ht="14">
      <c r="E175" s="307" t="s">
        <v>16</v>
      </c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5">
        <f>SUM(P173:P174)</f>
        <v>546838.19999999995</v>
      </c>
      <c r="Q175" s="265">
        <f>SUM(Q173:Q174)</f>
        <v>520350.76426152949</v>
      </c>
      <c r="R175" s="265">
        <f>SUM(R173:R174)</f>
        <v>444900</v>
      </c>
      <c r="S175" s="265">
        <f t="shared" ref="S175" si="66">SUM(S173:S174)</f>
        <v>450107.9210958904</v>
      </c>
      <c r="T175" s="265">
        <f>SUM(T173:T174)</f>
        <v>555739.05000000005</v>
      </c>
      <c r="U175" s="266">
        <f>SUM(U173:U174)</f>
        <v>479239.05000000005</v>
      </c>
      <c r="W175" s="29"/>
    </row>
    <row r="176" spans="3:23" ht="14">
      <c r="E176" s="6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67"/>
      <c r="Q176" s="67"/>
      <c r="R176" s="67"/>
      <c r="S176" s="67"/>
      <c r="T176" s="67"/>
      <c r="U176" s="67"/>
      <c r="W176" s="29"/>
    </row>
    <row r="177" spans="5:23" ht="14">
      <c r="E177" s="108">
        <f>E163+1</f>
        <v>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67"/>
      <c r="Q177" s="67"/>
      <c r="R177" s="67"/>
      <c r="S177" s="67"/>
      <c r="T177" s="67"/>
      <c r="U177" s="67"/>
      <c r="W177" s="29"/>
    </row>
    <row r="178" spans="5:23" ht="14">
      <c r="E178" s="98" t="s">
        <v>48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90">
        <f>($I$8*$U$9)*$U$11*$U$15</f>
        <v>337500</v>
      </c>
      <c r="Q178" s="90">
        <f>IF($E$94&lt;$U$19,($I$8*$U$9)*$U$11*0.9*$U$15,($I$8*$U$9)*$U$11*$U$15)</f>
        <v>337500</v>
      </c>
      <c r="R178" s="90">
        <f>($I$8*$U$9)*$U$11*$U$15</f>
        <v>337500</v>
      </c>
      <c r="S178" s="90">
        <f>IF(E177&lt;$U$19,(($I$8*$U$9)-$I$47)*($U$11*(1+$I$48))*$U$15,($I$8*$U$9)*$U$11*$U$15)</f>
        <v>337500</v>
      </c>
      <c r="T178" s="90">
        <f>IF(E177&gt;$U$19,($E$8*$U$9)*$U$11*$U$15,0)</f>
        <v>0</v>
      </c>
      <c r="U178" s="90">
        <v>0</v>
      </c>
      <c r="W178" s="29"/>
    </row>
    <row r="179" spans="5:23" ht="14">
      <c r="E179" s="98" t="s">
        <v>207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90">
        <v>0</v>
      </c>
      <c r="Q179" s="89">
        <f>IF(AND($E$94&lt;$U$19,$I$19=1),$U$35,0)</f>
        <v>0</v>
      </c>
      <c r="R179" s="89">
        <f>IF(AND($E$94&lt;$U$19,$I$19=1),$U$35,0)</f>
        <v>0</v>
      </c>
      <c r="S179" s="89">
        <f>IF(AND($E$94&lt;$U$19,$I$19=1),$U$35,0)</f>
        <v>0</v>
      </c>
      <c r="T179" s="89">
        <f>IF(AND($I$19=1, T178&lt;&gt;0),$U$35,0)</f>
        <v>0</v>
      </c>
      <c r="U179" s="89">
        <f t="shared" ref="U179" si="67">IF($I$19=1,$U$35,0)</f>
        <v>0</v>
      </c>
    </row>
    <row r="180" spans="5:23" ht="14">
      <c r="E180" s="16" t="s">
        <v>54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93">
        <f>-IF($I$19=1, $I$12*$I$8, ($I$12*$I$8)+U33)</f>
        <v>-300000</v>
      </c>
      <c r="Q180" s="93">
        <f>-IF($I$19=1, $I$12*$I$8, ($I$12*$I$8)+U33)</f>
        <v>-300000</v>
      </c>
      <c r="R180" s="94">
        <f>-IF($AB17 &gt; 0, ($I$8*$I$12) + ($AB$17*$I$29*$I$8), ($I$8*$I$12)) - IF(I19 = 1, 0, U33)</f>
        <v>-300000</v>
      </c>
      <c r="S180" s="94">
        <f>-(IF($AB$17&gt;0,(($I$8*$I$12)+($AA$17*$I$45*$I$8)),($I$8*$I$12))) - IF(I19 = 1, 0, U33)</f>
        <v>-300000</v>
      </c>
      <c r="T180" s="94">
        <f>IF(T178=0,-$I$55,-($I$8*$I$12 +  IF($I$19 = 1, 0, U33)))</f>
        <v>-5000</v>
      </c>
      <c r="U180" s="94">
        <f>-$I$55</f>
        <v>-5000</v>
      </c>
    </row>
    <row r="181" spans="5:23" ht="14">
      <c r="E181" s="91" t="s">
        <v>58</v>
      </c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4">
        <f t="shared" ref="P181:U181" si="68">IF(P174&gt;0,P174*$I$16,P174*$I$15)</f>
        <v>460.47749999999996</v>
      </c>
      <c r="Q181" s="94">
        <f t="shared" si="68"/>
        <v>129.38455326911864</v>
      </c>
      <c r="R181" s="94">
        <f t="shared" si="68"/>
        <v>-4231.5</v>
      </c>
      <c r="S181" s="94">
        <f t="shared" si="68"/>
        <v>-3892.985128767124</v>
      </c>
      <c r="T181" s="94">
        <f t="shared" si="68"/>
        <v>6946.7381250000008</v>
      </c>
      <c r="U181" s="94">
        <f t="shared" si="68"/>
        <v>5990.4881250000008</v>
      </c>
    </row>
    <row r="182" spans="5:23" ht="14">
      <c r="E182" s="235" t="s">
        <v>49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90">
        <f t="shared" ref="P182:U182" si="69">SUM(P178:P181)</f>
        <v>37960.477500000001</v>
      </c>
      <c r="Q182" s="90">
        <f t="shared" si="69"/>
        <v>37629.384553269119</v>
      </c>
      <c r="R182" s="90">
        <f t="shared" si="69"/>
        <v>33268.5</v>
      </c>
      <c r="S182" s="90">
        <f t="shared" si="69"/>
        <v>33607.014871232874</v>
      </c>
      <c r="T182" s="90">
        <f t="shared" si="69"/>
        <v>1946.7381250000008</v>
      </c>
      <c r="U182" s="90">
        <f t="shared" si="69"/>
        <v>990.48812500000076</v>
      </c>
    </row>
    <row r="183" spans="5:23" ht="14">
      <c r="E183" s="91" t="s">
        <v>33</v>
      </c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5">
        <f t="shared" ref="P183:U183" si="70">IF(P182&gt;0,P182*(0.124+0.15+0.04),0)</f>
        <v>11919.589935</v>
      </c>
      <c r="Q183" s="95">
        <f t="shared" si="70"/>
        <v>11815.626749726503</v>
      </c>
      <c r="R183" s="95">
        <f t="shared" si="70"/>
        <v>10446.308999999999</v>
      </c>
      <c r="S183" s="95">
        <f t="shared" si="70"/>
        <v>10552.602669567123</v>
      </c>
      <c r="T183" s="95">
        <f t="shared" si="70"/>
        <v>611.27577125000028</v>
      </c>
      <c r="U183" s="95">
        <f t="shared" si="70"/>
        <v>311.01327125000023</v>
      </c>
    </row>
    <row r="184" spans="5:23" ht="14">
      <c r="E184" s="96" t="s">
        <v>34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97">
        <f>P182-P183</f>
        <v>26040.887565000001</v>
      </c>
      <c r="Q184" s="97">
        <f>Q182-Q183</f>
        <v>25813.757803542616</v>
      </c>
      <c r="R184" s="97">
        <f t="shared" ref="R184:S184" si="71">R182-R183</f>
        <v>22822.190999999999</v>
      </c>
      <c r="S184" s="102">
        <f t="shared" si="71"/>
        <v>23054.412201665749</v>
      </c>
      <c r="T184" s="97">
        <f>T182-T183</f>
        <v>1335.4623537500006</v>
      </c>
      <c r="U184" s="97">
        <f>U182-U183</f>
        <v>679.47485375000053</v>
      </c>
    </row>
    <row r="185" spans="5:23" ht="14">
      <c r="E185" s="96" t="s">
        <v>55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90">
        <v>0</v>
      </c>
      <c r="Q185" s="90">
        <v>0</v>
      </c>
      <c r="R185" s="90">
        <v>0</v>
      </c>
      <c r="S185" s="90">
        <v>0</v>
      </c>
      <c r="T185" s="90">
        <f>IF(E94=$U$19,$I$8*$I$58,0)</f>
        <v>0</v>
      </c>
      <c r="U185" s="90">
        <v>0</v>
      </c>
    </row>
    <row r="186" spans="5:23" ht="14">
      <c r="E186" s="9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90"/>
      <c r="Q186" s="90"/>
      <c r="R186" s="90"/>
      <c r="S186" s="90"/>
      <c r="T186" s="90"/>
      <c r="U186" s="90"/>
    </row>
    <row r="187" spans="5:23" ht="14">
      <c r="E187" s="419" t="s">
        <v>59</v>
      </c>
      <c r="F187" s="189"/>
      <c r="G187" s="189"/>
      <c r="H187" s="189"/>
      <c r="I187" s="189"/>
      <c r="J187" s="189"/>
      <c r="K187" s="189"/>
      <c r="L187" s="189"/>
      <c r="M187" s="189"/>
      <c r="N187" s="420"/>
      <c r="O187" s="17"/>
      <c r="P187" s="137"/>
      <c r="Q187" s="137"/>
      <c r="R187" s="70"/>
      <c r="S187" s="70"/>
      <c r="T187" s="70"/>
      <c r="U187" s="70"/>
    </row>
    <row r="188" spans="5:23" ht="14">
      <c r="E188" s="426" t="s">
        <v>0</v>
      </c>
      <c r="F188" s="191"/>
      <c r="G188" s="191"/>
      <c r="H188" s="191"/>
      <c r="I188" s="191"/>
      <c r="J188" s="191"/>
      <c r="K188" s="191"/>
      <c r="L188" s="191"/>
      <c r="M188" s="191"/>
      <c r="N188" s="191"/>
      <c r="O188" s="189"/>
      <c r="P188" s="428">
        <f t="shared" ref="P188:U188" si="72">P173+P185</f>
        <v>510000</v>
      </c>
      <c r="Q188" s="428">
        <f t="shared" si="72"/>
        <v>510000</v>
      </c>
      <c r="R188" s="428">
        <f t="shared" si="72"/>
        <v>510000</v>
      </c>
      <c r="S188" s="428">
        <f t="shared" si="72"/>
        <v>510000</v>
      </c>
      <c r="T188" s="428">
        <f t="shared" si="72"/>
        <v>0</v>
      </c>
      <c r="U188" s="429">
        <f t="shared" si="72"/>
        <v>0</v>
      </c>
    </row>
    <row r="189" spans="5:23" ht="14">
      <c r="E189" s="427" t="s">
        <v>47</v>
      </c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430">
        <f>P174+P184</f>
        <v>62879.087564999994</v>
      </c>
      <c r="Q189" s="430">
        <f>Q174+Q184</f>
        <v>36164.522065072102</v>
      </c>
      <c r="R189" s="430">
        <f>R174+R184</f>
        <v>-42277.809000000001</v>
      </c>
      <c r="S189" s="430">
        <f>S174+S184</f>
        <v>-36837.66670244385</v>
      </c>
      <c r="T189" s="430">
        <f>T174+T184-T185</f>
        <v>557074.51235375006</v>
      </c>
      <c r="U189" s="431">
        <f>U174+U184</f>
        <v>479918.52485375007</v>
      </c>
    </row>
    <row r="190" spans="5:23" ht="14">
      <c r="E190" s="307" t="s">
        <v>16</v>
      </c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310">
        <f>SUM(P188:P189)</f>
        <v>572879.08756499994</v>
      </c>
      <c r="Q190" s="310">
        <f>SUM(Q188:Q189)</f>
        <v>546164.52206507209</v>
      </c>
      <c r="R190" s="310">
        <f t="shared" ref="R190:S190" si="73">SUM(R188:R189)</f>
        <v>467722.19099999999</v>
      </c>
      <c r="S190" s="310">
        <f t="shared" si="73"/>
        <v>473162.33329755615</v>
      </c>
      <c r="T190" s="310">
        <f>SUM(T188:T189)</f>
        <v>557074.51235375006</v>
      </c>
      <c r="U190" s="311">
        <f>SUM(U188:U189)</f>
        <v>479918.52485375007</v>
      </c>
    </row>
    <row r="191" spans="5:23" ht="14">
      <c r="E191" s="10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97"/>
      <c r="Q191" s="97"/>
      <c r="R191" s="30"/>
      <c r="S191" s="30"/>
      <c r="T191" s="30"/>
      <c r="U191" s="30"/>
    </row>
    <row r="192" spans="5:23" ht="14">
      <c r="E192" s="108">
        <f>E177+1</f>
        <v>3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97"/>
      <c r="Q192" s="97"/>
      <c r="R192" s="30"/>
      <c r="S192" s="30"/>
      <c r="T192" s="30"/>
      <c r="U192" s="30"/>
    </row>
    <row r="193" spans="5:21" ht="14">
      <c r="E193" s="98" t="s">
        <v>48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90">
        <f>($I$8*$U$9)*$U$11*$U$16</f>
        <v>337500</v>
      </c>
      <c r="Q193" s="90">
        <f>($I$8*$U$9)*$U$11*$U$16</f>
        <v>337500</v>
      </c>
      <c r="R193" s="90">
        <f>($I$8*$U$9)*$U$11*$U$16</f>
        <v>337500</v>
      </c>
      <c r="S193" s="90">
        <f>IF(E192&lt;$U$19,(($I$8*$U$9)-$I$47)*($U$11*(1+$I$48))*$U$16,($I$8*$U$9)*$U$11*$U$16)</f>
        <v>337500</v>
      </c>
      <c r="T193" s="90">
        <f>IF(E192&gt;$U$19,($I$8*$U$9)*$U$11*$U$16,0)</f>
        <v>337500</v>
      </c>
      <c r="U193" s="90">
        <v>0</v>
      </c>
    </row>
    <row r="194" spans="5:21" ht="14">
      <c r="E194" s="98" t="s">
        <v>207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90">
        <v>0</v>
      </c>
      <c r="Q194" s="89">
        <f>IF(AND($E$109&lt;$U$19,$I$19=1),$U$36,0)</f>
        <v>0</v>
      </c>
      <c r="R194" s="89">
        <f>IF(AND($E$109&lt;$U$19,$I$19=1),$U$36,0)</f>
        <v>0</v>
      </c>
      <c r="S194" s="89">
        <f>IF(AND($E$109&lt;$U$19,$I$19=1),$U$36,0)</f>
        <v>0</v>
      </c>
      <c r="T194" s="89">
        <f>IF(AND(AND($E$109&lt;$U$19,$I$19=1), T193&lt;&gt;0),$U$36,0)</f>
        <v>0</v>
      </c>
      <c r="U194" s="89">
        <f>IF(AND($I$19=1, U193&lt;&gt;0),$U$36,0)</f>
        <v>0</v>
      </c>
    </row>
    <row r="195" spans="5:21" ht="14">
      <c r="E195" s="16" t="s">
        <v>54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93">
        <f>-IF($I$19=1, $I$12*$I$8, ($I$12*$I$8)+U33)</f>
        <v>-300000</v>
      </c>
      <c r="Q195" s="93">
        <f>-IF($I$19=1, $I$12*$I$8, ($I$12*$I$8)+U33)</f>
        <v>-300000</v>
      </c>
      <c r="R195" s="94">
        <f>IF($AB18&gt;0,-(($I$8*$I$12)+($AB$18*$I$29*$I$8)),-($I$8*$I$12))- IF(I19 = 1, 0, U33)</f>
        <v>-300000</v>
      </c>
      <c r="S195" s="94">
        <f>-(IF($AB$18&gt;0,(($I$8*$I$12)+($AA$18*$I$45*$I$8)),($I$8*$I$12))) - IF(I19 = 1, 0, U33)</f>
        <v>-300000</v>
      </c>
      <c r="T195" s="94">
        <f>IF(T110=0,-$I$55,-($I$8*$I$12  +  IF($I$19 = 1, 0, U33)))</f>
        <v>-300000</v>
      </c>
      <c r="U195" s="94">
        <f>-$I$55</f>
        <v>-5000</v>
      </c>
    </row>
    <row r="196" spans="5:21" ht="14">
      <c r="E196" s="91" t="s">
        <v>58</v>
      </c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4">
        <f t="shared" ref="P196:U196" si="74">IF(P189&gt;0,P189*$I$16,P189*$I$15)</f>
        <v>785.9885945625</v>
      </c>
      <c r="Q196" s="94">
        <f t="shared" si="74"/>
        <v>452.05652581340132</v>
      </c>
      <c r="R196" s="94">
        <f t="shared" si="74"/>
        <v>-2748.057585</v>
      </c>
      <c r="S196" s="94">
        <f t="shared" si="74"/>
        <v>-2394.4483356588503</v>
      </c>
      <c r="T196" s="94">
        <f t="shared" si="74"/>
        <v>6963.4314044218763</v>
      </c>
      <c r="U196" s="94">
        <f t="shared" si="74"/>
        <v>5998.9815606718767</v>
      </c>
    </row>
    <row r="197" spans="5:21" ht="14">
      <c r="E197" s="235" t="s">
        <v>49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90">
        <f>SUM(P193:P196)</f>
        <v>38285.988594562499</v>
      </c>
      <c r="Q197" s="90">
        <f>SUM(Q193:Q196)</f>
        <v>37952.056525813401</v>
      </c>
      <c r="R197" s="90">
        <f>SUM(R193:R196)</f>
        <v>34751.942414999998</v>
      </c>
      <c r="S197" s="90">
        <f>SUM(S193:S196)</f>
        <v>35105.551664341147</v>
      </c>
      <c r="T197" s="90">
        <f>SUM(T193:T196)</f>
        <v>44463.431404421877</v>
      </c>
      <c r="U197" s="90">
        <f t="shared" ref="U197" si="75">SUM(U193:U196)</f>
        <v>998.98156067187665</v>
      </c>
    </row>
    <row r="198" spans="5:21" ht="14">
      <c r="E198" s="91" t="s">
        <v>33</v>
      </c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5">
        <f>IF(P197&gt;0,P197*(0.124+0.15+0.04),0)</f>
        <v>12021.800418692625</v>
      </c>
      <c r="Q198" s="95">
        <f>IF(Q197&gt;0,Q197*(0.124+0.15+0.04),0)</f>
        <v>11916.945749105407</v>
      </c>
      <c r="R198" s="95">
        <f>IF(R197&gt;0,R197*(0.124+0.15+0.04),0)</f>
        <v>10912.10991831</v>
      </c>
      <c r="S198" s="95">
        <f>IF(S197&gt;0,S197*(0.124+0.15+0.04),0)</f>
        <v>11023.143222603119</v>
      </c>
      <c r="T198" s="95">
        <f>IF(T197&gt;0,T197*(0.124+0.15+0.04),0)</f>
        <v>13961.517460988469</v>
      </c>
      <c r="U198" s="95">
        <f t="shared" ref="U198" si="76">IF(U197&gt;0,U197*(0.124+0.15+0.04),0)</f>
        <v>313.68021005096927</v>
      </c>
    </row>
    <row r="199" spans="5:21" ht="14">
      <c r="E199" s="96" t="s">
        <v>34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97">
        <f t="shared" ref="P199:U199" si="77">P197-P198</f>
        <v>26264.188175869873</v>
      </c>
      <c r="Q199" s="97">
        <f t="shared" si="77"/>
        <v>26035.110776707996</v>
      </c>
      <c r="R199" s="97">
        <f t="shared" si="77"/>
        <v>23839.832496689996</v>
      </c>
      <c r="S199" s="97">
        <f t="shared" si="77"/>
        <v>24082.408441738029</v>
      </c>
      <c r="T199" s="97">
        <f t="shared" si="77"/>
        <v>30501.913943433407</v>
      </c>
      <c r="U199" s="97">
        <f t="shared" si="77"/>
        <v>685.30135062090744</v>
      </c>
    </row>
    <row r="200" spans="5:21" ht="14">
      <c r="E200" s="96" t="s">
        <v>55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90">
        <v>0</v>
      </c>
      <c r="Q200" s="90">
        <v>0</v>
      </c>
      <c r="R200" s="90">
        <v>0</v>
      </c>
      <c r="S200" s="90">
        <v>0</v>
      </c>
      <c r="T200" s="90">
        <f>IF(E192=$U$19,$I$8*$I$58,0)</f>
        <v>0</v>
      </c>
      <c r="U200" s="90">
        <v>0</v>
      </c>
    </row>
    <row r="201" spans="5:21" ht="14">
      <c r="E201" s="419" t="s">
        <v>59</v>
      </c>
      <c r="F201" s="189"/>
      <c r="G201" s="189"/>
      <c r="H201" s="189"/>
      <c r="I201" s="189"/>
      <c r="J201" s="189"/>
      <c r="K201" s="189"/>
      <c r="L201" s="189"/>
      <c r="M201" s="189"/>
      <c r="N201" s="420"/>
      <c r="O201" s="17"/>
      <c r="P201" s="137"/>
      <c r="Q201" s="137"/>
      <c r="R201" s="70"/>
      <c r="S201" s="70"/>
      <c r="T201" s="70"/>
      <c r="U201" s="70"/>
    </row>
    <row r="202" spans="5:21" ht="14">
      <c r="E202" s="426" t="s">
        <v>0</v>
      </c>
      <c r="F202" s="191"/>
      <c r="G202" s="191"/>
      <c r="H202" s="191"/>
      <c r="I202" s="191"/>
      <c r="J202" s="191"/>
      <c r="K202" s="191"/>
      <c r="L202" s="191"/>
      <c r="M202" s="191"/>
      <c r="N202" s="191"/>
      <c r="O202" s="189"/>
      <c r="P202" s="428">
        <f t="shared" ref="P202:U202" si="78">P188+P200</f>
        <v>510000</v>
      </c>
      <c r="Q202" s="428">
        <f t="shared" si="78"/>
        <v>510000</v>
      </c>
      <c r="R202" s="422">
        <f t="shared" si="78"/>
        <v>510000</v>
      </c>
      <c r="S202" s="422">
        <f t="shared" si="78"/>
        <v>510000</v>
      </c>
      <c r="T202" s="422">
        <f t="shared" si="78"/>
        <v>0</v>
      </c>
      <c r="U202" s="423">
        <f t="shared" si="78"/>
        <v>0</v>
      </c>
    </row>
    <row r="203" spans="5:21" ht="14">
      <c r="E203" s="427" t="s">
        <v>47</v>
      </c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430">
        <f>P189+P199-P200</f>
        <v>89143.275740869867</v>
      </c>
      <c r="Q203" s="430">
        <f>Q189+Q199-Q200</f>
        <v>62199.632841780098</v>
      </c>
      <c r="R203" s="430">
        <f>R189+R199-R200</f>
        <v>-18437.976503310005</v>
      </c>
      <c r="S203" s="430">
        <f>S189+S199-S200</f>
        <v>-12755.258260705821</v>
      </c>
      <c r="T203" s="430">
        <f>T189+T199-T200</f>
        <v>587576.4262971835</v>
      </c>
      <c r="U203" s="431">
        <f t="shared" ref="U203" si="79">U189+U199-U200</f>
        <v>480603.826204371</v>
      </c>
    </row>
    <row r="204" spans="5:21" ht="14">
      <c r="E204" s="307" t="s">
        <v>16</v>
      </c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310">
        <f t="shared" ref="P204:U204" si="80">SUM(P202:P203)</f>
        <v>599143.27574086981</v>
      </c>
      <c r="Q204" s="310">
        <f t="shared" si="80"/>
        <v>572199.63284178008</v>
      </c>
      <c r="R204" s="310">
        <f t="shared" si="80"/>
        <v>491562.02349668997</v>
      </c>
      <c r="S204" s="310">
        <f t="shared" si="80"/>
        <v>497244.7417392942</v>
      </c>
      <c r="T204" s="310">
        <f t="shared" si="80"/>
        <v>587576.4262971835</v>
      </c>
      <c r="U204" s="311">
        <f t="shared" si="80"/>
        <v>480603.826204371</v>
      </c>
    </row>
    <row r="205" spans="5:21" ht="14">
      <c r="E205" s="6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67"/>
      <c r="Q205" s="67"/>
      <c r="R205" s="67"/>
      <c r="S205" s="67"/>
      <c r="T205" s="67"/>
      <c r="U205" s="67"/>
    </row>
    <row r="206" spans="5:21" ht="14">
      <c r="E206" s="108">
        <f>E192+1</f>
        <v>4</v>
      </c>
      <c r="F206" s="13"/>
      <c r="G206" s="147"/>
      <c r="H206" s="13"/>
      <c r="I206" s="13"/>
      <c r="J206" s="13"/>
      <c r="K206" s="13"/>
      <c r="L206" s="13"/>
      <c r="M206" s="13"/>
      <c r="N206" s="13"/>
      <c r="O206" s="13"/>
      <c r="P206" s="97"/>
      <c r="Q206" s="97"/>
      <c r="R206" s="30"/>
      <c r="S206" s="30"/>
      <c r="T206" s="30"/>
      <c r="U206" s="30"/>
    </row>
    <row r="207" spans="5:21" ht="14">
      <c r="E207" s="98" t="s">
        <v>48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90">
        <f>($I$8*$U$9)*$U$11*$U$16</f>
        <v>337500</v>
      </c>
      <c r="Q207" s="90">
        <f>IF($U$19=E206,($I$8*$U$9)*$U$11*$I$13*$U$16,($I$8*$U$9)*$U$11*$U$16)</f>
        <v>337500</v>
      </c>
      <c r="R207" s="90">
        <f>($I$8*$U$9)*$U$11*$U$16</f>
        <v>337500</v>
      </c>
      <c r="S207" s="90">
        <f>IF(E206&lt;$U$19,(($I$8*$U$9)-$I$47)*($U$11*(1+$I$48))*$U$16,($I$8*$U$9)*$U$11*$U$16)</f>
        <v>337500</v>
      </c>
      <c r="T207" s="90">
        <f>IF(E206&gt;$U$19,($I$8*$U$9)*$U$11*$U$16,"X")</f>
        <v>337500</v>
      </c>
      <c r="U207" s="90">
        <v>0</v>
      </c>
    </row>
    <row r="208" spans="5:21" ht="14">
      <c r="E208" s="98" t="s">
        <v>207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90">
        <v>0</v>
      </c>
      <c r="Q208" s="89">
        <f>IF(AND($E$123&lt;$U$19,$I$19=1),$U$37,0)</f>
        <v>0</v>
      </c>
      <c r="R208" s="89">
        <f>IF(AND($E$123&lt;$U$19,$I$19=1),$U$37,0)</f>
        <v>0</v>
      </c>
      <c r="S208" s="89">
        <f>IF(AND($E$123&lt;$U$19,$I$19=1),$U$37,0)</f>
        <v>0</v>
      </c>
      <c r="T208" s="89">
        <f>IF(AND($E$123&lt;$U$19,$I$19=1, T207&lt;&gt;0),$U$37,0)</f>
        <v>0</v>
      </c>
      <c r="U208" s="89">
        <f>IF(AND($I$19=1, U207&lt;&gt;0),$U$37,0)</f>
        <v>0</v>
      </c>
    </row>
    <row r="209" spans="5:21" ht="14">
      <c r="E209" s="16" t="s">
        <v>54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93">
        <f>-IF($I$19=1, $I$12*$I$8, ($I$12*$I$8)+U33)</f>
        <v>-300000</v>
      </c>
      <c r="Q209" s="93">
        <f>-IF($I$19=1, $I$12*$I$8, ($I$12*$I$8)+U33)</f>
        <v>-300000</v>
      </c>
      <c r="R209" s="94">
        <f>IF($AA32&gt;0,-(($I$8*$I$12)+($AB$18*$I$29*$I$8)),-($I$8*$I$12)) - IF(I19 = 1, 0, U33)</f>
        <v>-300000</v>
      </c>
      <c r="S209" s="94">
        <f>-(IF($AB$19&gt;0,(($I$8*$I$12)+($AA$18*$I$45*$I$8)),($I$8*$I$12))) - IF(I19 = 1, 0, U33)</f>
        <v>-300000</v>
      </c>
      <c r="T209" s="94">
        <f>IF(T124=0,-$I$55,-($I$8*$I$12 +  IF($I$19 = 1, 0, U33)))</f>
        <v>-300000</v>
      </c>
      <c r="U209" s="94">
        <f>-$I$55</f>
        <v>-5000</v>
      </c>
    </row>
    <row r="210" spans="5:21" ht="14">
      <c r="E210" s="91" t="s">
        <v>58</v>
      </c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4">
        <f>IF(P203&gt;0,P203*$I$16,P203*$I$15)</f>
        <v>1114.2909467608733</v>
      </c>
      <c r="Q210" s="94">
        <f>IF(Q203&gt;0,Q203*$I$16,Q203*$I$15)</f>
        <v>777.49541052225129</v>
      </c>
      <c r="R210" s="94">
        <f>IF(R203&gt;0,R203*$I$16,R203*$I$15)</f>
        <v>-1198.4684727151503</v>
      </c>
      <c r="S210" s="94">
        <f>IF(S203&gt;0,S203*$I$16,S203*$I$15)</f>
        <v>-829.09178694587843</v>
      </c>
      <c r="T210" s="94">
        <f>IF(T203&gt;0,T203*$I$16,T203*$I$15)</f>
        <v>7344.7053287147937</v>
      </c>
      <c r="U210" s="94">
        <f t="shared" ref="U210" si="81">IF(U203&gt;0,U203*$I$16,U203*$I$15)</f>
        <v>6007.5478275546375</v>
      </c>
    </row>
    <row r="211" spans="5:21" ht="14">
      <c r="E211" s="235" t="s">
        <v>49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90">
        <f>SUM(P207:P210)</f>
        <v>38614.29094676087</v>
      </c>
      <c r="Q211" s="90">
        <f>SUM(Q207:Q210)</f>
        <v>38277.49541052225</v>
      </c>
      <c r="R211" s="90">
        <f>SUM(R207:R210)</f>
        <v>36301.531527284853</v>
      </c>
      <c r="S211" s="90">
        <f>SUM(S207:S210)</f>
        <v>36670.908213054121</v>
      </c>
      <c r="T211" s="90">
        <f>SUM(T207:T210)</f>
        <v>44844.705328714794</v>
      </c>
      <c r="U211" s="90">
        <f t="shared" ref="U211" si="82">SUM(U207:U210)</f>
        <v>1007.5478275546375</v>
      </c>
    </row>
    <row r="212" spans="5:21" ht="14">
      <c r="E212" s="91" t="s">
        <v>33</v>
      </c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5">
        <f>IF(P211&gt;0,P211*(0.124+0.15+0.04),0)</f>
        <v>12124.887357282912</v>
      </c>
      <c r="Q212" s="95">
        <f>IF(Q211&gt;0,Q211*(0.124+0.15+0.04),0)</f>
        <v>12019.133558903986</v>
      </c>
      <c r="R212" s="95">
        <f>IF(R211&gt;0,R211*(0.124+0.15+0.04),0)</f>
        <v>11398.680899567444</v>
      </c>
      <c r="S212" s="95">
        <f>IF(S211&gt;0,S211*(0.124+0.15+0.04),0)</f>
        <v>11514.665178898995</v>
      </c>
      <c r="T212" s="95">
        <f>IF(T211&gt;0,T211*(0.124+0.15+0.04),0)</f>
        <v>14081.237473216444</v>
      </c>
      <c r="U212" s="95">
        <f t="shared" ref="U212" si="83">IF(U211&gt;0,U211*(0.124+0.15+0.04),0)</f>
        <v>316.3700178521562</v>
      </c>
    </row>
    <row r="213" spans="5:21" ht="14">
      <c r="E213" s="96" t="s">
        <v>34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97">
        <f t="shared" ref="P213:U213" si="84">P211-P212</f>
        <v>26489.403589477959</v>
      </c>
      <c r="Q213" s="97">
        <f t="shared" si="84"/>
        <v>26258.361851618261</v>
      </c>
      <c r="R213" s="97">
        <f t="shared" si="84"/>
        <v>24902.850627717409</v>
      </c>
      <c r="S213" s="97">
        <f t="shared" si="84"/>
        <v>25156.243034155126</v>
      </c>
      <c r="T213" s="97">
        <f t="shared" si="84"/>
        <v>30763.467855498347</v>
      </c>
      <c r="U213" s="97">
        <f t="shared" si="84"/>
        <v>691.17780970248123</v>
      </c>
    </row>
    <row r="214" spans="5:21" ht="14">
      <c r="E214" s="96" t="s">
        <v>55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90">
        <v>0</v>
      </c>
      <c r="Q214" s="90">
        <v>0</v>
      </c>
      <c r="R214" s="90">
        <v>0</v>
      </c>
      <c r="S214" s="90">
        <v>0</v>
      </c>
      <c r="T214" s="90">
        <f>IF(E206=$U$19,$I$8*$I$58,0)</f>
        <v>0</v>
      </c>
      <c r="U214" s="90">
        <v>0</v>
      </c>
    </row>
    <row r="215" spans="5:21" ht="14">
      <c r="E215" s="419" t="s">
        <v>59</v>
      </c>
      <c r="F215" s="189"/>
      <c r="G215" s="189"/>
      <c r="H215" s="189"/>
      <c r="I215" s="189"/>
      <c r="J215" s="189"/>
      <c r="K215" s="189"/>
      <c r="L215" s="189"/>
      <c r="M215" s="189"/>
      <c r="N215" s="420"/>
      <c r="O215" s="17"/>
      <c r="P215" s="137"/>
      <c r="Q215" s="137"/>
      <c r="R215" s="70"/>
      <c r="S215" s="70"/>
      <c r="T215" s="70"/>
      <c r="U215" s="70"/>
    </row>
    <row r="216" spans="5:21" ht="14">
      <c r="E216" s="426" t="s">
        <v>0</v>
      </c>
      <c r="F216" s="191"/>
      <c r="G216" s="191"/>
      <c r="H216" s="191"/>
      <c r="I216" s="191"/>
      <c r="J216" s="191"/>
      <c r="K216" s="191"/>
      <c r="L216" s="191"/>
      <c r="M216" s="191"/>
      <c r="N216" s="191"/>
      <c r="O216" s="189"/>
      <c r="P216" s="428">
        <f t="shared" ref="P216:U216" si="85">P202+P214</f>
        <v>510000</v>
      </c>
      <c r="Q216" s="428">
        <f t="shared" si="85"/>
        <v>510000</v>
      </c>
      <c r="R216" s="422">
        <f t="shared" si="85"/>
        <v>510000</v>
      </c>
      <c r="S216" s="422">
        <f t="shared" si="85"/>
        <v>510000</v>
      </c>
      <c r="T216" s="422">
        <f t="shared" si="85"/>
        <v>0</v>
      </c>
      <c r="U216" s="423">
        <f t="shared" si="85"/>
        <v>0</v>
      </c>
    </row>
    <row r="217" spans="5:21" ht="14">
      <c r="E217" s="427" t="s">
        <v>47</v>
      </c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430">
        <f>P203+P213-P214</f>
        <v>115632.67933034783</v>
      </c>
      <c r="Q217" s="430">
        <f>Q203+Q213-Q214</f>
        <v>88457.994693398359</v>
      </c>
      <c r="R217" s="430">
        <f>R203+R213-R214</f>
        <v>6464.8741244074045</v>
      </c>
      <c r="S217" s="430">
        <f>S203+S213-S214</f>
        <v>12400.984773449305</v>
      </c>
      <c r="T217" s="430">
        <f>T203+T213-T214</f>
        <v>618339.89415268181</v>
      </c>
      <c r="U217" s="431">
        <f t="shared" ref="U217" si="86">U203+U213-U214</f>
        <v>481295.00401407346</v>
      </c>
    </row>
    <row r="218" spans="5:21" ht="14">
      <c r="E218" s="307" t="s">
        <v>16</v>
      </c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310">
        <f t="shared" ref="P218:U218" si="87">SUM(P216:P217)</f>
        <v>625632.6793303478</v>
      </c>
      <c r="Q218" s="310">
        <f t="shared" si="87"/>
        <v>598457.99469339836</v>
      </c>
      <c r="R218" s="310">
        <f t="shared" si="87"/>
        <v>516464.87412440742</v>
      </c>
      <c r="S218" s="310">
        <f t="shared" si="87"/>
        <v>522400.98477344931</v>
      </c>
      <c r="T218" s="310">
        <f t="shared" si="87"/>
        <v>618339.89415268181</v>
      </c>
      <c r="U218" s="311">
        <f t="shared" si="87"/>
        <v>481295.00401407346</v>
      </c>
    </row>
    <row r="219" spans="5:21" ht="14">
      <c r="E219" s="6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7"/>
      <c r="Q219" s="67"/>
      <c r="R219" s="67"/>
      <c r="S219" s="67"/>
      <c r="T219" s="67"/>
      <c r="U219" s="67"/>
    </row>
    <row r="220" spans="5:21" ht="14">
      <c r="E220" s="108">
        <f>E206+1</f>
        <v>5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97"/>
      <c r="Q220" s="97"/>
      <c r="R220" s="30"/>
      <c r="S220" s="30"/>
      <c r="T220" s="30"/>
      <c r="U220" s="30"/>
    </row>
    <row r="221" spans="5:21" ht="14">
      <c r="E221" s="98" t="s">
        <v>48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90">
        <f>($I$8*$U$9)*$U$11*$U$16</f>
        <v>337500</v>
      </c>
      <c r="Q221" s="90">
        <f>IF($U$19=E220,($I$8*$U$9)*$U$11*$I$13*$U$16,($I$8*$U$9)*$U$11*$U$16)</f>
        <v>337500</v>
      </c>
      <c r="R221" s="90">
        <f>($I$8*$U$9)*$U$11*$U$16</f>
        <v>337500</v>
      </c>
      <c r="S221" s="90">
        <f>IF(E220&lt;$U$19,(($I$8*$U$9)-$I$47)*($U$11*(1+$I$48))*$U$16,($I$8*$U$9)*$U$11*$U$16)</f>
        <v>337500</v>
      </c>
      <c r="T221" s="90">
        <f>IF(E220&gt;$U$19,($I$8*$U$9)*$U$11*$U$16,0)</f>
        <v>337500</v>
      </c>
      <c r="U221" s="90">
        <v>0</v>
      </c>
    </row>
    <row r="222" spans="5:21" ht="14">
      <c r="E222" s="98" t="s">
        <v>207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90">
        <v>0</v>
      </c>
      <c r="Q222" s="89">
        <f>IF(AND($E$137&lt;$U$19,$I$19=1),$U$38,0)</f>
        <v>0</v>
      </c>
      <c r="R222" s="89">
        <f>IF(AND($E$137&lt;$U$19,$I$19=1),$U$38,0)</f>
        <v>0</v>
      </c>
      <c r="S222" s="89">
        <f>IF(AND($E$137&lt;$U$19,$I$19=1),$U$38,0)</f>
        <v>0</v>
      </c>
      <c r="T222" s="89">
        <f>IF(AND($E$137&lt;$U$19,$I$19=1, T221&lt;&gt;0),$U$38,0)</f>
        <v>0</v>
      </c>
      <c r="U222" s="89">
        <f>IF(AND($I$19=1, U221&lt;&gt;0),$U$38,0)</f>
        <v>0</v>
      </c>
    </row>
    <row r="223" spans="5:21" ht="14">
      <c r="E223" s="16" t="s">
        <v>54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93">
        <f>-IF($I$19=1, $I$12*$I$8, ($I$12*$I$8)+U33)</f>
        <v>-300000</v>
      </c>
      <c r="Q223" s="93">
        <f>-IF($I$19=1, $I$12*$I$8, ($I$12*$I$8)+U33)</f>
        <v>-300000</v>
      </c>
      <c r="R223" s="94">
        <f>IF($AB45&gt;0,-(($I$8*$I$12)+($AB$18*$I$29*$I$8)),-($I$8*$I$12)) - IF(I19 = 1, 0, U33)</f>
        <v>-300000</v>
      </c>
      <c r="S223" s="94">
        <f>-(IF($AB$20&gt;0,(($I$8*$I$12)+($AA$18*$I$45*$I$8)),($I$8*$I$12))) - IF(I19 = 1, 0, U33)</f>
        <v>-300000</v>
      </c>
      <c r="T223" s="94">
        <f>IF(T138=0,-$I$55,-($I$8*$I$12 +  IF($I$19 = 1, 0, U33)))</f>
        <v>-300000</v>
      </c>
      <c r="U223" s="94">
        <f>-$I$55</f>
        <v>-5000</v>
      </c>
    </row>
    <row r="224" spans="5:21" ht="14">
      <c r="E224" s="91" t="s">
        <v>58</v>
      </c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4">
        <f>IF(P217&gt;0,P217*$I$16,P217*$I$15)</f>
        <v>1445.408491629348</v>
      </c>
      <c r="Q224" s="94">
        <f>IF(Q217&gt;0,Q217*$I$16,Q217*$I$15)</f>
        <v>1105.7249336674795</v>
      </c>
      <c r="R224" s="94">
        <f>IF(R217&gt;0,R217*$I$16,R217*$I$15)</f>
        <v>80.810926555092564</v>
      </c>
      <c r="S224" s="94">
        <f>IF(S217&gt;0,S217*$I$16,S217*$I$15)</f>
        <v>155.01230966811633</v>
      </c>
      <c r="T224" s="94">
        <f>IF(T217&gt;0,T217*$I$16,T217*$I$15)</f>
        <v>7729.2486769085226</v>
      </c>
      <c r="U224" s="94">
        <f t="shared" ref="U224" si="88">IF(U217&gt;0,U217*$I$16,U217*$I$15)</f>
        <v>6016.1875501759187</v>
      </c>
    </row>
    <row r="225" spans="5:21" ht="14">
      <c r="E225" s="235" t="s">
        <v>49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90">
        <f>SUM(P221:P224)</f>
        <v>38945.40849162935</v>
      </c>
      <c r="Q225" s="90">
        <f>SUM(Q221:Q224)</f>
        <v>38605.724933667479</v>
      </c>
      <c r="R225" s="90">
        <f>SUM(R221:R224)</f>
        <v>37580.810926555096</v>
      </c>
      <c r="S225" s="90">
        <f>SUM(S221:S224)</f>
        <v>37655.012309668113</v>
      </c>
      <c r="T225" s="90">
        <f>SUM(T221:T224)</f>
        <v>45229.248676908523</v>
      </c>
      <c r="U225" s="90">
        <f t="shared" ref="U225" si="89">SUM(U221:U224)</f>
        <v>1016.1875501759187</v>
      </c>
    </row>
    <row r="226" spans="5:21" ht="14">
      <c r="E226" s="91" t="s">
        <v>33</v>
      </c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5">
        <f>IF(P225&gt;0,P225*(0.124+0.15+0.04),0)</f>
        <v>12228.858266371617</v>
      </c>
      <c r="Q226" s="95">
        <f>IF(Q225&gt;0,Q225*(0.124+0.15+0.04),0)</f>
        <v>12122.197629171589</v>
      </c>
      <c r="R226" s="95">
        <f>IF(R225&gt;0,R225*(0.124+0.15+0.04),0)</f>
        <v>11800.3746309383</v>
      </c>
      <c r="S226" s="95">
        <f>IF(S225&gt;0,S225*(0.124+0.15+0.04),0)</f>
        <v>11823.673865235787</v>
      </c>
      <c r="T226" s="95">
        <f>IF(T225&gt;0,T225*(0.124+0.15+0.04),0)</f>
        <v>14201.984084549276</v>
      </c>
      <c r="U226" s="95">
        <f t="shared" ref="U226" si="90">IF(U225&gt;0,U225*(0.124+0.15+0.04),0)</f>
        <v>319.08289075523845</v>
      </c>
    </row>
    <row r="227" spans="5:21" ht="14">
      <c r="E227" s="96" t="s">
        <v>34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97">
        <f t="shared" ref="P227:U227" si="91">P225-P226</f>
        <v>26716.550225257735</v>
      </c>
      <c r="Q227" s="97">
        <f t="shared" si="91"/>
        <v>26483.527304495889</v>
      </c>
      <c r="R227" s="97">
        <f t="shared" si="91"/>
        <v>25780.436295616797</v>
      </c>
      <c r="S227" s="97">
        <f t="shared" si="91"/>
        <v>25831.338444432324</v>
      </c>
      <c r="T227" s="97">
        <f t="shared" si="91"/>
        <v>31027.264592359246</v>
      </c>
      <c r="U227" s="97">
        <f t="shared" si="91"/>
        <v>697.10465942068026</v>
      </c>
    </row>
    <row r="228" spans="5:21" ht="14">
      <c r="E228" s="96" t="s">
        <v>55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90">
        <v>0</v>
      </c>
      <c r="Q228" s="90">
        <v>0</v>
      </c>
      <c r="R228" s="90">
        <v>0</v>
      </c>
      <c r="S228" s="90">
        <v>0</v>
      </c>
      <c r="T228" s="90">
        <f>IF(E220=$U$19,$I$8*$I$58,0)</f>
        <v>0</v>
      </c>
      <c r="U228" s="90">
        <v>0</v>
      </c>
    </row>
    <row r="229" spans="5:21" ht="14">
      <c r="E229" s="419" t="s">
        <v>59</v>
      </c>
      <c r="F229" s="189"/>
      <c r="G229" s="189"/>
      <c r="H229" s="189"/>
      <c r="I229" s="189"/>
      <c r="J229" s="189"/>
      <c r="K229" s="189"/>
      <c r="L229" s="189"/>
      <c r="M229" s="189"/>
      <c r="N229" s="420"/>
      <c r="O229" s="17"/>
      <c r="P229" s="137"/>
      <c r="Q229" s="137"/>
      <c r="R229" s="70"/>
      <c r="S229" s="70"/>
      <c r="T229" s="70"/>
      <c r="U229" s="70"/>
    </row>
    <row r="230" spans="5:21" ht="14">
      <c r="E230" s="426" t="s">
        <v>0</v>
      </c>
      <c r="F230" s="191"/>
      <c r="G230" s="191"/>
      <c r="H230" s="191"/>
      <c r="I230" s="191"/>
      <c r="J230" s="191"/>
      <c r="K230" s="191"/>
      <c r="L230" s="191"/>
      <c r="M230" s="191"/>
      <c r="N230" s="191"/>
      <c r="O230" s="189"/>
      <c r="P230" s="428">
        <f t="shared" ref="P230:U230" si="92">P216+P228</f>
        <v>510000</v>
      </c>
      <c r="Q230" s="428">
        <f t="shared" si="92"/>
        <v>510000</v>
      </c>
      <c r="R230" s="422">
        <f t="shared" si="92"/>
        <v>510000</v>
      </c>
      <c r="S230" s="422">
        <f t="shared" si="92"/>
        <v>510000</v>
      </c>
      <c r="T230" s="422">
        <f t="shared" si="92"/>
        <v>0</v>
      </c>
      <c r="U230" s="423">
        <f t="shared" si="92"/>
        <v>0</v>
      </c>
    </row>
    <row r="231" spans="5:21" ht="14">
      <c r="E231" s="427" t="s">
        <v>47</v>
      </c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430">
        <f>P217+P227-P228</f>
        <v>142349.22955560556</v>
      </c>
      <c r="Q231" s="430">
        <f>Q217+Q227-Q228</f>
        <v>114941.52199789425</v>
      </c>
      <c r="R231" s="430">
        <f>R217+R227-R228</f>
        <v>32245.310420024201</v>
      </c>
      <c r="S231" s="430">
        <f>S217+S227-S228</f>
        <v>38232.323217881625</v>
      </c>
      <c r="T231" s="430">
        <f>T217+T227-T228</f>
        <v>649367.158745041</v>
      </c>
      <c r="U231" s="431">
        <f t="shared" ref="U231" si="93">U217+U227-U228</f>
        <v>481992.10867349413</v>
      </c>
    </row>
    <row r="232" spans="5:21" ht="14">
      <c r="E232" s="307" t="s">
        <v>16</v>
      </c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310">
        <f>SUM(P230:P231)</f>
        <v>652349.22955560556</v>
      </c>
      <c r="Q232" s="310">
        <f t="shared" ref="Q232:U232" si="94">SUM(Q230:Q231)</f>
        <v>624941.52199789428</v>
      </c>
      <c r="R232" s="310">
        <f t="shared" si="94"/>
        <v>542245.31042002421</v>
      </c>
      <c r="S232" s="310">
        <f t="shared" si="94"/>
        <v>548232.32321788161</v>
      </c>
      <c r="T232" s="310">
        <f t="shared" si="94"/>
        <v>649367.158745041</v>
      </c>
      <c r="U232" s="311">
        <f t="shared" si="94"/>
        <v>481992.10867349413</v>
      </c>
    </row>
    <row r="233" spans="5:21" ht="14">
      <c r="E233" s="6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67"/>
      <c r="Q233" s="67"/>
      <c r="R233" s="67"/>
      <c r="S233" s="67"/>
      <c r="T233" s="67"/>
      <c r="U233" s="67"/>
    </row>
    <row r="234" spans="5:21" ht="14">
      <c r="E234" s="317" t="s">
        <v>106</v>
      </c>
      <c r="F234" s="318"/>
      <c r="G234" s="318"/>
      <c r="H234" s="318"/>
      <c r="I234" s="318"/>
      <c r="J234" s="318"/>
      <c r="K234" s="318"/>
      <c r="L234" s="318"/>
      <c r="M234" s="318"/>
      <c r="N234" s="319"/>
      <c r="O234" s="17"/>
      <c r="P234" s="70"/>
      <c r="Q234" s="70"/>
      <c r="R234" s="70"/>
      <c r="S234" s="70"/>
      <c r="T234" s="70"/>
      <c r="U234" s="70"/>
    </row>
    <row r="235" spans="5:21" ht="14">
      <c r="E235" s="314" t="s">
        <v>56</v>
      </c>
      <c r="F235" s="105"/>
      <c r="G235" s="105"/>
      <c r="H235" s="105"/>
      <c r="I235" s="105"/>
      <c r="J235" s="105"/>
      <c r="K235" s="105"/>
      <c r="L235" s="105"/>
      <c r="M235" s="105"/>
      <c r="N235" s="105"/>
      <c r="O235" s="318"/>
      <c r="P235" s="322">
        <f t="shared" ref="P235:U235" si="95">P232-P161</f>
        <v>137661.72955560556</v>
      </c>
      <c r="Q235" s="322">
        <f t="shared" si="95"/>
        <v>110254.02199789428</v>
      </c>
      <c r="R235" s="322">
        <f t="shared" si="95"/>
        <v>27557.810420024209</v>
      </c>
      <c r="S235" s="322">
        <f t="shared" si="95"/>
        <v>33544.823217881611</v>
      </c>
      <c r="T235" s="322">
        <f t="shared" si="95"/>
        <v>134679.658745041</v>
      </c>
      <c r="U235" s="323">
        <f t="shared" si="95"/>
        <v>-32695.391326505865</v>
      </c>
    </row>
    <row r="236" spans="5:21" ht="14">
      <c r="E236" s="315" t="s">
        <v>57</v>
      </c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20">
        <f t="shared" ref="P236:U236" si="96">P235/$I$8</f>
        <v>229.43621592600928</v>
      </c>
      <c r="Q236" s="320">
        <f t="shared" si="96"/>
        <v>183.75670332982381</v>
      </c>
      <c r="R236" s="320">
        <f t="shared" si="96"/>
        <v>45.929684033373682</v>
      </c>
      <c r="S236" s="320">
        <f t="shared" si="96"/>
        <v>55.908038696469355</v>
      </c>
      <c r="T236" s="320">
        <f t="shared" si="96"/>
        <v>224.46609790840168</v>
      </c>
      <c r="U236" s="321">
        <f t="shared" si="96"/>
        <v>-54.492318877509774</v>
      </c>
    </row>
  </sheetData>
  <mergeCells count="6">
    <mergeCell ref="C59:I63"/>
    <mergeCell ref="C6:S6"/>
    <mergeCell ref="T25:U25"/>
    <mergeCell ref="T43:U43"/>
    <mergeCell ref="T54:U54"/>
    <mergeCell ref="C13:G13"/>
  </mergeCells>
  <phoneticPr fontId="27" type="noConversion"/>
  <conditionalFormatting sqref="I48">
    <cfRule type="cellIs" dxfId="5" priority="7" operator="lessThan">
      <formula>0</formula>
    </cfRule>
  </conditionalFormatting>
  <conditionalFormatting sqref="U13">
    <cfRule type="expression" dxfId="4" priority="15" stopIfTrue="1">
      <formula>RiskIsInput</formula>
    </cfRule>
  </conditionalFormatting>
  <conditionalFormatting sqref="P149:U149">
    <cfRule type="expression" dxfId="3" priority="23" stopIfTrue="1">
      <formula>RiskIsOutput</formula>
    </cfRule>
  </conditionalFormatting>
  <conditionalFormatting sqref="X5 U16">
    <cfRule type="expression" dxfId="2" priority="24" stopIfTrue="1">
      <formula>RiskIsInput</formula>
    </cfRule>
  </conditionalFormatting>
  <conditionalFormatting sqref="I37">
    <cfRule type="cellIs" dxfId="1" priority="2" operator="lessThan">
      <formula>0</formula>
    </cfRule>
  </conditionalFormatting>
  <conditionalFormatting sqref="P232:U232">
    <cfRule type="expression" dxfId="0" priority="1" stopIfTrue="1">
      <formula>RiskIsOutput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/>
  <headerFooter>
    <oddFooter>&amp;Lwww.coopext.colostate.edu/ABM/</oddFooter>
  </headerFooter>
  <rowBreaks count="2" manualBreakCount="2">
    <brk id="68" min="1" max="18" man="1"/>
    <brk id="119" min="1" max="18" man="1"/>
  </rowBreak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2:Z60"/>
  <sheetViews>
    <sheetView zoomScaleSheetLayoutView="110" workbookViewId="0">
      <selection activeCell="L19" sqref="L19"/>
    </sheetView>
  </sheetViews>
  <sheetFormatPr baseColWidth="10" defaultColWidth="9.1640625" defaultRowHeight="14" x14ac:dyDescent="0"/>
  <cols>
    <col min="1" max="2" width="11" style="182" customWidth="1"/>
    <col min="3" max="3" width="11.5" style="172" customWidth="1"/>
    <col min="4" max="4" width="11.5" style="184" customWidth="1"/>
    <col min="5" max="5" width="11.5" style="182" customWidth="1"/>
    <col min="6" max="6" width="11.5" style="183" customWidth="1"/>
    <col min="7" max="9" width="11.5" style="172" customWidth="1"/>
    <col min="10" max="10" width="11.5" style="183" customWidth="1"/>
    <col min="11" max="11" width="11.5" style="172" customWidth="1"/>
    <col min="12" max="13" width="9.1640625" style="172"/>
    <col min="14" max="14" width="11.5" style="183" customWidth="1"/>
    <col min="15" max="15" width="9.1640625" style="172"/>
    <col min="16" max="16" width="10.1640625" style="172" bestFit="1" customWidth="1"/>
    <col min="17" max="17" width="10.5" style="172" customWidth="1"/>
    <col min="18" max="18" width="12.1640625" style="172" bestFit="1" customWidth="1"/>
    <col min="19" max="19" width="10.5" style="172" bestFit="1" customWidth="1"/>
    <col min="20" max="16384" width="9.1640625" style="172"/>
  </cols>
  <sheetData>
    <row r="2" spans="1:18">
      <c r="J2" s="172"/>
      <c r="N2" s="172"/>
    </row>
    <row r="3" spans="1:18">
      <c r="J3" s="172"/>
      <c r="N3" s="172"/>
    </row>
    <row r="4" spans="1:18">
      <c r="A4" s="349"/>
      <c r="B4" s="233"/>
      <c r="C4" s="197"/>
      <c r="D4" s="197"/>
      <c r="E4" s="197"/>
      <c r="F4" s="197"/>
      <c r="G4" s="350">
        <f>'Drought Calculator'!B9</f>
        <v>2002</v>
      </c>
      <c r="H4" s="197">
        <f>G4+1</f>
        <v>2003</v>
      </c>
      <c r="I4" s="197">
        <f t="shared" ref="I4:K4" si="0">H4+1</f>
        <v>2004</v>
      </c>
      <c r="J4" s="197">
        <f t="shared" si="0"/>
        <v>2005</v>
      </c>
      <c r="K4" s="197">
        <f t="shared" si="0"/>
        <v>2006</v>
      </c>
      <c r="L4" s="206"/>
      <c r="N4" s="172"/>
    </row>
    <row r="5" spans="1:18" ht="29" thickBot="1">
      <c r="A5" s="351" t="s">
        <v>260</v>
      </c>
      <c r="B5" s="229" t="s">
        <v>269</v>
      </c>
      <c r="C5" s="230" t="s">
        <v>258</v>
      </c>
      <c r="D5" s="230" t="s">
        <v>259</v>
      </c>
      <c r="E5" s="230" t="s">
        <v>231</v>
      </c>
      <c r="F5" s="230" t="s">
        <v>237</v>
      </c>
      <c r="G5" s="230" t="s">
        <v>232</v>
      </c>
      <c r="H5" s="230" t="s">
        <v>233</v>
      </c>
      <c r="I5" s="230" t="s">
        <v>234</v>
      </c>
      <c r="J5" s="231" t="s">
        <v>235</v>
      </c>
      <c r="K5" s="230" t="s">
        <v>236</v>
      </c>
      <c r="L5" s="200"/>
      <c r="N5" s="172"/>
    </row>
    <row r="6" spans="1:18" ht="15" thickBot="1">
      <c r="A6" s="352" t="s">
        <v>216</v>
      </c>
      <c r="B6" s="204">
        <v>1</v>
      </c>
      <c r="C6" s="204">
        <v>100</v>
      </c>
      <c r="D6" s="213"/>
      <c r="E6" s="205">
        <v>25.06</v>
      </c>
      <c r="F6" s="208">
        <f>D6*'Ranch Strategies'!$I$37</f>
        <v>0</v>
      </c>
      <c r="G6" s="29">
        <f>VLOOKUP(G$4,'R Index'!$A1:$L70,$B6+1)</f>
        <v>47.505329978549497</v>
      </c>
      <c r="H6" s="234">
        <f>VLOOKUP(H$4,'R Index'!$A1:$L70,$B6+1)</f>
        <v>56.264196957753597</v>
      </c>
      <c r="I6" s="234">
        <f>VLOOKUP(I$4,'R Index'!$A1:$L70,$B6+1)</f>
        <v>63.240696882290401</v>
      </c>
      <c r="J6" s="234">
        <f>VLOOKUP(J$4,'R Index'!$A1:$L70,$B6+1)</f>
        <v>110.85738063500899</v>
      </c>
      <c r="K6" s="234">
        <f>VLOOKUP(K$4,'R Index'!$A1:$L70,$B6+1)</f>
        <v>38.348984542798497</v>
      </c>
      <c r="L6" s="218"/>
      <c r="N6" s="172"/>
      <c r="R6"/>
    </row>
    <row r="7" spans="1:18" ht="15" thickBot="1">
      <c r="A7" s="353" t="s">
        <v>217</v>
      </c>
      <c r="B7" s="198">
        <v>2</v>
      </c>
      <c r="C7" s="198">
        <v>100</v>
      </c>
      <c r="D7" s="214"/>
      <c r="E7" s="199">
        <v>23.44</v>
      </c>
      <c r="F7" s="209">
        <f>D7*'Ranch Strategies'!$I$37</f>
        <v>0</v>
      </c>
      <c r="G7" s="29">
        <f>VLOOKUP(G$4,'R Index'!A2:L71,B7+1)</f>
        <v>81.2886090784977</v>
      </c>
      <c r="H7" s="234">
        <f>VLOOKUP(H$4,'R Index'!$A2:$L71,$B7+1)</f>
        <v>176.20651826528501</v>
      </c>
      <c r="I7" s="234">
        <f>VLOOKUP(I$4,'R Index'!$A2:$L71,$B7+1)</f>
        <v>38.6259612920229</v>
      </c>
      <c r="J7" s="234">
        <f>VLOOKUP(J$4,'R Index'!$A2:$L71,$B7+1)</f>
        <v>69.601509786855104</v>
      </c>
      <c r="K7" s="234">
        <f>VLOOKUP(K$4,'R Index'!$A2:$L71,$B7+1)</f>
        <v>105.350779363914</v>
      </c>
      <c r="L7" s="218"/>
      <c r="N7" s="172"/>
      <c r="R7"/>
    </row>
    <row r="8" spans="1:18" ht="15" thickBot="1">
      <c r="A8" s="353" t="s">
        <v>218</v>
      </c>
      <c r="B8" s="198">
        <v>3</v>
      </c>
      <c r="C8" s="198">
        <v>100</v>
      </c>
      <c r="D8" s="214">
        <v>0.5</v>
      </c>
      <c r="E8" s="199">
        <v>18.010000000000002</v>
      </c>
      <c r="F8" s="209">
        <f>D8*'Ranch Strategies'!$I$37</f>
        <v>44550</v>
      </c>
      <c r="G8" s="29">
        <f>VLOOKUP(G$4,'R Index'!A3:L72,B8+1)</f>
        <v>57.569792058428902</v>
      </c>
      <c r="H8" s="234">
        <f>VLOOKUP(H$4,'R Index'!$A3:$L72,$B8+1)</f>
        <v>163.294864679152</v>
      </c>
      <c r="I8" s="234">
        <f>VLOOKUP(I$4,'R Index'!$A3:$L72,$B8+1)</f>
        <v>59.246102604034398</v>
      </c>
      <c r="J8" s="234">
        <f>VLOOKUP(J$4,'R Index'!$A3:$L72,$B8+1)</f>
        <v>97.243157127184801</v>
      </c>
      <c r="K8" s="234">
        <f>VLOOKUP(K$4,'R Index'!$A3:$L72,$B8+1)</f>
        <v>67.487305595242006</v>
      </c>
      <c r="L8" s="218"/>
      <c r="N8" s="172"/>
      <c r="R8"/>
    </row>
    <row r="9" spans="1:18" ht="15" thickBot="1">
      <c r="A9" s="353" t="s">
        <v>219</v>
      </c>
      <c r="B9" s="204">
        <v>4</v>
      </c>
      <c r="C9" s="198">
        <v>100</v>
      </c>
      <c r="D9" s="214"/>
      <c r="E9" s="199">
        <v>15.38</v>
      </c>
      <c r="F9" s="209">
        <f>D9*'Ranch Strategies'!$I$37</f>
        <v>0</v>
      </c>
      <c r="G9" s="29">
        <f>VLOOKUP(G$4,'R Index'!A4:L73,B9+1)</f>
        <v>45.715563750636299</v>
      </c>
      <c r="H9" s="234">
        <f>VLOOKUP(H$4,'R Index'!$A4:$L73,$B9+1)</f>
        <v>117.43001704763699</v>
      </c>
      <c r="I9" s="234">
        <f>VLOOKUP(I$4,'R Index'!$A4:$L73,$B9+1)</f>
        <v>71.110928975510006</v>
      </c>
      <c r="J9" s="234">
        <f>VLOOKUP(J$4,'R Index'!$A4:$L73,$B9+1)</f>
        <v>75.9442578047788</v>
      </c>
      <c r="K9" s="234">
        <f>VLOOKUP(K$4,'R Index'!$A4:$L73,$B9+1)</f>
        <v>45.505226433463598</v>
      </c>
      <c r="L9" s="218"/>
      <c r="N9" s="172"/>
      <c r="R9"/>
    </row>
    <row r="10" spans="1:18" ht="15" thickBot="1">
      <c r="A10" s="353" t="s">
        <v>220</v>
      </c>
      <c r="B10" s="198">
        <v>5</v>
      </c>
      <c r="C10" s="198">
        <v>100</v>
      </c>
      <c r="D10" s="214">
        <v>0.5</v>
      </c>
      <c r="E10" s="199">
        <v>13.29</v>
      </c>
      <c r="F10" s="209">
        <f>D10*'Ranch Strategies'!$I$37</f>
        <v>44550</v>
      </c>
      <c r="G10" s="29">
        <f>VLOOKUP(G$4,'R Index'!A5:L74,B10+1)</f>
        <v>44.335477017737603</v>
      </c>
      <c r="H10" s="234">
        <f>VLOOKUP(H$4,'R Index'!$A5:$L74,$B10+1)</f>
        <v>115.13199858828401</v>
      </c>
      <c r="I10" s="234">
        <f>VLOOKUP(I$4,'R Index'!$A5:$L74,$B10+1)</f>
        <v>79.588367832909299</v>
      </c>
      <c r="J10" s="234">
        <f>VLOOKUP(J$4,'R Index'!$A5:$L74,$B10+1)</f>
        <v>161.87965078794801</v>
      </c>
      <c r="K10" s="234">
        <f>VLOOKUP(K$4,'R Index'!$A5:$L74,$B10+1)</f>
        <v>42.110051309421003</v>
      </c>
      <c r="L10" s="218"/>
      <c r="N10" s="172"/>
      <c r="R10"/>
    </row>
    <row r="11" spans="1:18" ht="15" thickBot="1">
      <c r="A11" s="353" t="s">
        <v>221</v>
      </c>
      <c r="B11" s="198">
        <v>6</v>
      </c>
      <c r="C11" s="198">
        <v>100</v>
      </c>
      <c r="D11" s="214"/>
      <c r="E11" s="199">
        <v>14.83</v>
      </c>
      <c r="F11" s="209">
        <f>D11*'Ranch Strategies'!$I$37</f>
        <v>0</v>
      </c>
      <c r="G11" s="29">
        <f>VLOOKUP(G$4,'R Index'!A6:L75,B11+1)</f>
        <v>29.5388686918111</v>
      </c>
      <c r="H11" s="234">
        <f>VLOOKUP(H$4,'R Index'!$A6:$L75,$B11+1)</f>
        <v>87.949888563744693</v>
      </c>
      <c r="I11" s="234">
        <f>VLOOKUP(I$4,'R Index'!$A6:$L75,$B11+1)</f>
        <v>96.321646311952705</v>
      </c>
      <c r="J11" s="234">
        <f>VLOOKUP(J$4,'R Index'!$A6:$L75,$B11+1)</f>
        <v>191.35571886145701</v>
      </c>
      <c r="K11" s="234">
        <f>VLOOKUP(K$4,'R Index'!$A6:$L75,$B11+1)</f>
        <v>70.025905437561093</v>
      </c>
      <c r="L11" s="218"/>
      <c r="N11" s="172"/>
      <c r="R11"/>
    </row>
    <row r="12" spans="1:18" ht="15" thickBot="1">
      <c r="A12" s="353" t="s">
        <v>222</v>
      </c>
      <c r="B12" s="204">
        <v>7</v>
      </c>
      <c r="C12" s="198">
        <v>100</v>
      </c>
      <c r="D12" s="214"/>
      <c r="E12" s="199">
        <v>14.65</v>
      </c>
      <c r="F12" s="209">
        <f>D12*'Ranch Strategies'!$I$37</f>
        <v>0</v>
      </c>
      <c r="G12" s="29">
        <f>VLOOKUP(G$4,'R Index'!A7:L76,B12+1)</f>
        <v>52.176165178624103</v>
      </c>
      <c r="H12" s="234">
        <f>VLOOKUP(H$4,'R Index'!$A7:$L76,$B12+1)</f>
        <v>58.0482595973074</v>
      </c>
      <c r="I12" s="234">
        <f>VLOOKUP(I$4,'R Index'!$A7:$L76,$B12+1)</f>
        <v>109.486295594599</v>
      </c>
      <c r="J12" s="234">
        <f>VLOOKUP(J$4,'R Index'!$A7:$L76,$B12+1)</f>
        <v>95.646984687092797</v>
      </c>
      <c r="K12" s="234">
        <f>VLOOKUP(K$4,'R Index'!$A7:$L76,$B12+1)</f>
        <v>114.948371093091</v>
      </c>
      <c r="L12" s="218"/>
      <c r="N12" s="172"/>
      <c r="R12"/>
    </row>
    <row r="13" spans="1:18" ht="15" thickBot="1">
      <c r="A13" s="353" t="s">
        <v>223</v>
      </c>
      <c r="B13" s="198">
        <v>8</v>
      </c>
      <c r="C13" s="198">
        <v>100</v>
      </c>
      <c r="D13" s="214"/>
      <c r="E13" s="199">
        <v>16.63</v>
      </c>
      <c r="F13" s="209">
        <f>D13*'Ranch Strategies'!$I$37</f>
        <v>0</v>
      </c>
      <c r="G13" s="29">
        <f>VLOOKUP(G$4,'R Index'!A8:L77,B13+1)</f>
        <v>97.091463935650594</v>
      </c>
      <c r="H13" s="234">
        <f>VLOOKUP(H$4,'R Index'!$A8:$L77,$B13+1)</f>
        <v>57.282841223244098</v>
      </c>
      <c r="I13" s="234">
        <f>VLOOKUP(I$4,'R Index'!$A8:$L77,$B13+1)</f>
        <v>148.11928577720499</v>
      </c>
      <c r="J13" s="234">
        <f>VLOOKUP(J$4,'R Index'!$A8:$L77,$B13+1)</f>
        <v>60.211372388053398</v>
      </c>
      <c r="K13" s="234">
        <f>VLOOKUP(K$4,'R Index'!$A8:$L77,$B13+1)</f>
        <v>119.446914962519</v>
      </c>
      <c r="L13" s="218"/>
      <c r="N13" s="172"/>
      <c r="R13"/>
    </row>
    <row r="14" spans="1:18" ht="15" thickBot="1">
      <c r="A14" s="353" t="s">
        <v>224</v>
      </c>
      <c r="B14" s="198">
        <v>9</v>
      </c>
      <c r="C14" s="198">
        <v>100</v>
      </c>
      <c r="D14" s="215"/>
      <c r="E14" s="201">
        <v>22.26</v>
      </c>
      <c r="F14" s="210">
        <f>D14*'Ranch Strategies'!$I$37</f>
        <v>0</v>
      </c>
      <c r="G14" s="29">
        <f>VLOOKUP(G$4,'R Index'!A9:L78,B14+1)</f>
        <v>96.421992304790095</v>
      </c>
      <c r="H14" s="234">
        <f>VLOOKUP(H$4,'R Index'!$A9:$L78,$B14+1)</f>
        <v>27.998962510784501</v>
      </c>
      <c r="I14" s="234">
        <f>VLOOKUP(I$4,'R Index'!$A9:$L78,$B14+1)</f>
        <v>194.49234563898301</v>
      </c>
      <c r="J14" s="234">
        <f>VLOOKUP(J$4,'R Index'!$A9:$L78,$B14+1)</f>
        <v>105.70514177590501</v>
      </c>
      <c r="K14" s="234">
        <f>VLOOKUP(K$4,'R Index'!$A9:$L78,$B14+1)</f>
        <v>96.478892466590196</v>
      </c>
      <c r="L14" s="218"/>
      <c r="N14" s="172"/>
      <c r="R14"/>
    </row>
    <row r="15" spans="1:18" ht="15" thickBot="1">
      <c r="A15" s="353" t="s">
        <v>225</v>
      </c>
      <c r="B15" s="204">
        <v>10</v>
      </c>
      <c r="C15" s="198">
        <v>100</v>
      </c>
      <c r="D15" s="216"/>
      <c r="E15" s="199">
        <v>23.02</v>
      </c>
      <c r="F15" s="210">
        <f>D15*'Ranch Strategies'!$I$37</f>
        <v>0</v>
      </c>
      <c r="G15" s="29">
        <f>VLOOKUP(G$4,'R Index'!A10:L79,B15+1)</f>
        <v>86.860822297264605</v>
      </c>
      <c r="H15" s="234">
        <f>VLOOKUP(H$4,'R Index'!$A10:$L79,$B15+1)</f>
        <v>29.856655437386301</v>
      </c>
      <c r="I15" s="234">
        <f>VLOOKUP(I$4,'R Index'!$A10:$L79,$B15+1)</f>
        <v>217.98889951227099</v>
      </c>
      <c r="J15" s="234">
        <f>VLOOKUP(J$4,'R Index'!$A10:$L79,$B15+1)</f>
        <v>165.478000614775</v>
      </c>
      <c r="K15" s="234">
        <f>VLOOKUP(K$4,'R Index'!$A10:$L79,$B15+1)</f>
        <v>49.621718824735296</v>
      </c>
      <c r="L15" s="218"/>
      <c r="N15" s="172"/>
      <c r="R15"/>
    </row>
    <row r="16" spans="1:18">
      <c r="A16" s="354" t="s">
        <v>226</v>
      </c>
      <c r="B16" s="202">
        <v>11</v>
      </c>
      <c r="C16" s="207">
        <v>100</v>
      </c>
      <c r="D16" s="217"/>
      <c r="E16" s="203">
        <v>26.46</v>
      </c>
      <c r="F16" s="211">
        <f>D16*'Ranch Strategies'!$I$37</f>
        <v>0</v>
      </c>
      <c r="G16" s="355">
        <f>VLOOKUP(G$4,'R Index'!A11:L80,B16+1)</f>
        <v>52.125295740467799</v>
      </c>
      <c r="H16" s="356">
        <f>VLOOKUP(H$4,'R Index'!$A11:$L80,$B16+1)</f>
        <v>71.608814028954896</v>
      </c>
      <c r="I16" s="356">
        <f>VLOOKUP(I$4,'R Index'!$A11:$L80,$B16+1)</f>
        <v>143.52897573657799</v>
      </c>
      <c r="J16" s="356">
        <f>VLOOKUP(J$4,'R Index'!$A11:$L80,$B16+1)</f>
        <v>44.816531791766998</v>
      </c>
      <c r="K16" s="356">
        <f>VLOOKUP(K$4,'R Index'!$A11:$L80,$B16+1)</f>
        <v>135.21883314929201</v>
      </c>
      <c r="L16" s="219"/>
      <c r="N16" s="172"/>
      <c r="R16"/>
    </row>
    <row r="17" spans="1:14">
      <c r="A17" s="172"/>
      <c r="B17" s="172"/>
      <c r="D17" s="172"/>
      <c r="E17" s="172"/>
      <c r="F17" s="172"/>
      <c r="J17" s="172"/>
      <c r="N17" s="172"/>
    </row>
    <row r="18" spans="1:14">
      <c r="A18" s="172"/>
      <c r="B18" s="172"/>
      <c r="D18" s="172"/>
      <c r="E18" s="172"/>
      <c r="F18" s="172"/>
      <c r="J18" s="172"/>
      <c r="N18" s="172"/>
    </row>
    <row r="19" spans="1:14">
      <c r="A19" s="172"/>
      <c r="B19" s="172"/>
      <c r="D19" s="172"/>
      <c r="E19" s="172"/>
      <c r="F19" s="172"/>
      <c r="J19" s="172"/>
      <c r="N19" s="172"/>
    </row>
    <row r="20" spans="1:14">
      <c r="A20" s="172"/>
      <c r="B20" s="172"/>
      <c r="D20" s="172"/>
      <c r="E20" s="172"/>
      <c r="F20" s="172"/>
      <c r="J20" s="172"/>
      <c r="N20" s="172"/>
    </row>
    <row r="21" spans="1:14">
      <c r="A21" s="172"/>
      <c r="B21" s="172"/>
      <c r="D21" s="172"/>
      <c r="E21" s="172"/>
      <c r="J21" s="172"/>
      <c r="N21" s="172"/>
    </row>
    <row r="22" spans="1:14">
      <c r="A22" s="172"/>
      <c r="B22" s="172"/>
      <c r="D22" s="172"/>
      <c r="E22" s="172"/>
      <c r="F22" s="172"/>
      <c r="J22" s="172"/>
      <c r="N22" s="172"/>
    </row>
    <row r="23" spans="1:14">
      <c r="A23" s="172"/>
      <c r="B23" s="172"/>
      <c r="D23" s="172"/>
      <c r="E23" s="172"/>
      <c r="F23" s="172"/>
      <c r="H23" s="212"/>
      <c r="J23" s="172"/>
      <c r="N23" s="172"/>
    </row>
    <row r="24" spans="1:14">
      <c r="A24" s="172"/>
      <c r="B24" s="172"/>
      <c r="D24" s="172"/>
      <c r="E24" s="172"/>
      <c r="F24" s="173"/>
      <c r="J24" s="172"/>
      <c r="N24" s="172"/>
    </row>
    <row r="25" spans="1:14">
      <c r="A25" s="172"/>
      <c r="B25" s="172"/>
      <c r="D25" s="172"/>
      <c r="E25" s="172"/>
      <c r="F25" s="172"/>
      <c r="J25" s="172"/>
      <c r="N25" s="172"/>
    </row>
    <row r="26" spans="1:14">
      <c r="A26" s="172"/>
      <c r="B26" s="172"/>
      <c r="D26" s="172"/>
      <c r="E26" s="172"/>
      <c r="I26" s="185"/>
      <c r="J26" s="172"/>
      <c r="N26" s="172"/>
    </row>
    <row r="27" spans="1:14">
      <c r="A27" s="172"/>
      <c r="B27" s="172"/>
      <c r="D27" s="172"/>
      <c r="E27" s="172"/>
      <c r="F27" s="172"/>
      <c r="I27" s="185"/>
      <c r="J27" s="172"/>
      <c r="N27" s="172"/>
    </row>
    <row r="28" spans="1:14">
      <c r="A28" s="172"/>
      <c r="B28" s="172"/>
      <c r="D28" s="172"/>
      <c r="E28" s="172"/>
      <c r="F28" s="172"/>
      <c r="I28" s="185"/>
      <c r="J28" s="172"/>
      <c r="N28" s="172"/>
    </row>
    <row r="29" spans="1:14">
      <c r="A29" s="172"/>
      <c r="B29" s="172"/>
      <c r="D29" s="172"/>
      <c r="E29" s="172"/>
      <c r="F29" s="172"/>
      <c r="J29" s="172"/>
      <c r="N29" s="172"/>
    </row>
    <row r="30" spans="1:14">
      <c r="A30" s="172"/>
      <c r="B30" s="172"/>
      <c r="D30" s="172"/>
      <c r="E30" s="172"/>
      <c r="F30" s="172"/>
      <c r="J30" s="172"/>
      <c r="N30" s="172"/>
    </row>
    <row r="31" spans="1:14">
      <c r="D31" s="172"/>
      <c r="E31" s="172"/>
      <c r="F31" s="172"/>
      <c r="J31" s="172"/>
      <c r="N31" s="172"/>
    </row>
    <row r="32" spans="1:14">
      <c r="D32" s="172"/>
      <c r="E32" s="172"/>
      <c r="F32" s="172"/>
      <c r="J32" s="172"/>
      <c r="N32" s="172"/>
    </row>
    <row r="33" spans="4:14">
      <c r="D33" s="172"/>
      <c r="E33" s="172"/>
      <c r="F33" s="172"/>
      <c r="J33" s="172"/>
      <c r="N33" s="172"/>
    </row>
    <row r="34" spans="4:14">
      <c r="D34" s="172"/>
      <c r="E34" s="172"/>
      <c r="F34" s="172"/>
      <c r="J34" s="172"/>
      <c r="N34" s="172"/>
    </row>
    <row r="35" spans="4:14">
      <c r="D35" s="172"/>
      <c r="E35" s="172"/>
      <c r="F35" s="172"/>
      <c r="J35" s="172"/>
      <c r="N35" s="172"/>
    </row>
    <row r="54" spans="25:26">
      <c r="Z54" s="183"/>
    </row>
    <row r="55" spans="25:26">
      <c r="Z55" s="183"/>
    </row>
    <row r="56" spans="25:26">
      <c r="Z56" s="183"/>
    </row>
    <row r="57" spans="25:26">
      <c r="Z57" s="183"/>
    </row>
    <row r="58" spans="25:26">
      <c r="Z58" s="183"/>
    </row>
    <row r="59" spans="25:26">
      <c r="Z59" s="183"/>
    </row>
    <row r="60" spans="25:26">
      <c r="Y60" s="183"/>
    </row>
  </sheetData>
  <pageMargins left="0.7" right="0.7" top="0.75" bottom="0.75" header="0.3" footer="0.3"/>
  <pageSetup scale="8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N69"/>
  <sheetViews>
    <sheetView workbookViewId="0">
      <selection activeCell="P7" sqref="P7"/>
    </sheetView>
  </sheetViews>
  <sheetFormatPr baseColWidth="10" defaultColWidth="8.83203125" defaultRowHeight="14" x14ac:dyDescent="0"/>
  <cols>
    <col min="13" max="13" width="8.83203125" style="232"/>
    <col min="14" max="14" width="8.83203125" style="232" customWidth="1"/>
    <col min="15" max="16384" width="8.83203125" style="232"/>
  </cols>
  <sheetData>
    <row r="1" spans="1:14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>
      <c r="A2">
        <v>1948</v>
      </c>
      <c r="B2">
        <v>156.334137720087</v>
      </c>
      <c r="C2">
        <v>84.855785916229394</v>
      </c>
      <c r="D2">
        <v>50.441609242783201</v>
      </c>
      <c r="E2">
        <v>49.915983899141203</v>
      </c>
      <c r="F2">
        <v>80.1141955128478</v>
      </c>
      <c r="G2">
        <v>97.671636294982406</v>
      </c>
      <c r="H2">
        <v>86.052406949692397</v>
      </c>
      <c r="I2">
        <v>61.255813990138698</v>
      </c>
      <c r="J2">
        <v>31.3076030126714</v>
      </c>
      <c r="K2">
        <v>44.835039660904201</v>
      </c>
      <c r="L2">
        <v>92.948850455332504</v>
      </c>
      <c r="N2" s="472" t="s">
        <v>312</v>
      </c>
    </row>
    <row r="3" spans="1:14">
      <c r="A3">
        <v>1949</v>
      </c>
      <c r="B3">
        <v>351.41781111164897</v>
      </c>
      <c r="C3">
        <v>150.79288078744699</v>
      </c>
      <c r="D3">
        <v>121.46286244935899</v>
      </c>
      <c r="E3">
        <v>139.67588139040501</v>
      </c>
      <c r="F3">
        <v>169.65037343593801</v>
      </c>
      <c r="G3">
        <v>110.860514455566</v>
      </c>
      <c r="H3">
        <v>58.053978776701598</v>
      </c>
      <c r="I3">
        <v>39.037482519297299</v>
      </c>
      <c r="J3">
        <v>56.517141335189002</v>
      </c>
      <c r="K3">
        <v>74.563430340482398</v>
      </c>
      <c r="L3">
        <v>26.744649883485</v>
      </c>
    </row>
    <row r="4" spans="1:14">
      <c r="A4">
        <v>1950</v>
      </c>
      <c r="B4">
        <v>72.300560478078097</v>
      </c>
      <c r="C4">
        <v>31.424105805114699</v>
      </c>
      <c r="D4">
        <v>49.908740465914903</v>
      </c>
      <c r="E4">
        <v>91.209519360711596</v>
      </c>
      <c r="F4">
        <v>79.7944123154209</v>
      </c>
      <c r="G4">
        <v>94.976124028007504</v>
      </c>
      <c r="H4">
        <v>84.928101060657795</v>
      </c>
      <c r="I4">
        <v>91.515031543256896</v>
      </c>
      <c r="J4">
        <v>122.828558177932</v>
      </c>
      <c r="K4">
        <v>59.5215988166904</v>
      </c>
      <c r="L4">
        <v>82.3976439431285</v>
      </c>
    </row>
    <row r="5" spans="1:14">
      <c r="A5">
        <v>1951</v>
      </c>
      <c r="B5">
        <v>127.044087000788</v>
      </c>
      <c r="C5">
        <v>31.084378412718898</v>
      </c>
      <c r="D5">
        <v>80.662810514817906</v>
      </c>
      <c r="E5">
        <v>113.794313457862</v>
      </c>
      <c r="F5">
        <v>95.328358158491199</v>
      </c>
      <c r="G5">
        <v>78.700075902232996</v>
      </c>
      <c r="H5">
        <v>100.545924305049</v>
      </c>
      <c r="I5">
        <v>127.11624835393</v>
      </c>
      <c r="J5">
        <v>172.33650546649</v>
      </c>
      <c r="K5">
        <v>192.39553794529499</v>
      </c>
      <c r="L5">
        <v>119.86075100011701</v>
      </c>
    </row>
    <row r="6" spans="1:14">
      <c r="A6">
        <v>1952</v>
      </c>
      <c r="B6">
        <v>48.0338603421336</v>
      </c>
      <c r="C6">
        <v>138.37537665097901</v>
      </c>
      <c r="D6">
        <v>110.74769024306001</v>
      </c>
      <c r="E6">
        <v>105.436660942046</v>
      </c>
      <c r="F6">
        <v>101.15432192684599</v>
      </c>
      <c r="G6">
        <v>57.278787581737497</v>
      </c>
      <c r="H6">
        <v>70.1862565730206</v>
      </c>
      <c r="I6">
        <v>75.379147697316597</v>
      </c>
      <c r="J6">
        <v>17.638653825404099</v>
      </c>
      <c r="K6">
        <v>63.919999460194198</v>
      </c>
      <c r="L6">
        <v>103.8317861764</v>
      </c>
    </row>
    <row r="7" spans="1:14">
      <c r="A7">
        <v>1953</v>
      </c>
      <c r="B7">
        <v>146.953107867288</v>
      </c>
      <c r="C7">
        <v>127.392503812808</v>
      </c>
      <c r="D7">
        <v>102.80420749498001</v>
      </c>
      <c r="E7">
        <v>87.186235147640701</v>
      </c>
      <c r="F7">
        <v>112.060027087726</v>
      </c>
      <c r="G7">
        <v>139.70402918446999</v>
      </c>
      <c r="H7">
        <v>115.937676450553</v>
      </c>
      <c r="I7">
        <v>63.367420869154401</v>
      </c>
      <c r="J7">
        <v>11.1776791049337</v>
      </c>
      <c r="K7">
        <v>51.930195198164803</v>
      </c>
      <c r="L7">
        <v>102.31199040246401</v>
      </c>
    </row>
    <row r="8" spans="1:14">
      <c r="A8">
        <v>1954</v>
      </c>
      <c r="B8">
        <v>50.419473597473797</v>
      </c>
      <c r="C8">
        <v>72.956841342731707</v>
      </c>
      <c r="D8">
        <v>49.597662340073903</v>
      </c>
      <c r="E8">
        <v>47.762236713644597</v>
      </c>
      <c r="F8">
        <v>48.998519522870403</v>
      </c>
      <c r="G8">
        <v>31.524850346795301</v>
      </c>
      <c r="H8">
        <v>72.313689789955205</v>
      </c>
      <c r="I8">
        <v>83.339754950375493</v>
      </c>
      <c r="J8">
        <v>26.360620633715602</v>
      </c>
      <c r="K8">
        <v>55.516462257231602</v>
      </c>
      <c r="L8">
        <v>109.14097992220699</v>
      </c>
    </row>
    <row r="9" spans="1:14">
      <c r="A9">
        <v>1955</v>
      </c>
      <c r="B9">
        <v>189.006261794484</v>
      </c>
      <c r="C9">
        <v>127.945974817786</v>
      </c>
      <c r="D9">
        <v>63.256335886711803</v>
      </c>
      <c r="E9">
        <v>75.542613289068399</v>
      </c>
      <c r="F9">
        <v>111.582135235682</v>
      </c>
      <c r="G9">
        <v>103.73985413283199</v>
      </c>
      <c r="H9">
        <v>104.715293619072</v>
      </c>
      <c r="I9">
        <v>156.73453439364599</v>
      </c>
      <c r="J9">
        <v>107.104557108756</v>
      </c>
      <c r="K9">
        <v>96.529263473487504</v>
      </c>
      <c r="L9">
        <v>153.83773609233</v>
      </c>
    </row>
    <row r="10" spans="1:14">
      <c r="A10">
        <v>1956</v>
      </c>
      <c r="B10">
        <v>199.464580155334</v>
      </c>
      <c r="C10">
        <v>96.987282668889705</v>
      </c>
      <c r="D10">
        <v>66.622206310713196</v>
      </c>
      <c r="E10">
        <v>75.306231635057898</v>
      </c>
      <c r="F10">
        <v>70.343767671639895</v>
      </c>
      <c r="G10">
        <v>66.697939791632095</v>
      </c>
      <c r="H10">
        <v>75.680374837517206</v>
      </c>
      <c r="I10">
        <v>50.5577829803429</v>
      </c>
      <c r="J10">
        <v>2.3672410648860298</v>
      </c>
      <c r="K10">
        <v>85.245781058392495</v>
      </c>
      <c r="L10">
        <v>188.215488528641</v>
      </c>
    </row>
    <row r="11" spans="1:14">
      <c r="A11">
        <v>1957</v>
      </c>
      <c r="B11">
        <v>52.020990949302302</v>
      </c>
      <c r="C11">
        <v>30.072796331947998</v>
      </c>
      <c r="D11">
        <v>108.67197800106101</v>
      </c>
      <c r="E11">
        <v>195.043619652518</v>
      </c>
      <c r="F11">
        <v>164.541800111328</v>
      </c>
      <c r="G11">
        <v>130.292747087957</v>
      </c>
      <c r="H11">
        <v>141.82323173192901</v>
      </c>
      <c r="I11">
        <v>93.647966504997598</v>
      </c>
      <c r="J11">
        <v>113.163349249386</v>
      </c>
      <c r="K11">
        <v>163.854920872777</v>
      </c>
      <c r="L11">
        <v>58.910948991473703</v>
      </c>
    </row>
    <row r="12" spans="1:14">
      <c r="A12">
        <v>1958</v>
      </c>
      <c r="B12">
        <v>48.875513307032897</v>
      </c>
      <c r="C12">
        <v>194.95499946560901</v>
      </c>
      <c r="D12">
        <v>149.46666530755499</v>
      </c>
      <c r="E12">
        <v>111.026358114903</v>
      </c>
      <c r="F12">
        <v>112.26962856783101</v>
      </c>
      <c r="G12">
        <v>126.603142206942</v>
      </c>
      <c r="H12">
        <v>102.99791017590999</v>
      </c>
      <c r="I12">
        <v>55.730751390385002</v>
      </c>
      <c r="J12">
        <v>54.235597082716502</v>
      </c>
      <c r="K12">
        <v>53.938075915912997</v>
      </c>
      <c r="L12">
        <v>169.68893941527401</v>
      </c>
    </row>
    <row r="13" spans="1:14">
      <c r="A13">
        <v>1959</v>
      </c>
      <c r="B13">
        <v>126.939874303434</v>
      </c>
      <c r="C13">
        <v>207.97810512957599</v>
      </c>
      <c r="D13">
        <v>166.61421996306299</v>
      </c>
      <c r="E13">
        <v>118.232831999947</v>
      </c>
      <c r="F13">
        <v>82.471439886953704</v>
      </c>
      <c r="G13">
        <v>61.371934636475402</v>
      </c>
      <c r="H13">
        <v>57.004452248622897</v>
      </c>
      <c r="I13">
        <v>67.745213866113602</v>
      </c>
      <c r="J13">
        <v>190.18313219898801</v>
      </c>
      <c r="K13">
        <v>177.30903696407401</v>
      </c>
      <c r="L13">
        <v>1.51177588074404</v>
      </c>
    </row>
    <row r="14" spans="1:14">
      <c r="A14">
        <v>1960</v>
      </c>
      <c r="B14">
        <v>82.128908502707105</v>
      </c>
      <c r="C14">
        <v>61.7585677669218</v>
      </c>
      <c r="D14">
        <v>52.258858302431904</v>
      </c>
      <c r="E14">
        <v>72.2426456327441</v>
      </c>
      <c r="F14">
        <v>69.857882715994407</v>
      </c>
      <c r="G14">
        <v>48.324285322022902</v>
      </c>
      <c r="H14">
        <v>36.3689289508293</v>
      </c>
      <c r="I14">
        <v>31.050512835700701</v>
      </c>
      <c r="J14">
        <v>77.715066965046603</v>
      </c>
      <c r="K14">
        <v>116.891742199871</v>
      </c>
      <c r="L14">
        <v>55.845242391120699</v>
      </c>
    </row>
    <row r="15" spans="1:14">
      <c r="A15">
        <v>1961</v>
      </c>
      <c r="B15">
        <v>35.365924689577596</v>
      </c>
      <c r="C15">
        <v>210.33118583560699</v>
      </c>
      <c r="D15">
        <v>122.674726668758</v>
      </c>
      <c r="E15">
        <v>108.72389759993401</v>
      </c>
      <c r="F15">
        <v>131.93664585859199</v>
      </c>
      <c r="G15">
        <v>97.817437497210804</v>
      </c>
      <c r="H15">
        <v>78.821239401138001</v>
      </c>
      <c r="I15">
        <v>129.858859985826</v>
      </c>
      <c r="J15">
        <v>138.748008874795</v>
      </c>
      <c r="K15">
        <v>48.351514686881401</v>
      </c>
      <c r="L15">
        <v>47.933784057507602</v>
      </c>
    </row>
    <row r="16" spans="1:14">
      <c r="A16">
        <v>1962</v>
      </c>
      <c r="B16">
        <v>199.127200200148</v>
      </c>
      <c r="C16">
        <v>65.906352021302496</v>
      </c>
      <c r="D16">
        <v>24.869273826812901</v>
      </c>
      <c r="E16">
        <v>76.3648206146691</v>
      </c>
      <c r="F16">
        <v>132.53848477975299</v>
      </c>
      <c r="G16">
        <v>162.12083229381699</v>
      </c>
      <c r="H16">
        <v>120.51932657044</v>
      </c>
      <c r="I16">
        <v>51.633152587836697</v>
      </c>
      <c r="J16">
        <v>41.898775081729397</v>
      </c>
      <c r="K16">
        <v>58.543351157738996</v>
      </c>
      <c r="L16">
        <v>57.2462506324798</v>
      </c>
    </row>
    <row r="17" spans="1:12">
      <c r="A17">
        <v>1963</v>
      </c>
      <c r="B17">
        <v>32.671821541506702</v>
      </c>
      <c r="C17">
        <v>49.597952561846199</v>
      </c>
      <c r="D17">
        <v>43.455710548341699</v>
      </c>
      <c r="E17">
        <v>30.687890697096901</v>
      </c>
      <c r="F17">
        <v>63.168228214981497</v>
      </c>
      <c r="G17">
        <v>74.155204108184094</v>
      </c>
      <c r="H17">
        <v>100.43828967038201</v>
      </c>
      <c r="I17">
        <v>176.69028373844799</v>
      </c>
      <c r="J17">
        <v>150.518107486302</v>
      </c>
      <c r="K17">
        <v>61.233391185243001</v>
      </c>
      <c r="L17">
        <v>41.176404840271303</v>
      </c>
    </row>
    <row r="18" spans="1:12">
      <c r="A18">
        <v>1964</v>
      </c>
      <c r="B18">
        <v>15.022635069514299</v>
      </c>
      <c r="C18">
        <v>37.093984366590099</v>
      </c>
      <c r="D18">
        <v>74.708290944583197</v>
      </c>
      <c r="E18">
        <v>67.910172977350598</v>
      </c>
      <c r="F18">
        <v>47.674886710880997</v>
      </c>
      <c r="G18">
        <v>31.255467193848801</v>
      </c>
      <c r="H18">
        <v>21.695063331334801</v>
      </c>
      <c r="I18">
        <v>31.690918607275801</v>
      </c>
      <c r="J18">
        <v>32.175432469810602</v>
      </c>
      <c r="K18">
        <v>10.419709311179099</v>
      </c>
      <c r="L18">
        <v>9.7091335926118791</v>
      </c>
    </row>
    <row r="19" spans="1:12">
      <c r="A19">
        <v>1965</v>
      </c>
      <c r="B19">
        <v>85.434321743296593</v>
      </c>
      <c r="C19">
        <v>47.230093311813597</v>
      </c>
      <c r="D19">
        <v>50.160710229019202</v>
      </c>
      <c r="E19">
        <v>106.49541634167601</v>
      </c>
      <c r="F19">
        <v>184.720277660938</v>
      </c>
      <c r="G19">
        <v>173.40138531084199</v>
      </c>
      <c r="H19">
        <v>90.293625345448604</v>
      </c>
      <c r="I19">
        <v>98.070624137054594</v>
      </c>
      <c r="J19">
        <v>101.54340333254601</v>
      </c>
      <c r="K19">
        <v>36.701356604448897</v>
      </c>
      <c r="L19">
        <v>19.4817657046876</v>
      </c>
    </row>
    <row r="20" spans="1:12">
      <c r="A20">
        <v>1966</v>
      </c>
      <c r="B20">
        <v>21.5864490318124</v>
      </c>
      <c r="C20">
        <v>9.0479472380104706</v>
      </c>
      <c r="D20">
        <v>32.2912640420139</v>
      </c>
      <c r="E20">
        <v>19.301004693480799</v>
      </c>
      <c r="F20">
        <v>66.173649722433296</v>
      </c>
      <c r="G20">
        <v>104.87937774821501</v>
      </c>
      <c r="H20">
        <v>86.841391926659696</v>
      </c>
      <c r="I20">
        <v>121.010433984893</v>
      </c>
      <c r="J20">
        <v>111.030149967157</v>
      </c>
      <c r="K20">
        <v>58.965092208875099</v>
      </c>
      <c r="L20">
        <v>38.3175562144339</v>
      </c>
    </row>
    <row r="21" spans="1:12">
      <c r="A21">
        <v>1967</v>
      </c>
      <c r="B21">
        <v>69.576671419361801</v>
      </c>
      <c r="C21">
        <v>43.558087922558698</v>
      </c>
      <c r="D21">
        <v>100.65726898106399</v>
      </c>
      <c r="E21">
        <v>122.901161631848</v>
      </c>
      <c r="F21">
        <v>143.27203843443101</v>
      </c>
      <c r="G21">
        <v>168.99171442271299</v>
      </c>
      <c r="H21">
        <v>122.665673220812</v>
      </c>
      <c r="I21">
        <v>70.217093911255702</v>
      </c>
      <c r="J21">
        <v>57.888697817257103</v>
      </c>
      <c r="K21">
        <v>66.895683338177193</v>
      </c>
      <c r="L21">
        <v>87.966329851446702</v>
      </c>
    </row>
    <row r="22" spans="1:12">
      <c r="A22">
        <v>1968</v>
      </c>
      <c r="B22">
        <v>70.199724622694106</v>
      </c>
      <c r="C22">
        <v>68.716184263639803</v>
      </c>
      <c r="D22">
        <v>59.526777331299201</v>
      </c>
      <c r="E22">
        <v>100.265855345595</v>
      </c>
      <c r="F22">
        <v>90.332701767034905</v>
      </c>
      <c r="G22">
        <v>84.6419336657858</v>
      </c>
      <c r="H22">
        <v>122.16364525631001</v>
      </c>
      <c r="I22">
        <v>86.410746806552098</v>
      </c>
      <c r="J22">
        <v>27.954341180680601</v>
      </c>
      <c r="K22">
        <v>62.2515587335186</v>
      </c>
      <c r="L22">
        <v>62.7268214187106</v>
      </c>
    </row>
    <row r="23" spans="1:12">
      <c r="A23">
        <v>1969</v>
      </c>
      <c r="B23">
        <v>31.4096544905087</v>
      </c>
      <c r="C23">
        <v>33.749934752547098</v>
      </c>
      <c r="D23">
        <v>88.944794745993903</v>
      </c>
      <c r="E23">
        <v>105.789290796449</v>
      </c>
      <c r="F23">
        <v>107.55046964205999</v>
      </c>
      <c r="G23">
        <v>102.464679873739</v>
      </c>
      <c r="H23">
        <v>72.590206632472103</v>
      </c>
      <c r="I23">
        <v>64.841412860678304</v>
      </c>
      <c r="J23">
        <v>154.67442824950501</v>
      </c>
      <c r="K23">
        <v>181.63369820564901</v>
      </c>
      <c r="L23">
        <v>21.244167883060101</v>
      </c>
    </row>
    <row r="24" spans="1:12">
      <c r="A24">
        <v>1970</v>
      </c>
      <c r="B24">
        <v>13.6145870223251</v>
      </c>
      <c r="C24">
        <v>115.95255614880701</v>
      </c>
      <c r="D24">
        <v>122.240246238016</v>
      </c>
      <c r="E24">
        <v>73.006366017548402</v>
      </c>
      <c r="F24">
        <v>80.3784345548994</v>
      </c>
      <c r="G24">
        <v>99.4692912161198</v>
      </c>
      <c r="H24">
        <v>59.860306323736097</v>
      </c>
      <c r="I24">
        <v>62.762703458579701</v>
      </c>
      <c r="J24">
        <v>122.196274257464</v>
      </c>
      <c r="K24">
        <v>86.121720104915696</v>
      </c>
      <c r="L24">
        <v>55.344402990449801</v>
      </c>
    </row>
    <row r="25" spans="1:12">
      <c r="A25">
        <v>1971</v>
      </c>
      <c r="B25">
        <v>129.68727687881201</v>
      </c>
      <c r="C25">
        <v>115.22273604903999</v>
      </c>
      <c r="D25">
        <v>190.92708615704299</v>
      </c>
      <c r="E25">
        <v>150.16079197984899</v>
      </c>
      <c r="F25">
        <v>65.042302479557094</v>
      </c>
      <c r="G25">
        <v>27.436452397954501</v>
      </c>
      <c r="H25">
        <v>31.8561739423725</v>
      </c>
      <c r="I25">
        <v>106.07092088081799</v>
      </c>
      <c r="J25">
        <v>145.914595665386</v>
      </c>
      <c r="K25">
        <v>44.987679445270501</v>
      </c>
      <c r="L25">
        <v>6.8948510452181599</v>
      </c>
    </row>
    <row r="26" spans="1:12">
      <c r="A26">
        <v>1972</v>
      </c>
      <c r="B26">
        <v>56.089700993811299</v>
      </c>
      <c r="C26">
        <v>39.847757796856598</v>
      </c>
      <c r="D26">
        <v>56.993088024385699</v>
      </c>
      <c r="E26">
        <v>52.074778386425002</v>
      </c>
      <c r="F26">
        <v>96.926757955059202</v>
      </c>
      <c r="G26">
        <v>108.38593311777799</v>
      </c>
      <c r="H26">
        <v>96.122013242924893</v>
      </c>
      <c r="I26">
        <v>128.30624553349199</v>
      </c>
      <c r="J26">
        <v>89.200606846565606</v>
      </c>
      <c r="K26">
        <v>96.711469765522494</v>
      </c>
      <c r="L26">
        <v>149.41457106000999</v>
      </c>
    </row>
    <row r="27" spans="1:12">
      <c r="A27">
        <v>1973</v>
      </c>
      <c r="B27">
        <v>57.758795750764598</v>
      </c>
      <c r="C27">
        <v>122.19443390221301</v>
      </c>
      <c r="D27">
        <v>149.91623897970999</v>
      </c>
      <c r="E27">
        <v>68.302587628362602</v>
      </c>
      <c r="F27">
        <v>40.538374156037698</v>
      </c>
      <c r="G27">
        <v>109.752826680436</v>
      </c>
      <c r="H27">
        <v>117.03861485677901</v>
      </c>
      <c r="I27">
        <v>131.349392285466</v>
      </c>
      <c r="J27">
        <v>149.883643244822</v>
      </c>
      <c r="K27">
        <v>98.568719194156103</v>
      </c>
      <c r="L27">
        <v>216.626025789648</v>
      </c>
    </row>
    <row r="28" spans="1:12">
      <c r="A28">
        <v>1974</v>
      </c>
      <c r="B28">
        <v>87.308029515898596</v>
      </c>
      <c r="C28">
        <v>106.374783043715</v>
      </c>
      <c r="D28">
        <v>96.143578255928105</v>
      </c>
      <c r="E28">
        <v>26.827774226772998</v>
      </c>
      <c r="F28">
        <v>66.928823608018305</v>
      </c>
      <c r="G28">
        <v>111.562486189642</v>
      </c>
      <c r="H28">
        <v>65.748246921782297</v>
      </c>
      <c r="I28">
        <v>38.004218557009402</v>
      </c>
      <c r="J28">
        <v>74.459967707239997</v>
      </c>
      <c r="K28">
        <v>100.22528245146</v>
      </c>
      <c r="L28">
        <v>42.033239563202002</v>
      </c>
    </row>
    <row r="29" spans="1:12">
      <c r="A29">
        <v>1975</v>
      </c>
      <c r="B29">
        <v>61.284149803680002</v>
      </c>
      <c r="C29">
        <v>87.443972351486806</v>
      </c>
      <c r="D29">
        <v>88.972114203915297</v>
      </c>
      <c r="E29">
        <v>107.138521853303</v>
      </c>
      <c r="F29">
        <v>95.059936152740406</v>
      </c>
      <c r="G29">
        <v>74.618981822323803</v>
      </c>
      <c r="H29">
        <v>73.879282010388806</v>
      </c>
      <c r="I29">
        <v>50.506959159026998</v>
      </c>
      <c r="J29">
        <v>46.8759528751199</v>
      </c>
      <c r="K29">
        <v>59.232839622545399</v>
      </c>
      <c r="L29">
        <v>116.052640425951</v>
      </c>
    </row>
    <row r="30" spans="1:12">
      <c r="A30">
        <v>1976</v>
      </c>
      <c r="B30">
        <v>90.699454264207603</v>
      </c>
      <c r="C30">
        <v>56.854719607237101</v>
      </c>
      <c r="D30">
        <v>87.8620367513915</v>
      </c>
      <c r="E30">
        <v>78.815345363516101</v>
      </c>
      <c r="F30">
        <v>52.856839719237797</v>
      </c>
      <c r="G30">
        <v>70.624231494576094</v>
      </c>
      <c r="H30">
        <v>90.567026648090405</v>
      </c>
      <c r="I30">
        <v>84.682127060005001</v>
      </c>
      <c r="J30">
        <v>57.291334096122398</v>
      </c>
      <c r="K30">
        <v>18.854550373966902</v>
      </c>
      <c r="L30">
        <v>17.195215301437401</v>
      </c>
    </row>
    <row r="31" spans="1:12">
      <c r="A31">
        <v>1977</v>
      </c>
      <c r="B31">
        <v>21.436651977759499</v>
      </c>
      <c r="C31">
        <v>44.277477632529703</v>
      </c>
      <c r="D31">
        <v>116.09663806848999</v>
      </c>
      <c r="E31">
        <v>163.81966245678001</v>
      </c>
      <c r="F31">
        <v>112.17811331291399</v>
      </c>
      <c r="G31">
        <v>95.002832713336502</v>
      </c>
      <c r="H31">
        <v>105.165600051306</v>
      </c>
      <c r="I31">
        <v>43.461389399178003</v>
      </c>
      <c r="J31">
        <v>19.092299203836902</v>
      </c>
      <c r="K31">
        <v>13.8816278394383</v>
      </c>
      <c r="L31">
        <v>38.191890055444198</v>
      </c>
    </row>
    <row r="32" spans="1:12">
      <c r="A32">
        <v>1978</v>
      </c>
      <c r="B32">
        <v>95.552864998261299</v>
      </c>
      <c r="C32">
        <v>55.012544265228698</v>
      </c>
      <c r="D32">
        <v>46.197103168974699</v>
      </c>
      <c r="E32">
        <v>108.598454378497</v>
      </c>
      <c r="F32">
        <v>104.671015961134</v>
      </c>
      <c r="G32">
        <v>57.8018544570511</v>
      </c>
      <c r="H32">
        <v>69.210833265516399</v>
      </c>
      <c r="I32">
        <v>55.213419940327398</v>
      </c>
      <c r="J32">
        <v>35.477858998355103</v>
      </c>
      <c r="K32">
        <v>75.236797068539303</v>
      </c>
      <c r="L32">
        <v>158.46371838925799</v>
      </c>
    </row>
    <row r="33" spans="1:12">
      <c r="A33">
        <v>1979</v>
      </c>
      <c r="B33">
        <v>27.199623064387499</v>
      </c>
      <c r="C33">
        <v>123.15174200545</v>
      </c>
      <c r="D33">
        <v>87.156808403141696</v>
      </c>
      <c r="E33">
        <v>91.999946136225603</v>
      </c>
      <c r="F33">
        <v>116.07204213127601</v>
      </c>
      <c r="G33">
        <v>83.992278487157904</v>
      </c>
      <c r="H33">
        <v>114.150937779496</v>
      </c>
      <c r="I33">
        <v>138.25938903931299</v>
      </c>
      <c r="J33">
        <v>65.992468799527501</v>
      </c>
      <c r="K33">
        <v>177.93426915452699</v>
      </c>
      <c r="L33">
        <v>303.51896800302001</v>
      </c>
    </row>
    <row r="34" spans="1:12">
      <c r="A34">
        <v>1980</v>
      </c>
      <c r="B34">
        <v>374.976031701652</v>
      </c>
      <c r="C34">
        <v>183.238950694512</v>
      </c>
      <c r="D34">
        <v>127.347361102439</v>
      </c>
      <c r="E34">
        <v>90.572674588442297</v>
      </c>
      <c r="F34">
        <v>51.272194981490998</v>
      </c>
      <c r="G34">
        <v>44.149515532399398</v>
      </c>
      <c r="H34">
        <v>68.280680819182294</v>
      </c>
      <c r="I34">
        <v>56.732550598629899</v>
      </c>
      <c r="J34">
        <v>64.487418334111197</v>
      </c>
      <c r="K34">
        <v>62.829519651656703</v>
      </c>
      <c r="L34">
        <v>36.730775148612402</v>
      </c>
    </row>
    <row r="35" spans="1:12">
      <c r="A35">
        <v>1981</v>
      </c>
      <c r="B35">
        <v>47.617979549247799</v>
      </c>
      <c r="C35">
        <v>109.793384064531</v>
      </c>
      <c r="D35">
        <v>104.675418235667</v>
      </c>
      <c r="E35">
        <v>151.13892202845099</v>
      </c>
      <c r="F35">
        <v>142.29943556075401</v>
      </c>
      <c r="G35">
        <v>105.20954854692</v>
      </c>
      <c r="H35">
        <v>122.104116341083</v>
      </c>
      <c r="I35">
        <v>108.564220566052</v>
      </c>
      <c r="J35">
        <v>92.3924834666972</v>
      </c>
      <c r="K35">
        <v>68.440115477045396</v>
      </c>
      <c r="L35">
        <v>50.165062666236302</v>
      </c>
    </row>
    <row r="36" spans="1:12">
      <c r="A36">
        <v>1982</v>
      </c>
      <c r="B36">
        <v>50.299721294103399</v>
      </c>
      <c r="C36">
        <v>43.026081690413797</v>
      </c>
      <c r="D36">
        <v>34.3705568296878</v>
      </c>
      <c r="E36">
        <v>84.593280914853693</v>
      </c>
      <c r="F36">
        <v>130.09883210806399</v>
      </c>
      <c r="G36">
        <v>180.759330525313</v>
      </c>
      <c r="H36">
        <v>158.32155164451299</v>
      </c>
      <c r="I36">
        <v>125.843562387841</v>
      </c>
      <c r="J36">
        <v>154.792894262039</v>
      </c>
      <c r="K36">
        <v>94.229065443434195</v>
      </c>
      <c r="L36">
        <v>75.031773969221305</v>
      </c>
    </row>
    <row r="37" spans="1:12">
      <c r="A37">
        <v>1983</v>
      </c>
      <c r="B37">
        <v>10.756183686219201</v>
      </c>
      <c r="C37">
        <v>165.59287262739599</v>
      </c>
      <c r="D37">
        <v>225.56939826735299</v>
      </c>
      <c r="E37">
        <v>176.206485306594</v>
      </c>
      <c r="F37">
        <v>137.567749578459</v>
      </c>
      <c r="G37">
        <v>101.15014335296399</v>
      </c>
      <c r="H37">
        <v>90.090713646237006</v>
      </c>
      <c r="I37">
        <v>76.815083470035901</v>
      </c>
      <c r="J37">
        <v>46.680458543470202</v>
      </c>
      <c r="K37">
        <v>129.94683845931701</v>
      </c>
      <c r="L37">
        <v>174.77937601018601</v>
      </c>
    </row>
    <row r="38" spans="1:12">
      <c r="A38">
        <v>1984</v>
      </c>
      <c r="B38">
        <v>107.70588588731199</v>
      </c>
      <c r="C38">
        <v>130.357107513502</v>
      </c>
      <c r="D38">
        <v>181.28063420144099</v>
      </c>
      <c r="E38">
        <v>108.21007826050599</v>
      </c>
      <c r="F38">
        <v>76.780951845867193</v>
      </c>
      <c r="G38">
        <v>112.02892151246</v>
      </c>
      <c r="H38">
        <v>113.80390588453901</v>
      </c>
      <c r="I38">
        <v>83.465076078095194</v>
      </c>
      <c r="J38">
        <v>136.67128108401599</v>
      </c>
      <c r="K38">
        <v>167.04929277555499</v>
      </c>
      <c r="L38">
        <v>35.0353282645627</v>
      </c>
    </row>
    <row r="39" spans="1:12">
      <c r="A39">
        <v>1985</v>
      </c>
      <c r="B39">
        <v>87.187449627602803</v>
      </c>
      <c r="C39">
        <v>19.097955155432899</v>
      </c>
      <c r="D39">
        <v>76.245836956300096</v>
      </c>
      <c r="E39">
        <v>67.375264048071799</v>
      </c>
      <c r="F39">
        <v>50.7867089808557</v>
      </c>
      <c r="G39">
        <v>130.65932824621601</v>
      </c>
      <c r="H39">
        <v>136.62463463453801</v>
      </c>
      <c r="I39">
        <v>88.982649361577003</v>
      </c>
      <c r="J39">
        <v>133.85401291181299</v>
      </c>
      <c r="K39">
        <v>154.59014527737099</v>
      </c>
      <c r="L39">
        <v>211.74015426797001</v>
      </c>
    </row>
    <row r="40" spans="1:12">
      <c r="A40">
        <v>1986</v>
      </c>
      <c r="B40">
        <v>61.004886266843101</v>
      </c>
      <c r="C40">
        <v>68.096354845874302</v>
      </c>
      <c r="D40">
        <v>99.952296775991201</v>
      </c>
      <c r="E40">
        <v>78.684488942557095</v>
      </c>
      <c r="F40">
        <v>81.419757970450107</v>
      </c>
      <c r="G40">
        <v>80.304351192697595</v>
      </c>
      <c r="H40">
        <v>53.150767155710497</v>
      </c>
      <c r="I40">
        <v>79.719136747762803</v>
      </c>
      <c r="J40">
        <v>133.24261473754601</v>
      </c>
      <c r="K40">
        <v>177.53304307779399</v>
      </c>
      <c r="L40">
        <v>121.11527821163</v>
      </c>
    </row>
    <row r="41" spans="1:12">
      <c r="A41">
        <v>1987</v>
      </c>
      <c r="B41">
        <v>163.46251355035901</v>
      </c>
      <c r="C41">
        <v>163.669625955154</v>
      </c>
      <c r="D41">
        <v>62.79718408902</v>
      </c>
      <c r="E41">
        <v>112.66707045086299</v>
      </c>
      <c r="F41">
        <v>127.092307951791</v>
      </c>
      <c r="G41">
        <v>87.222673610491896</v>
      </c>
      <c r="H41">
        <v>115.638123544702</v>
      </c>
      <c r="I41">
        <v>122.485842966315</v>
      </c>
      <c r="J41">
        <v>65.752496025342296</v>
      </c>
      <c r="K41">
        <v>142.11485077349801</v>
      </c>
      <c r="L41">
        <v>217.559087456246</v>
      </c>
    </row>
    <row r="42" spans="1:12">
      <c r="A42">
        <v>1988</v>
      </c>
      <c r="B42">
        <v>131.544965722488</v>
      </c>
      <c r="C42">
        <v>137.69278363682201</v>
      </c>
      <c r="D42">
        <v>118.505110466798</v>
      </c>
      <c r="E42">
        <v>117.31739725055699</v>
      </c>
      <c r="F42">
        <v>120.667936010517</v>
      </c>
      <c r="G42">
        <v>86.171908618311207</v>
      </c>
      <c r="H42">
        <v>50.4093890801757</v>
      </c>
      <c r="I42">
        <v>77.231203876756098</v>
      </c>
      <c r="J42">
        <v>74.466355215565599</v>
      </c>
      <c r="K42">
        <v>23.9184206980004</v>
      </c>
      <c r="L42">
        <v>78.156397024875901</v>
      </c>
    </row>
    <row r="43" spans="1:12">
      <c r="A43">
        <v>1989</v>
      </c>
      <c r="B43">
        <v>151.24061279621199</v>
      </c>
      <c r="C43">
        <v>102.0434375565</v>
      </c>
      <c r="D43">
        <v>50.747970445074898</v>
      </c>
      <c r="E43">
        <v>56.290988152214403</v>
      </c>
      <c r="F43">
        <v>83.018592134781301</v>
      </c>
      <c r="G43">
        <v>99.989082470800497</v>
      </c>
      <c r="H43">
        <v>93.5986025439569</v>
      </c>
      <c r="I43">
        <v>126.380610459216</v>
      </c>
      <c r="J43">
        <v>111.36508233782099</v>
      </c>
      <c r="K43">
        <v>28.107699656002101</v>
      </c>
      <c r="L43">
        <v>55.616847982418101</v>
      </c>
    </row>
    <row r="44" spans="1:12">
      <c r="A44">
        <v>1990</v>
      </c>
      <c r="B44">
        <v>127.563290736084</v>
      </c>
      <c r="C44">
        <v>347.27391832359802</v>
      </c>
      <c r="D44">
        <v>224.55249985886701</v>
      </c>
      <c r="E44">
        <v>106.603894370163</v>
      </c>
      <c r="F44">
        <v>78.368112531977502</v>
      </c>
      <c r="G44">
        <v>85.125761346393304</v>
      </c>
      <c r="H44">
        <v>117.775419091122</v>
      </c>
      <c r="I44">
        <v>108.1203585767</v>
      </c>
      <c r="J44">
        <v>111.327278328993</v>
      </c>
      <c r="K44">
        <v>106.89507561849901</v>
      </c>
      <c r="L44">
        <v>94.207571659863703</v>
      </c>
    </row>
    <row r="45" spans="1:12">
      <c r="A45">
        <v>1991</v>
      </c>
      <c r="B45">
        <v>39.246159347194997</v>
      </c>
      <c r="C45">
        <v>30.268525543349298</v>
      </c>
      <c r="D45">
        <v>64.598081869882904</v>
      </c>
      <c r="E45">
        <v>92.970793968845001</v>
      </c>
      <c r="F45">
        <v>119.699393488357</v>
      </c>
      <c r="G45">
        <v>149.86015848498599</v>
      </c>
      <c r="H45">
        <v>131.25604895971401</v>
      </c>
      <c r="I45">
        <v>91.312035818482897</v>
      </c>
      <c r="J45">
        <v>78.800204881844294</v>
      </c>
      <c r="K45">
        <v>129.32636959848199</v>
      </c>
      <c r="L45">
        <v>136.926802434563</v>
      </c>
    </row>
    <row r="46" spans="1:12">
      <c r="A46">
        <v>1992</v>
      </c>
      <c r="B46">
        <v>81.311974814067497</v>
      </c>
      <c r="C46">
        <v>178.391442608972</v>
      </c>
      <c r="D46">
        <v>116.158121649668</v>
      </c>
      <c r="E46">
        <v>43.642547687859697</v>
      </c>
      <c r="F46">
        <v>87.164849500724003</v>
      </c>
      <c r="G46">
        <v>112.393180054669</v>
      </c>
      <c r="H46">
        <v>120.421115597059</v>
      </c>
      <c r="I46">
        <v>93.138608937936795</v>
      </c>
      <c r="J46">
        <v>27.240573961009101</v>
      </c>
      <c r="K46">
        <v>103.265116721545</v>
      </c>
      <c r="L46">
        <v>152.13244153303901</v>
      </c>
    </row>
    <row r="47" spans="1:12">
      <c r="A47">
        <v>1993</v>
      </c>
      <c r="B47">
        <v>135.327812027405</v>
      </c>
      <c r="C47">
        <v>132.319065928724</v>
      </c>
      <c r="D47">
        <v>142.84795015926201</v>
      </c>
      <c r="E47">
        <v>103.50731114037799</v>
      </c>
      <c r="F47">
        <v>88.184524793156001</v>
      </c>
      <c r="G47">
        <v>71.881869163167494</v>
      </c>
      <c r="H47">
        <v>73.455388912424496</v>
      </c>
      <c r="I47">
        <v>141.92610593137599</v>
      </c>
      <c r="J47">
        <v>203.078908525564</v>
      </c>
      <c r="K47">
        <v>240.61364796548099</v>
      </c>
      <c r="L47">
        <v>138.85518236750099</v>
      </c>
    </row>
    <row r="48" spans="1:12">
      <c r="A48">
        <v>1994</v>
      </c>
      <c r="B48">
        <v>126.246217215942</v>
      </c>
      <c r="C48">
        <v>55.160881226649302</v>
      </c>
      <c r="D48">
        <v>84.754688568635302</v>
      </c>
      <c r="E48">
        <v>67.707856605633694</v>
      </c>
      <c r="F48">
        <v>46.253062901290001</v>
      </c>
      <c r="G48">
        <v>62.079540916873498</v>
      </c>
      <c r="H48">
        <v>95.980564446918905</v>
      </c>
      <c r="I48">
        <v>87.287333027108104</v>
      </c>
      <c r="J48">
        <v>105.22623099237499</v>
      </c>
      <c r="K48">
        <v>153.66896086407999</v>
      </c>
      <c r="L48">
        <v>72.158887133900095</v>
      </c>
    </row>
    <row r="49" spans="1:12">
      <c r="A49">
        <v>1995</v>
      </c>
      <c r="B49">
        <v>89.045947335990704</v>
      </c>
      <c r="C49">
        <v>52.6539563586228</v>
      </c>
      <c r="D49">
        <v>68.620855095571599</v>
      </c>
      <c r="E49">
        <v>178.77523528517401</v>
      </c>
      <c r="F49">
        <v>219.89640014734599</v>
      </c>
      <c r="G49">
        <v>147.77490626687299</v>
      </c>
      <c r="H49">
        <v>60.991699777078097</v>
      </c>
      <c r="I49">
        <v>119.375898086489</v>
      </c>
      <c r="J49">
        <v>146.118583904932</v>
      </c>
      <c r="K49">
        <v>63.634244078997902</v>
      </c>
      <c r="L49">
        <v>77.2776218922711</v>
      </c>
    </row>
    <row r="50" spans="1:12">
      <c r="A50">
        <v>1996</v>
      </c>
      <c r="B50">
        <v>77.3187330958758</v>
      </c>
      <c r="C50">
        <v>114.88306930207899</v>
      </c>
      <c r="D50">
        <v>95.499166067091707</v>
      </c>
      <c r="E50">
        <v>97.1278363223269</v>
      </c>
      <c r="F50">
        <v>100.713883865676</v>
      </c>
      <c r="G50">
        <v>132.49403016177899</v>
      </c>
      <c r="H50">
        <v>148.58688089668499</v>
      </c>
      <c r="I50">
        <v>122.89655175789601</v>
      </c>
      <c r="J50">
        <v>108.936048320792</v>
      </c>
      <c r="K50">
        <v>60.322046688254503</v>
      </c>
      <c r="L50">
        <v>56.761122004347499</v>
      </c>
    </row>
    <row r="51" spans="1:12">
      <c r="A51">
        <v>1997</v>
      </c>
      <c r="B51">
        <v>108.842522945688</v>
      </c>
      <c r="C51">
        <v>69.922100860882594</v>
      </c>
      <c r="D51">
        <v>76.194389630768896</v>
      </c>
      <c r="E51">
        <v>88.978509046978701</v>
      </c>
      <c r="F51">
        <v>116.935742933626</v>
      </c>
      <c r="G51">
        <v>132.02029200081299</v>
      </c>
      <c r="H51">
        <v>183.93296706891999</v>
      </c>
      <c r="I51">
        <v>216.05238021425501</v>
      </c>
      <c r="J51">
        <v>136.56370434221401</v>
      </c>
      <c r="K51">
        <v>93.347969562141699</v>
      </c>
      <c r="L51">
        <v>56.410364063708798</v>
      </c>
    </row>
    <row r="52" spans="1:12">
      <c r="A52">
        <v>1998</v>
      </c>
      <c r="B52">
        <v>62.913187410600401</v>
      </c>
      <c r="C52">
        <v>92.870459801338995</v>
      </c>
      <c r="D52">
        <v>76.383946582695401</v>
      </c>
      <c r="E52">
        <v>85.514966859012802</v>
      </c>
      <c r="F52">
        <v>84.053441099232302</v>
      </c>
      <c r="G52">
        <v>86.886077344448793</v>
      </c>
      <c r="H52">
        <v>90.581979555195204</v>
      </c>
      <c r="I52">
        <v>75.791220534205493</v>
      </c>
      <c r="J52">
        <v>118.370612336186</v>
      </c>
      <c r="K52">
        <v>160.988494748899</v>
      </c>
      <c r="L52">
        <v>127.949558427176</v>
      </c>
    </row>
    <row r="53" spans="1:12">
      <c r="A53">
        <v>1999</v>
      </c>
      <c r="B53">
        <v>66.328161209127103</v>
      </c>
      <c r="C53">
        <v>34.728315054336903</v>
      </c>
      <c r="D53">
        <v>229.45504466748099</v>
      </c>
      <c r="E53">
        <v>226.448248280782</v>
      </c>
      <c r="F53">
        <v>115.992123346865</v>
      </c>
      <c r="G53">
        <v>73.163179377712694</v>
      </c>
      <c r="H53">
        <v>115.029390862122</v>
      </c>
      <c r="I53">
        <v>164.84595619562401</v>
      </c>
      <c r="J53">
        <v>117.71195641376799</v>
      </c>
      <c r="K53">
        <v>38.434855788015199</v>
      </c>
      <c r="L53">
        <v>32.956408196693403</v>
      </c>
    </row>
    <row r="54" spans="1:12">
      <c r="A54">
        <v>2000</v>
      </c>
      <c r="B54">
        <v>64.8406453388165</v>
      </c>
      <c r="C54">
        <v>111.51175528318301</v>
      </c>
      <c r="D54">
        <v>94.683368723569203</v>
      </c>
      <c r="E54">
        <v>81.926587916996198</v>
      </c>
      <c r="F54">
        <v>57.452788347381997</v>
      </c>
      <c r="G54">
        <v>31.074220807200899</v>
      </c>
      <c r="H54">
        <v>42.923331451997903</v>
      </c>
      <c r="I54">
        <v>99.111375135332295</v>
      </c>
      <c r="J54">
        <v>110.93860971042599</v>
      </c>
      <c r="K54">
        <v>52.431558532734996</v>
      </c>
      <c r="L54">
        <v>94.902017279650195</v>
      </c>
    </row>
    <row r="55" spans="1:12">
      <c r="A55">
        <v>2001</v>
      </c>
      <c r="B55">
        <v>99.696291523132302</v>
      </c>
      <c r="C55">
        <v>73.072863861178902</v>
      </c>
      <c r="D55">
        <v>121.075829869768</v>
      </c>
      <c r="E55">
        <v>129.694770791086</v>
      </c>
      <c r="F55">
        <v>82.200446348582403</v>
      </c>
      <c r="G55">
        <v>87.903390093579006</v>
      </c>
      <c r="H55">
        <v>95.422559758852401</v>
      </c>
      <c r="I55">
        <v>64.776979528745599</v>
      </c>
      <c r="J55">
        <v>78.395106012257401</v>
      </c>
      <c r="K55">
        <v>73.076238945299394</v>
      </c>
      <c r="L55">
        <v>57.104443655591098</v>
      </c>
    </row>
    <row r="56" spans="1:12">
      <c r="A56">
        <v>2002</v>
      </c>
      <c r="B56">
        <v>47.505329978549497</v>
      </c>
      <c r="C56">
        <v>81.2886090784977</v>
      </c>
      <c r="D56">
        <v>57.569792058428902</v>
      </c>
      <c r="E56">
        <v>45.715563750636299</v>
      </c>
      <c r="F56">
        <v>44.335477017737603</v>
      </c>
      <c r="G56">
        <v>29.5388686918111</v>
      </c>
      <c r="H56">
        <v>52.176165178624103</v>
      </c>
      <c r="I56">
        <v>97.091463935650594</v>
      </c>
      <c r="J56">
        <v>96.421992304790095</v>
      </c>
      <c r="K56">
        <v>86.860822297264605</v>
      </c>
      <c r="L56">
        <v>52.125295740467799</v>
      </c>
    </row>
    <row r="57" spans="1:12">
      <c r="A57">
        <v>2003</v>
      </c>
      <c r="B57">
        <v>56.264196957753597</v>
      </c>
      <c r="C57">
        <v>176.20651826528501</v>
      </c>
      <c r="D57">
        <v>163.294864679152</v>
      </c>
      <c r="E57">
        <v>117.43001704763699</v>
      </c>
      <c r="F57">
        <v>115.13199858828401</v>
      </c>
      <c r="G57">
        <v>87.949888563744693</v>
      </c>
      <c r="H57">
        <v>58.0482595973074</v>
      </c>
      <c r="I57">
        <v>57.282841223244098</v>
      </c>
      <c r="J57">
        <v>27.998962510784501</v>
      </c>
      <c r="K57">
        <v>29.856655437386301</v>
      </c>
      <c r="L57">
        <v>71.608814028954896</v>
      </c>
    </row>
    <row r="58" spans="1:12">
      <c r="A58">
        <v>2004</v>
      </c>
      <c r="B58">
        <v>63.240696882290401</v>
      </c>
      <c r="C58">
        <v>38.6259612920229</v>
      </c>
      <c r="D58">
        <v>59.246102604034398</v>
      </c>
      <c r="E58">
        <v>71.110928975510006</v>
      </c>
      <c r="F58">
        <v>79.588367832909299</v>
      </c>
      <c r="G58">
        <v>96.321646311952705</v>
      </c>
      <c r="H58">
        <v>109.486295594599</v>
      </c>
      <c r="I58">
        <v>148.11928577720499</v>
      </c>
      <c r="J58">
        <v>194.49234563898301</v>
      </c>
      <c r="K58">
        <v>217.98889951227099</v>
      </c>
      <c r="L58">
        <v>143.52897573657799</v>
      </c>
    </row>
    <row r="59" spans="1:12">
      <c r="A59">
        <v>2005</v>
      </c>
      <c r="B59">
        <v>110.85738063500899</v>
      </c>
      <c r="C59">
        <v>69.601509786855104</v>
      </c>
      <c r="D59">
        <v>97.243157127184801</v>
      </c>
      <c r="E59">
        <v>75.9442578047788</v>
      </c>
      <c r="F59">
        <v>161.87965078794801</v>
      </c>
      <c r="G59">
        <v>191.35571886145701</v>
      </c>
      <c r="H59">
        <v>95.646984687092797</v>
      </c>
      <c r="I59">
        <v>60.211372388053398</v>
      </c>
      <c r="J59">
        <v>105.70514177590501</v>
      </c>
      <c r="K59">
        <v>165.478000614775</v>
      </c>
      <c r="L59">
        <v>44.816531791766998</v>
      </c>
    </row>
    <row r="60" spans="1:12">
      <c r="A60">
        <v>2006</v>
      </c>
      <c r="B60">
        <v>38.348984542798497</v>
      </c>
      <c r="C60">
        <v>105.350779363914</v>
      </c>
      <c r="D60">
        <v>67.487305595242006</v>
      </c>
      <c r="E60">
        <v>45.505226433463598</v>
      </c>
      <c r="F60">
        <v>42.110051309421003</v>
      </c>
      <c r="G60">
        <v>70.025905437561093</v>
      </c>
      <c r="H60">
        <v>114.948371093091</v>
      </c>
      <c r="I60">
        <v>119.446914962519</v>
      </c>
      <c r="J60">
        <v>96.478892466590196</v>
      </c>
      <c r="K60">
        <v>49.621718824735296</v>
      </c>
      <c r="L60">
        <v>135.21883314929201</v>
      </c>
    </row>
    <row r="61" spans="1:12">
      <c r="A61">
        <v>2007</v>
      </c>
      <c r="B61">
        <v>106.42554896599</v>
      </c>
      <c r="C61">
        <v>196.62868211610299</v>
      </c>
      <c r="D61">
        <v>156.292455925143</v>
      </c>
      <c r="E61">
        <v>110.371859976766</v>
      </c>
      <c r="F61">
        <v>83.555999054011707</v>
      </c>
      <c r="G61">
        <v>115.739974522342</v>
      </c>
      <c r="H61">
        <v>191.299858821496</v>
      </c>
      <c r="I61">
        <v>159.94953282297999</v>
      </c>
      <c r="J61">
        <v>113.629369971546</v>
      </c>
      <c r="K61">
        <v>97.5139756093876</v>
      </c>
      <c r="L61">
        <v>136.81885662235601</v>
      </c>
    </row>
    <row r="62" spans="1:12">
      <c r="A62">
        <v>2008</v>
      </c>
      <c r="B62">
        <v>89.101707733115305</v>
      </c>
      <c r="C62">
        <v>67.880594868739294</v>
      </c>
      <c r="D62">
        <v>66.683327878729401</v>
      </c>
      <c r="E62">
        <v>81.510277024734407</v>
      </c>
      <c r="F62">
        <v>83.359747060692897</v>
      </c>
      <c r="G62">
        <v>54.832010382771799</v>
      </c>
      <c r="H62">
        <v>160.17872179660699</v>
      </c>
      <c r="I62">
        <v>233.75964512889101</v>
      </c>
      <c r="J62">
        <v>93.426294366569294</v>
      </c>
      <c r="K62">
        <v>69.015833673994507</v>
      </c>
      <c r="L62">
        <v>96.545805036287106</v>
      </c>
    </row>
    <row r="63" spans="1:12">
      <c r="A63">
        <v>2009</v>
      </c>
      <c r="B63">
        <v>123.05015653933199</v>
      </c>
      <c r="C63">
        <v>69.514728387980398</v>
      </c>
      <c r="D63">
        <v>152.76173949565401</v>
      </c>
      <c r="E63">
        <v>131.849479751415</v>
      </c>
      <c r="F63">
        <v>187.31229740644201</v>
      </c>
      <c r="G63">
        <v>210.771126153202</v>
      </c>
      <c r="H63">
        <v>142.32708729318099</v>
      </c>
      <c r="I63">
        <v>143.36476173771399</v>
      </c>
      <c r="J63">
        <v>156.65639234785701</v>
      </c>
      <c r="K63">
        <v>176.659832092926</v>
      </c>
      <c r="L63">
        <v>167.739453717294</v>
      </c>
    </row>
    <row r="64" spans="1:12">
      <c r="A64">
        <v>2010</v>
      </c>
      <c r="B64">
        <v>130.393594529778</v>
      </c>
      <c r="C64">
        <v>191.83271978943901</v>
      </c>
      <c r="D64">
        <v>208.76158864889601</v>
      </c>
      <c r="E64">
        <v>202.96269494893701</v>
      </c>
      <c r="F64">
        <v>158.93107064839501</v>
      </c>
      <c r="G64">
        <v>143.84377148910201</v>
      </c>
      <c r="H64">
        <v>185.066234460701</v>
      </c>
      <c r="I64">
        <v>128.48661581667699</v>
      </c>
      <c r="J64">
        <v>52.7933539239583</v>
      </c>
      <c r="K64">
        <v>136.52173719707</v>
      </c>
      <c r="L64">
        <v>209.23408233309399</v>
      </c>
    </row>
    <row r="65" spans="1:12">
      <c r="A65">
        <v>2011</v>
      </c>
      <c r="B65">
        <v>164.71503889330199</v>
      </c>
      <c r="C65">
        <v>149.78294999764901</v>
      </c>
      <c r="D65">
        <v>120.362959344326</v>
      </c>
      <c r="E65">
        <v>126.48543737612999</v>
      </c>
      <c r="F65">
        <v>101.783741466807</v>
      </c>
      <c r="G65">
        <v>174.85106901767799</v>
      </c>
      <c r="H65">
        <v>207.332042254085</v>
      </c>
      <c r="I65">
        <v>93.882963731801993</v>
      </c>
      <c r="J65">
        <v>131.63132245353799</v>
      </c>
      <c r="K65">
        <v>196.76532443033801</v>
      </c>
      <c r="L65">
        <v>194.03938336230601</v>
      </c>
    </row>
    <row r="66" spans="1:12">
      <c r="A66">
        <v>2012</v>
      </c>
      <c r="B66">
        <v>174.37883262134</v>
      </c>
      <c r="C66">
        <v>90.782605059236403</v>
      </c>
      <c r="D66">
        <v>39.528168538522003</v>
      </c>
      <c r="E66">
        <v>43.626106380904901</v>
      </c>
      <c r="F66">
        <v>64.251683642654498</v>
      </c>
      <c r="G66">
        <v>96.917619485099607</v>
      </c>
      <c r="H66">
        <v>69.829663447971797</v>
      </c>
      <c r="I66">
        <v>93.251296164005396</v>
      </c>
      <c r="J66">
        <v>152.49817498830399</v>
      </c>
      <c r="K66">
        <v>100.31600375169801</v>
      </c>
      <c r="L66">
        <v>95.641943462574801</v>
      </c>
    </row>
    <row r="67" spans="1:12">
      <c r="A67">
        <v>2013</v>
      </c>
      <c r="B67">
        <v>167.44030094314601</v>
      </c>
      <c r="C67">
        <v>122.086254571597</v>
      </c>
      <c r="D67">
        <v>122.900810391764</v>
      </c>
      <c r="E67">
        <v>127.91603441903</v>
      </c>
      <c r="F67">
        <v>79.560800539038198</v>
      </c>
      <c r="G67">
        <v>77.3318755283765</v>
      </c>
      <c r="H67">
        <v>141.75727595685601</v>
      </c>
      <c r="I67">
        <v>308.10495379554999</v>
      </c>
      <c r="J67">
        <v>388.11057756293798</v>
      </c>
      <c r="K67">
        <v>160.23762609305601</v>
      </c>
      <c r="L67">
        <v>79.589355470485401</v>
      </c>
    </row>
    <row r="68" spans="1:12">
      <c r="A68">
        <v>2014</v>
      </c>
      <c r="B68">
        <v>292.36212666201601</v>
      </c>
      <c r="C68">
        <v>163.07022086416501</v>
      </c>
      <c r="D68">
        <v>73.919592623888093</v>
      </c>
      <c r="E68">
        <v>117.763707729058</v>
      </c>
      <c r="F68">
        <v>119.40639734237701</v>
      </c>
      <c r="G68">
        <v>136.83661149829601</v>
      </c>
      <c r="H68">
        <v>156.39388081790901</v>
      </c>
      <c r="I68">
        <v>125.706683874121</v>
      </c>
      <c r="J68">
        <v>131.50750637617699</v>
      </c>
      <c r="K68">
        <v>174.025904210893</v>
      </c>
      <c r="L68">
        <v>250.433376814659</v>
      </c>
    </row>
    <row r="69" spans="1:12">
      <c r="A69">
        <v>2015</v>
      </c>
      <c r="B69">
        <v>119.47422682549499</v>
      </c>
      <c r="C69">
        <v>73.538914680225702</v>
      </c>
      <c r="D69">
        <v>125.322822884597</v>
      </c>
      <c r="E69">
        <v>214.29432980158401</v>
      </c>
      <c r="F69">
        <v>184.68659590449201</v>
      </c>
      <c r="G69">
        <v>127.26138276715</v>
      </c>
      <c r="H69">
        <v>90.893605460850694</v>
      </c>
      <c r="I69">
        <v>34.9689745574643</v>
      </c>
      <c r="J69">
        <v>96.484707282941002</v>
      </c>
      <c r="K69">
        <v>221.17270123656999</v>
      </c>
      <c r="L69">
        <v>214.30227118205801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senseInfo</vt:lpstr>
      <vt:lpstr>UI</vt:lpstr>
      <vt:lpstr>Drought Calculator</vt:lpstr>
      <vt:lpstr>CPER Precip</vt:lpstr>
      <vt:lpstr>Ranch Strategies</vt:lpstr>
      <vt:lpstr>RI-Insurance</vt:lpstr>
      <vt:lpstr>R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Trisha Shrum</cp:lastModifiedBy>
  <cp:lastPrinted>2016-07-14T19:38:59Z</cp:lastPrinted>
  <dcterms:created xsi:type="dcterms:W3CDTF">2011-06-21T14:11:52Z</dcterms:created>
  <dcterms:modified xsi:type="dcterms:W3CDTF">2016-08-23T17:27:14Z</dcterms:modified>
</cp:coreProperties>
</file>