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365"/>
  </bookViews>
  <sheets>
    <sheet name="Pricing" sheetId="7" r:id="rId1"/>
  </sheets>
  <calcPr calcId="152511"/>
</workbook>
</file>

<file path=xl/calcChain.xml><?xml version="1.0" encoding="utf-8"?>
<calcChain xmlns="http://schemas.openxmlformats.org/spreadsheetml/2006/main">
  <c r="C13" i="7" l="1"/>
  <c r="C5" i="7" l="1"/>
  <c r="D5" i="7"/>
  <c r="C9" i="7" s="1"/>
  <c r="C26" i="7" l="1"/>
  <c r="C17" i="7"/>
  <c r="G31" i="7"/>
  <c r="C10" i="7"/>
  <c r="C29" i="7" l="1"/>
  <c r="C18" i="7"/>
  <c r="C19" i="7" s="1"/>
  <c r="C27" i="7"/>
  <c r="C16" i="7"/>
  <c r="C20" i="7" s="1"/>
  <c r="C32" i="7"/>
  <c r="G11" i="7"/>
  <c r="H11" i="7" s="1"/>
  <c r="G18" i="7"/>
  <c r="H18" i="7" s="1"/>
  <c r="G10" i="7"/>
  <c r="H10" i="7" s="1"/>
  <c r="G22" i="7" l="1"/>
  <c r="H22" i="7" s="1"/>
  <c r="G17" i="7"/>
  <c r="H17" i="7" s="1"/>
  <c r="C30" i="7"/>
  <c r="C31" i="7"/>
  <c r="G12" i="7" l="1"/>
  <c r="G21" i="7" s="1"/>
  <c r="C33" i="7"/>
  <c r="C34" i="7" s="1"/>
  <c r="G16" i="7"/>
  <c r="H16" i="7" s="1"/>
  <c r="G9" i="7"/>
  <c r="H9" i="7" s="1"/>
  <c r="H12" i="7" l="1"/>
  <c r="G20" i="7" l="1"/>
  <c r="H20" i="7" s="1"/>
  <c r="H21" i="7"/>
</calcChain>
</file>

<file path=xl/comments1.xml><?xml version="1.0" encoding="utf-8"?>
<comments xmlns="http://schemas.openxmlformats.org/spreadsheetml/2006/main">
  <authors>
    <author>Author</author>
  </authors>
  <commentList>
    <comment ref="H11" authorId="0" shapeId="0">
      <text>
        <r>
          <rPr>
            <b/>
            <sz val="9"/>
            <color indexed="81"/>
            <rFont val="Tahoma"/>
            <family val="2"/>
          </rPr>
          <t>Interest rate + 0.4% fee per month</t>
        </r>
      </text>
    </comment>
    <comment ref="H16" authorId="0" shapeId="0">
      <text>
        <r>
          <rPr>
            <b/>
            <sz val="9"/>
            <color indexed="9"/>
            <rFont val="Tahoma"/>
            <family val="2"/>
          </rPr>
          <t>VPBank acts as Operator and also providing Margin Loan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VPBank acts as operator ONLY, without providing Margin Loan</t>
        </r>
      </text>
    </comment>
    <comment ref="H20" authorId="0" shapeId="0">
      <text>
        <r>
          <rPr>
            <b/>
            <sz val="9"/>
            <color indexed="9"/>
            <rFont val="Tahoma"/>
            <family val="2"/>
          </rPr>
          <t>VPBank acts as Buyer of the Invoices</t>
        </r>
      </text>
    </comment>
  </commentList>
</comments>
</file>

<file path=xl/sharedStrings.xml><?xml version="1.0" encoding="utf-8"?>
<sst xmlns="http://schemas.openxmlformats.org/spreadsheetml/2006/main" count="62" uniqueCount="54">
  <si>
    <t>Transaction Deal Day</t>
  </si>
  <si>
    <t>Invoice Value</t>
  </si>
  <si>
    <t>Interest rate</t>
  </si>
  <si>
    <t>per annum</t>
  </si>
  <si>
    <t>Financing %</t>
  </si>
  <si>
    <t>Contractual Term</t>
  </si>
  <si>
    <t>days</t>
  </si>
  <si>
    <t>The Settlement</t>
  </si>
  <si>
    <t>Invoice Buyer pay Invoice Seller</t>
  </si>
  <si>
    <t>Actual Invoice Payment by its Debtor</t>
  </si>
  <si>
    <t>Amount Received by Seller</t>
  </si>
  <si>
    <t xml:space="preserve">Debtor pay </t>
  </si>
  <si>
    <t>Transaction Fee for Invoice Seller</t>
  </si>
  <si>
    <t>Late payment Interest</t>
  </si>
  <si>
    <t>Remaining Payment to Invoice Seller</t>
  </si>
  <si>
    <t>Interest for Contractual Term</t>
  </si>
  <si>
    <t>Payment to Invoice Buyer</t>
  </si>
  <si>
    <t>Deduct financing amount</t>
  </si>
  <si>
    <t>Number of days late</t>
  </si>
  <si>
    <t>Lending rate</t>
  </si>
  <si>
    <t>Assumptions:</t>
  </si>
  <si>
    <t>Black Market</t>
  </si>
  <si>
    <t>per day</t>
  </si>
  <si>
    <t>Black Market Comparison</t>
  </si>
  <si>
    <t>Benchmark Comparison</t>
  </si>
  <si>
    <t>Return for VPBank</t>
  </si>
  <si>
    <t>As Operator</t>
  </si>
  <si>
    <t>As Buyer</t>
  </si>
  <si>
    <t>Transaction Fee</t>
  </si>
  <si>
    <t>NII for Margin Loan</t>
  </si>
  <si>
    <t>Revenue Sharing Portion</t>
  </si>
  <si>
    <t>of Invoice Value</t>
  </si>
  <si>
    <t>VPBank Cost of Fund</t>
  </si>
  <si>
    <t>Return minus COF</t>
  </si>
  <si>
    <t>NII for margin Loan</t>
  </si>
  <si>
    <t>Transation fee on Buyer</t>
  </si>
  <si>
    <t>Transaction fee on Seller</t>
  </si>
  <si>
    <t>Traditional Factoring Loan</t>
  </si>
  <si>
    <t>Cost for Invoice Seller</t>
  </si>
  <si>
    <t>Return to Invoice Buyer</t>
  </si>
  <si>
    <t>Multiple for Late Payment Interest</t>
  </si>
  <si>
    <t>of Interest Rate</t>
  </si>
  <si>
    <t>Traditional Factoring Interest Rate</t>
  </si>
  <si>
    <t>Annualized</t>
  </si>
  <si>
    <t>Average Invoices</t>
  </si>
  <si>
    <t>Size per Invoice</t>
  </si>
  <si>
    <t>Companies</t>
  </si>
  <si>
    <t>TOTAL AMOUNT</t>
  </si>
  <si>
    <t>Annualizing factor</t>
  </si>
  <si>
    <t xml:space="preserve"> </t>
  </si>
  <si>
    <t>Transaction Fee for Invoice Buyer</t>
    <phoneticPr fontId="15" type="noConversion"/>
  </si>
  <si>
    <t>Transaction Fee for Invoice Buyer 
(Applicable if he receives late payment interest)</t>
  </si>
  <si>
    <t>Late Payment Transaction Feefor Invoice Seller</t>
  </si>
  <si>
    <t>Amount Need to be Transferred by Invoice Buyer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</si>
</sst>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76" formatCode="&quot;$&quot;#,##0"/>
    <numFmt numFmtId="177" formatCode="0.0%"/>
    <numFmt numFmtId="178" formatCode="[$VND]\ #,##0"/>
    <numFmt numFmtId="179" formatCode="[$VND]\ #,##0.00"/>
    <numFmt numFmtId="180" formatCode="[$USD]\ #,##0"/>
  </numFmts>
  <fonts count="16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color rgb="FFFF0000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1"/>
      <color rgb="FF0070C0"/>
      <name val="新細明體"/>
      <family val="2"/>
      <scheme val="minor"/>
    </font>
    <font>
      <i/>
      <sz val="11"/>
      <color theme="1"/>
      <name val="新細明體"/>
      <family val="2"/>
      <scheme val="minor"/>
    </font>
    <font>
      <i/>
      <sz val="11"/>
      <color rgb="FFFF0000"/>
      <name val="新細明體"/>
      <family val="2"/>
      <scheme val="minor"/>
    </font>
    <font>
      <b/>
      <sz val="16"/>
      <color theme="1"/>
      <name val="新細明體"/>
      <family val="2"/>
      <scheme val="minor"/>
    </font>
    <font>
      <b/>
      <i/>
      <sz val="11"/>
      <color rgb="FFFF0000"/>
      <name val="新細明體"/>
      <family val="2"/>
      <scheme val="minor"/>
    </font>
    <font>
      <b/>
      <sz val="11"/>
      <color rgb="FF00B0F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9"/>
      <color indexed="81"/>
      <name val="Tahoma"/>
      <family val="2"/>
    </font>
    <font>
      <b/>
      <sz val="11"/>
      <name val="新細明體"/>
      <family val="2"/>
      <scheme val="minor"/>
    </font>
    <font>
      <b/>
      <sz val="9"/>
      <color indexed="9"/>
      <name val="Tahoma"/>
      <family val="2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177" fontId="2" fillId="0" borderId="0" xfId="2" applyNumberFormat="1" applyFont="1" applyAlignment="1">
      <alignment horizontal="center"/>
    </xf>
    <xf numFmtId="178" fontId="0" fillId="0" borderId="0" xfId="0" applyNumberFormat="1"/>
    <xf numFmtId="178" fontId="3" fillId="0" borderId="0" xfId="0" applyNumberFormat="1" applyFont="1"/>
    <xf numFmtId="0" fontId="0" fillId="0" borderId="0" xfId="0" applyFont="1" applyAlignment="1">
      <alignment horizontal="right"/>
    </xf>
    <xf numFmtId="177" fontId="0" fillId="0" borderId="0" xfId="2" applyNumberFormat="1" applyFont="1" applyAlignment="1">
      <alignment horizontal="center"/>
    </xf>
    <xf numFmtId="0" fontId="7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8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4" xfId="0" applyFont="1" applyBorder="1"/>
    <xf numFmtId="176" fontId="4" fillId="0" borderId="0" xfId="0" applyNumberFormat="1" applyFont="1" applyBorder="1"/>
    <xf numFmtId="10" fontId="6" fillId="0" borderId="5" xfId="2" applyNumberFormat="1" applyFont="1" applyBorder="1" applyAlignment="1">
      <alignment horizontal="center"/>
    </xf>
    <xf numFmtId="0" fontId="2" fillId="0" borderId="4" xfId="0" applyFont="1" applyBorder="1"/>
    <xf numFmtId="0" fontId="6" fillId="0" borderId="5" xfId="0" applyFont="1" applyBorder="1" applyAlignment="1">
      <alignment horizontal="center"/>
    </xf>
    <xf numFmtId="0" fontId="3" fillId="0" borderId="4" xfId="0" applyFont="1" applyBorder="1"/>
    <xf numFmtId="178" fontId="3" fillId="0" borderId="0" xfId="0" applyNumberFormat="1" applyFont="1" applyBorder="1"/>
    <xf numFmtId="0" fontId="8" fillId="0" borderId="5" xfId="0" applyFont="1" applyBorder="1" applyAlignment="1">
      <alignment horizontal="center"/>
    </xf>
    <xf numFmtId="177" fontId="2" fillId="0" borderId="5" xfId="2" applyNumberFormat="1" applyFont="1" applyBorder="1" applyAlignment="1">
      <alignment horizontal="center"/>
    </xf>
    <xf numFmtId="178" fontId="8" fillId="0" borderId="0" xfId="0" applyNumberFormat="1" applyFont="1" applyBorder="1"/>
    <xf numFmtId="177" fontId="0" fillId="0" borderId="5" xfId="2" applyNumberFormat="1" applyFont="1" applyBorder="1" applyAlignment="1">
      <alignment horizontal="center"/>
    </xf>
    <xf numFmtId="177" fontId="0" fillId="0" borderId="5" xfId="0" applyNumberFormat="1" applyBorder="1"/>
    <xf numFmtId="178" fontId="0" fillId="0" borderId="7" xfId="0" applyNumberFormat="1" applyBorder="1"/>
    <xf numFmtId="177" fontId="0" fillId="0" borderId="8" xfId="2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center"/>
    </xf>
    <xf numFmtId="178" fontId="2" fillId="0" borderId="0" xfId="0" applyNumberFormat="1" applyFont="1" applyBorder="1"/>
    <xf numFmtId="178" fontId="0" fillId="0" borderId="0" xfId="0" applyNumberFormat="1" applyBorder="1" applyAlignment="1">
      <alignment horizontal="center"/>
    </xf>
    <xf numFmtId="0" fontId="7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3" fontId="0" fillId="2" borderId="0" xfId="0" applyNumberFormat="1" applyFill="1" applyBorder="1" applyAlignment="1">
      <alignment horizontal="center"/>
    </xf>
    <xf numFmtId="0" fontId="5" fillId="2" borderId="5" xfId="0" applyFont="1" applyFill="1" applyBorder="1"/>
    <xf numFmtId="10" fontId="0" fillId="2" borderId="0" xfId="2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0" fontId="0" fillId="2" borderId="6" xfId="0" applyFill="1" applyBorder="1"/>
    <xf numFmtId="0" fontId="0" fillId="0" borderId="4" xfId="0" applyFont="1" applyBorder="1" applyAlignment="1">
      <alignment horizontal="left" indent="3"/>
    </xf>
    <xf numFmtId="0" fontId="0" fillId="0" borderId="6" xfId="0" applyFont="1" applyBorder="1" applyAlignment="1">
      <alignment horizontal="left" indent="3"/>
    </xf>
    <xf numFmtId="0" fontId="6" fillId="0" borderId="4" xfId="0" applyFont="1" applyBorder="1" applyAlignment="1">
      <alignment horizontal="left" indent="3"/>
    </xf>
    <xf numFmtId="178" fontId="9" fillId="0" borderId="0" xfId="0" applyNumberFormat="1" applyFont="1" applyBorder="1"/>
    <xf numFmtId="0" fontId="5" fillId="2" borderId="8" xfId="0" applyFont="1" applyFill="1" applyBorder="1"/>
    <xf numFmtId="10" fontId="0" fillId="2" borderId="7" xfId="0" applyNumberFormat="1" applyFill="1" applyBorder="1" applyAlignment="1">
      <alignment horizontal="center"/>
    </xf>
    <xf numFmtId="177" fontId="10" fillId="5" borderId="5" xfId="0" applyNumberFormat="1" applyFont="1" applyFill="1" applyBorder="1" applyAlignment="1">
      <alignment horizontal="center"/>
    </xf>
    <xf numFmtId="179" fontId="0" fillId="0" borderId="0" xfId="0" applyNumberFormat="1" applyBorder="1"/>
    <xf numFmtId="177" fontId="10" fillId="6" borderId="5" xfId="2" applyNumberFormat="1" applyFont="1" applyFill="1" applyBorder="1" applyAlignment="1">
      <alignment horizontal="center"/>
    </xf>
    <xf numFmtId="177" fontId="3" fillId="3" borderId="5" xfId="2" applyNumberFormat="1" applyFont="1" applyFill="1" applyBorder="1" applyAlignment="1">
      <alignment horizontal="center"/>
    </xf>
    <xf numFmtId="177" fontId="3" fillId="7" borderId="5" xfId="2" applyNumberFormat="1" applyFont="1" applyFill="1" applyBorder="1" applyAlignment="1">
      <alignment horizontal="center"/>
    </xf>
    <xf numFmtId="178" fontId="10" fillId="5" borderId="0" xfId="0" applyNumberFormat="1" applyFont="1" applyFill="1" applyBorder="1"/>
    <xf numFmtId="178" fontId="13" fillId="3" borderId="0" xfId="0" applyNumberFormat="1" applyFont="1" applyFill="1" applyBorder="1"/>
    <xf numFmtId="178" fontId="10" fillId="6" borderId="0" xfId="0" applyNumberFormat="1" applyFont="1" applyFill="1" applyBorder="1"/>
    <xf numFmtId="0" fontId="10" fillId="4" borderId="0" xfId="0" applyFont="1" applyFill="1"/>
    <xf numFmtId="0" fontId="10" fillId="4" borderId="0" xfId="0" applyFont="1" applyFill="1" applyAlignment="1">
      <alignment horizontal="center"/>
    </xf>
    <xf numFmtId="0" fontId="11" fillId="4" borderId="0" xfId="0" applyFont="1" applyFill="1"/>
    <xf numFmtId="180" fontId="10" fillId="4" borderId="0" xfId="0" applyNumberFormat="1" applyFont="1" applyFill="1" applyAlignment="1">
      <alignment horizontal="center"/>
    </xf>
    <xf numFmtId="178" fontId="10" fillId="4" borderId="0" xfId="0" applyNumberFormat="1" applyFont="1" applyFill="1" applyBorder="1" applyAlignment="1">
      <alignment horizontal="right"/>
    </xf>
    <xf numFmtId="37" fontId="10" fillId="4" borderId="0" xfId="1" applyNumberFormat="1" applyFont="1" applyFill="1" applyAlignment="1">
      <alignment horizontal="center"/>
    </xf>
    <xf numFmtId="0" fontId="11" fillId="4" borderId="0" xfId="0" applyFont="1" applyFill="1" applyAlignment="1">
      <alignment horizontal="right"/>
    </xf>
    <xf numFmtId="0" fontId="2" fillId="0" borderId="4" xfId="0" applyFont="1" applyFill="1" applyBorder="1"/>
    <xf numFmtId="178" fontId="2" fillId="0" borderId="0" xfId="0" applyNumberFormat="1" applyFont="1"/>
    <xf numFmtId="43" fontId="0" fillId="0" borderId="0" xfId="1" applyFont="1"/>
    <xf numFmtId="0" fontId="0" fillId="0" borderId="7" xfId="0" applyBorder="1" applyAlignment="1">
      <alignment horizontal="center"/>
    </xf>
    <xf numFmtId="10" fontId="0" fillId="0" borderId="0" xfId="2" applyNumberFormat="1" applyFont="1"/>
    <xf numFmtId="9" fontId="0" fillId="0" borderId="0" xfId="0" applyNumberFormat="1"/>
    <xf numFmtId="0" fontId="4" fillId="0" borderId="4" xfId="0" applyFont="1" applyBorder="1" applyAlignment="1">
      <alignment wrapText="1"/>
    </xf>
    <xf numFmtId="0" fontId="0" fillId="0" borderId="4" xfId="0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40"/>
  <sheetViews>
    <sheetView tabSelected="1" zoomScale="80" zoomScaleNormal="80" workbookViewId="0"/>
  </sheetViews>
  <sheetFormatPr defaultRowHeight="15.75"/>
  <cols>
    <col min="2" max="2" width="53.42578125" customWidth="1"/>
    <col min="3" max="3" width="29" customWidth="1"/>
    <col min="4" max="4" width="22.28515625" customWidth="1"/>
    <col min="6" max="6" width="34.28515625" bestFit="1" customWidth="1"/>
    <col min="7" max="7" width="29" customWidth="1"/>
    <col min="8" max="8" width="19.5703125" customWidth="1"/>
  </cols>
  <sheetData>
    <row r="2" spans="2:8">
      <c r="B2" s="63" t="s">
        <v>44</v>
      </c>
      <c r="C2" s="64">
        <v>1</v>
      </c>
      <c r="D2" s="65"/>
    </row>
    <row r="3" spans="2:8">
      <c r="B3" s="63" t="s">
        <v>45</v>
      </c>
      <c r="C3" s="66">
        <v>5000</v>
      </c>
      <c r="D3" s="67">
        <v>100000000</v>
      </c>
    </row>
    <row r="4" spans="2:8">
      <c r="B4" s="63" t="s">
        <v>46</v>
      </c>
      <c r="C4" s="68">
        <v>1</v>
      </c>
      <c r="D4" s="69"/>
    </row>
    <row r="5" spans="2:8">
      <c r="B5" s="63" t="s">
        <v>47</v>
      </c>
      <c r="C5" s="66">
        <f>C2*C3*C4</f>
        <v>5000</v>
      </c>
      <c r="D5" s="67">
        <f>C2*D3*C4</f>
        <v>100000000</v>
      </c>
    </row>
    <row r="6" spans="2:8" ht="16.5" thickBot="1"/>
    <row r="7" spans="2:8" ht="21">
      <c r="B7" s="7" t="s">
        <v>0</v>
      </c>
      <c r="C7" s="8"/>
      <c r="D7" s="9"/>
      <c r="F7" s="7" t="s">
        <v>24</v>
      </c>
      <c r="G7" s="8"/>
      <c r="H7" s="9"/>
    </row>
    <row r="8" spans="2:8">
      <c r="B8" s="10"/>
      <c r="C8" s="11"/>
      <c r="D8" s="12"/>
      <c r="F8" s="10"/>
      <c r="G8" s="11"/>
      <c r="H8" s="24" t="s">
        <v>43</v>
      </c>
    </row>
    <row r="9" spans="2:8">
      <c r="B9" s="10" t="s">
        <v>1</v>
      </c>
      <c r="C9" s="36">
        <f>D5</f>
        <v>100000000</v>
      </c>
      <c r="D9" s="12"/>
      <c r="F9" s="22" t="s">
        <v>38</v>
      </c>
      <c r="G9" s="23">
        <f>C18+C30+C31+C32</f>
        <v>-3600000</v>
      </c>
      <c r="H9" s="25">
        <f>-(G9/C17)*(365/(C12+G26))</f>
        <v>0.1825</v>
      </c>
    </row>
    <row r="10" spans="2:8">
      <c r="B10" s="10" t="s">
        <v>2</v>
      </c>
      <c r="C10" s="31">
        <f>G28</f>
        <v>0.12</v>
      </c>
      <c r="D10" s="32" t="s">
        <v>3</v>
      </c>
      <c r="F10" s="51" t="s">
        <v>23</v>
      </c>
      <c r="G10" s="26">
        <f>-G31*(C12+G26)*C17</f>
        <v>-7200000</v>
      </c>
      <c r="H10" s="25">
        <f>-G10/C17*(365/(C12+G26))</f>
        <v>0.36499999999999999</v>
      </c>
    </row>
    <row r="11" spans="2:8">
      <c r="B11" s="10" t="s">
        <v>4</v>
      </c>
      <c r="C11" s="31">
        <v>0.8</v>
      </c>
      <c r="D11" s="33"/>
      <c r="F11" s="51" t="s">
        <v>37</v>
      </c>
      <c r="G11" s="26">
        <f>G35*C12/365*C17+G35*G27*G26/365*C17+0.4%*C17*(C12+G26)/30</f>
        <v>3721643.8356164386</v>
      </c>
      <c r="H11" s="59">
        <f>G11/C17*(365/(C12+G26))</f>
        <v>0.18866666666666668</v>
      </c>
    </row>
    <row r="12" spans="2:8">
      <c r="B12" s="10" t="s">
        <v>5</v>
      </c>
      <c r="C12" s="34">
        <v>90</v>
      </c>
      <c r="D12" s="32" t="s">
        <v>6</v>
      </c>
      <c r="F12" s="22" t="s">
        <v>39</v>
      </c>
      <c r="G12" s="23">
        <f>-(C30+C31-C27-C16)</f>
        <v>2000000</v>
      </c>
      <c r="H12" s="25">
        <f>G12/C17*(365/(C12+G26))</f>
        <v>0.10138888888888889</v>
      </c>
    </row>
    <row r="13" spans="2:8" ht="16.5" thickBot="1">
      <c r="B13" s="14" t="s">
        <v>48</v>
      </c>
      <c r="C13" s="73">
        <f>360/C12</f>
        <v>4</v>
      </c>
      <c r="D13" s="16"/>
      <c r="F13" s="14"/>
      <c r="G13" s="15"/>
      <c r="H13" s="16"/>
    </row>
    <row r="14" spans="2:8" ht="16.5" thickBot="1">
      <c r="F14" s="1"/>
      <c r="G14" s="4"/>
      <c r="H14" s="2"/>
    </row>
    <row r="15" spans="2:8" ht="21">
      <c r="B15" s="7" t="s">
        <v>7</v>
      </c>
      <c r="C15" s="8"/>
      <c r="D15" s="9"/>
      <c r="F15" s="7" t="s">
        <v>25</v>
      </c>
      <c r="G15" s="8"/>
      <c r="H15" s="9"/>
    </row>
    <row r="16" spans="2:8">
      <c r="B16" s="10" t="s">
        <v>50</v>
      </c>
      <c r="C16" s="13">
        <f>-G29*C17</f>
        <v>-400000</v>
      </c>
      <c r="D16" s="12"/>
      <c r="F16" s="22" t="s">
        <v>26</v>
      </c>
      <c r="G16" s="60">
        <f>SUM(G17:G18)</f>
        <v>1354520.5479452056</v>
      </c>
      <c r="H16" s="55">
        <f>G16/C17*(365/(C12+G26))</f>
        <v>6.8666666666666668E-2</v>
      </c>
    </row>
    <row r="17" spans="2:12">
      <c r="B17" s="10" t="s">
        <v>8</v>
      </c>
      <c r="C17" s="13">
        <f>C11*C9</f>
        <v>80000000</v>
      </c>
      <c r="D17" s="32"/>
      <c r="F17" s="49" t="s">
        <v>28</v>
      </c>
      <c r="G17" s="61">
        <f>-(C18+C27+C32+C16)-G33*C17</f>
        <v>960000</v>
      </c>
      <c r="H17" s="58">
        <f>G17/C17*(365/(C12+G26))</f>
        <v>4.8666666666666664E-2</v>
      </c>
    </row>
    <row r="18" spans="2:12">
      <c r="B18" s="10" t="s">
        <v>12</v>
      </c>
      <c r="C18" s="13">
        <f>-G30*C17</f>
        <v>-1200000</v>
      </c>
      <c r="D18" s="12"/>
      <c r="F18" s="49" t="s">
        <v>29</v>
      </c>
      <c r="G18" s="13">
        <f>G32*C17/(365/(G26+C12))</f>
        <v>394520.54794520547</v>
      </c>
      <c r="H18" s="27">
        <f>G18/C17*(365/(C12+G26))</f>
        <v>1.9999999999999997E-2</v>
      </c>
    </row>
    <row r="19" spans="2:12">
      <c r="B19" s="17" t="s">
        <v>10</v>
      </c>
      <c r="C19" s="18">
        <f>C17+C18</f>
        <v>78800000</v>
      </c>
      <c r="D19" s="12"/>
      <c r="F19" s="10"/>
      <c r="G19" s="13"/>
      <c r="H19" s="28"/>
    </row>
    <row r="20" spans="2:12">
      <c r="B20" s="76" t="s">
        <v>53</v>
      </c>
      <c r="C20" s="18">
        <f>C17-C16</f>
        <v>80400000</v>
      </c>
      <c r="D20" s="12"/>
      <c r="F20" s="22" t="s">
        <v>27</v>
      </c>
      <c r="G20" s="62">
        <f>SUM(G21:G22)</f>
        <v>1488438.3561643835</v>
      </c>
      <c r="H20" s="57">
        <f>G20/C17*(365/(C12+G26))</f>
        <v>7.5455555555555553E-2</v>
      </c>
    </row>
    <row r="21" spans="2:12">
      <c r="B21" s="10"/>
      <c r="C21" s="11"/>
      <c r="D21" s="12"/>
      <c r="F21" s="49" t="s">
        <v>33</v>
      </c>
      <c r="G21" s="56">
        <f>G12-G34*(G26+C12)/365*C17</f>
        <v>528438.35616438347</v>
      </c>
      <c r="H21" s="27">
        <f>G21/C17*(365/(C12+G26))</f>
        <v>2.6788888888888879E-2</v>
      </c>
    </row>
    <row r="22" spans="2:12" ht="16.5" thickBot="1">
      <c r="B22" s="14"/>
      <c r="C22" s="15"/>
      <c r="D22" s="16"/>
      <c r="F22" s="50" t="s">
        <v>28</v>
      </c>
      <c r="G22" s="29">
        <f>-(C18+C27+C32+C16)-G33*C17</f>
        <v>960000</v>
      </c>
      <c r="H22" s="30">
        <f>G22/C17*(365/(C12+G26))</f>
        <v>4.8666666666666664E-2</v>
      </c>
    </row>
    <row r="23" spans="2:12" ht="16.5" thickBot="1">
      <c r="F23" s="5"/>
      <c r="G23" s="3"/>
      <c r="H23" s="6"/>
    </row>
    <row r="24" spans="2:12" ht="21">
      <c r="B24" s="7" t="s">
        <v>9</v>
      </c>
      <c r="C24" s="8"/>
      <c r="D24" s="9"/>
      <c r="F24" s="37" t="s">
        <v>20</v>
      </c>
      <c r="G24" s="38"/>
      <c r="H24" s="39"/>
    </row>
    <row r="25" spans="2:12">
      <c r="B25" s="10"/>
      <c r="C25" s="11"/>
      <c r="D25" s="12"/>
      <c r="F25" s="40"/>
      <c r="G25" s="41"/>
      <c r="H25" s="42"/>
    </row>
    <row r="26" spans="2:12">
      <c r="B26" s="10" t="s">
        <v>11</v>
      </c>
      <c r="C26" s="13">
        <f>C9</f>
        <v>100000000</v>
      </c>
      <c r="D26" s="12"/>
      <c r="F26" s="40" t="s">
        <v>18</v>
      </c>
      <c r="G26" s="43">
        <v>0</v>
      </c>
      <c r="H26" s="44" t="s">
        <v>6</v>
      </c>
    </row>
    <row r="27" spans="2:12" ht="31.5">
      <c r="B27" s="77" t="s">
        <v>51</v>
      </c>
      <c r="C27" s="13">
        <f>-(G26/C12)*G29*C17</f>
        <v>0</v>
      </c>
      <c r="D27" s="19"/>
      <c r="F27" s="40" t="s">
        <v>40</v>
      </c>
      <c r="G27" s="46">
        <v>1</v>
      </c>
      <c r="H27" s="44" t="s">
        <v>41</v>
      </c>
    </row>
    <row r="28" spans="2:12">
      <c r="B28" s="10"/>
      <c r="C28" s="13"/>
      <c r="D28" s="12"/>
      <c r="F28" s="40" t="s">
        <v>19</v>
      </c>
      <c r="G28" s="45">
        <v>0.12</v>
      </c>
      <c r="H28" s="44" t="s">
        <v>3</v>
      </c>
      <c r="K28" s="74"/>
    </row>
    <row r="29" spans="2:12">
      <c r="B29" s="10" t="s">
        <v>17</v>
      </c>
      <c r="C29" s="13">
        <f>-C17</f>
        <v>-80000000</v>
      </c>
      <c r="D29" s="12"/>
      <c r="F29" s="40" t="s">
        <v>35</v>
      </c>
      <c r="G29" s="45">
        <v>5.0000000000000001E-3</v>
      </c>
      <c r="H29" s="44" t="s">
        <v>31</v>
      </c>
    </row>
    <row r="30" spans="2:12">
      <c r="B30" s="10" t="s">
        <v>15</v>
      </c>
      <c r="C30" s="13">
        <f>C10/C13*C29</f>
        <v>-2400000</v>
      </c>
      <c r="D30" s="12"/>
      <c r="F30" s="40" t="s">
        <v>36</v>
      </c>
      <c r="G30" s="45">
        <v>1.4999999999999999E-2</v>
      </c>
      <c r="H30" s="44" t="s">
        <v>31</v>
      </c>
    </row>
    <row r="31" spans="2:12">
      <c r="B31" s="20" t="s">
        <v>13</v>
      </c>
      <c r="C31" s="35">
        <f>G26/360*(C10*G27)*C29</f>
        <v>0</v>
      </c>
      <c r="D31" s="21"/>
      <c r="F31" s="40" t="s">
        <v>21</v>
      </c>
      <c r="G31" s="45">
        <f>1000/1000000</f>
        <v>1E-3</v>
      </c>
      <c r="H31" s="44" t="s">
        <v>22</v>
      </c>
    </row>
    <row r="32" spans="2:12">
      <c r="B32" s="70" t="s">
        <v>52</v>
      </c>
      <c r="C32" s="71">
        <f>-G26/C12*G30*C17</f>
        <v>0</v>
      </c>
      <c r="D32" s="12"/>
      <c r="F32" s="40" t="s">
        <v>34</v>
      </c>
      <c r="G32" s="47">
        <v>0.02</v>
      </c>
      <c r="H32" s="44" t="s">
        <v>3</v>
      </c>
      <c r="K32" s="75"/>
      <c r="L32" t="s">
        <v>49</v>
      </c>
    </row>
    <row r="33" spans="2:8">
      <c r="B33" s="17" t="s">
        <v>14</v>
      </c>
      <c r="C33" s="52">
        <f>C26+SUM(C29:C32)</f>
        <v>17600000</v>
      </c>
      <c r="D33" s="12"/>
      <c r="F33" s="40" t="s">
        <v>30</v>
      </c>
      <c r="G33" s="47">
        <v>8.0000000000000002E-3</v>
      </c>
      <c r="H33" s="44" t="s">
        <v>31</v>
      </c>
    </row>
    <row r="34" spans="2:8">
      <c r="B34" s="22" t="s">
        <v>16</v>
      </c>
      <c r="C34" s="23">
        <f>SUM(C26:C27)-C33</f>
        <v>82400000</v>
      </c>
      <c r="D34" s="12"/>
      <c r="F34" s="40" t="s">
        <v>32</v>
      </c>
      <c r="G34" s="47">
        <v>7.46E-2</v>
      </c>
      <c r="H34" s="44" t="s">
        <v>3</v>
      </c>
    </row>
    <row r="35" spans="2:8" ht="16.5" thickBot="1">
      <c r="B35" s="14"/>
      <c r="C35" s="15"/>
      <c r="D35" s="16"/>
      <c r="F35" s="48" t="s">
        <v>42</v>
      </c>
      <c r="G35" s="54">
        <v>0.14000000000000001</v>
      </c>
      <c r="H35" s="53" t="s">
        <v>3</v>
      </c>
    </row>
    <row r="37" spans="2:8">
      <c r="C37" s="72"/>
      <c r="D37" s="3"/>
    </row>
    <row r="38" spans="2:8">
      <c r="C38" s="72"/>
    </row>
    <row r="39" spans="2:8">
      <c r="C39" s="72"/>
    </row>
    <row r="40" spans="2:8">
      <c r="C40" s="72"/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2014-05-20T09:00:49Z</dcterms:modified>
</cp:coreProperties>
</file>