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8340"/>
  </bookViews>
  <sheets>
    <sheet name="Pricing" sheetId="7" r:id="rId1"/>
  </sheets>
  <calcPr calcId="152511"/>
</workbook>
</file>

<file path=xl/calcChain.xml><?xml version="1.0" encoding="utf-8"?>
<calcChain xmlns="http://schemas.openxmlformats.org/spreadsheetml/2006/main">
  <c r="G21" i="7" l="1"/>
  <c r="G20" i="7"/>
  <c r="C26" i="7"/>
  <c r="C5" i="7" l="1"/>
  <c r="G42" i="7" l="1"/>
  <c r="D3" i="7" l="1"/>
  <c r="D5" i="7" s="1"/>
  <c r="C13" i="7" l="1"/>
  <c r="C9" i="7" l="1"/>
  <c r="C17" i="7" l="1"/>
  <c r="C18" i="7" s="1"/>
  <c r="G34" i="7"/>
  <c r="G10" i="7" l="1"/>
  <c r="H10" i="7" s="1"/>
  <c r="C16" i="7"/>
  <c r="C20" i="7" s="1"/>
  <c r="C29" i="7"/>
  <c r="C30" i="7" s="1"/>
  <c r="C27" i="7"/>
  <c r="C32" i="7"/>
  <c r="G11" i="7"/>
  <c r="H11" i="7" s="1"/>
  <c r="G18" i="7"/>
  <c r="H18" i="7" s="1"/>
  <c r="G17" i="7" l="1"/>
  <c r="G16" i="7" s="1"/>
  <c r="G22" i="7"/>
  <c r="H22" i="7" s="1"/>
  <c r="C19" i="7"/>
  <c r="C31" i="7"/>
  <c r="H17" i="7" l="1"/>
  <c r="G9" i="7"/>
  <c r="H9" i="7" s="1"/>
  <c r="C33" i="7"/>
  <c r="G12" i="7" s="1"/>
  <c r="C34" i="7" l="1"/>
  <c r="C35" i="7" s="1"/>
  <c r="H16" i="7"/>
  <c r="H21" i="7" l="1"/>
  <c r="H12" i="7" l="1"/>
  <c r="H20" i="7"/>
</calcChain>
</file>

<file path=xl/comments1.xml><?xml version="1.0" encoding="utf-8"?>
<comments xmlns="http://schemas.openxmlformats.org/spreadsheetml/2006/main">
  <authors>
    <author>Author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Interest rate + 0.4% fee per month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
Returns wlill likely to be between Return for VPB as operator and as Buyer, cell G16 and G20/G23</t>
        </r>
      </text>
    </comment>
    <comment ref="H16" authorId="0" shapeId="0">
      <text>
        <r>
          <rPr>
            <b/>
            <sz val="9"/>
            <color indexed="9"/>
            <rFont val="Tahoma"/>
            <family val="2"/>
          </rPr>
          <t>VPBank acts as Operator and also providing Margin Loan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VPBank acts as operator ONLY, without providing Margin Loan</t>
        </r>
      </text>
    </comment>
    <comment ref="H20" authorId="0" shapeId="0">
      <text>
        <r>
          <rPr>
            <b/>
            <sz val="9"/>
            <color indexed="9"/>
            <rFont val="Tahoma"/>
            <family val="2"/>
          </rPr>
          <t>VPBank acts as Buyer of the Invoices (Interest at maturity)</t>
        </r>
      </text>
    </comment>
  </commentList>
</comments>
</file>

<file path=xl/sharedStrings.xml><?xml version="1.0" encoding="utf-8"?>
<sst xmlns="http://schemas.openxmlformats.org/spreadsheetml/2006/main" count="71" uniqueCount="62">
  <si>
    <t>Transaction Deal Day</t>
  </si>
  <si>
    <t>Invoice Value</t>
  </si>
  <si>
    <t>Interest rate</t>
  </si>
  <si>
    <t>per annum</t>
  </si>
  <si>
    <t>Financing %</t>
  </si>
  <si>
    <t>Contractual Term</t>
  </si>
  <si>
    <t>days</t>
  </si>
  <si>
    <t>The Settlement</t>
  </si>
  <si>
    <t>Invoice Buyer pay Invoice Seller</t>
  </si>
  <si>
    <t>Actual Invoice Payment by its Debtor</t>
  </si>
  <si>
    <t>Amount Received by Seller</t>
  </si>
  <si>
    <t xml:space="preserve">Debtor pay </t>
  </si>
  <si>
    <t>Transaction Fee for Invoice Seller</t>
  </si>
  <si>
    <t>Late payment Interest</t>
  </si>
  <si>
    <t>Interest for Contractual Term</t>
  </si>
  <si>
    <t>Deduct financing amount</t>
  </si>
  <si>
    <t>Number of days late</t>
  </si>
  <si>
    <t>Lending rate</t>
  </si>
  <si>
    <t>Assumptions:</t>
  </si>
  <si>
    <t>Black Market</t>
  </si>
  <si>
    <t>per day</t>
  </si>
  <si>
    <t>Black Market Comparison</t>
  </si>
  <si>
    <t>Benchmark Comparison</t>
  </si>
  <si>
    <t>As Operator</t>
  </si>
  <si>
    <t>Transaction Fee</t>
  </si>
  <si>
    <t>NII for Margin Loan</t>
  </si>
  <si>
    <t>Revenue Sharing Portion</t>
  </si>
  <si>
    <t>Return minus COF</t>
  </si>
  <si>
    <t>NII for margin Loan</t>
  </si>
  <si>
    <t>Transation fee on Buyer</t>
  </si>
  <si>
    <t>Transaction fee on Seller</t>
  </si>
  <si>
    <t>Traditional Factoring Loan</t>
  </si>
  <si>
    <t>Cost for Invoice Seller</t>
  </si>
  <si>
    <t>Multiple for Late Payment Interest</t>
  </si>
  <si>
    <t>of Interest Rate</t>
  </si>
  <si>
    <t>Traditional Factoring Interest Rate</t>
  </si>
  <si>
    <t>Annualized</t>
  </si>
  <si>
    <t>Average Invoices</t>
  </si>
  <si>
    <t>Size per Invoice</t>
  </si>
  <si>
    <t>Companies</t>
  </si>
  <si>
    <t>TOTAL AMOUNT</t>
  </si>
  <si>
    <t>Annualizing factor</t>
  </si>
  <si>
    <t>Transaction Fee for Invoice Buyer</t>
    <phoneticPr fontId="15" type="noConversion"/>
  </si>
  <si>
    <t>Transaction Fee for Invoice Buyer 
(Applicable if he receives late payment interest)</t>
  </si>
  <si>
    <t>Late Payment Transaction Feefor Invoice Seller</t>
  </si>
  <si>
    <t>Amount Need to be Transferred by Invoice Buyer</t>
    <phoneticPr fontId="15" type="noConversion"/>
  </si>
  <si>
    <t>of Advance Value</t>
    <phoneticPr fontId="15" type="noConversion"/>
  </si>
  <si>
    <t>of Advance Value</t>
    <phoneticPr fontId="15" type="noConversion"/>
  </si>
  <si>
    <t>Remaining Payment to Invoice Seller/
(Remaining payment must collect from Invoice Seller)</t>
  </si>
  <si>
    <t>Cost of capital</t>
  </si>
  <si>
    <t>LGD</t>
  </si>
  <si>
    <t>Growth rate</t>
  </si>
  <si>
    <t>Debtor default rate</t>
  </si>
  <si>
    <t>Running costs</t>
  </si>
  <si>
    <t>Marketing cost</t>
  </si>
  <si>
    <t>Recovery amount</t>
  </si>
  <si>
    <t xml:space="preserve">Return to Invoice Buyer </t>
  </si>
  <si>
    <t>Return for Bank</t>
  </si>
  <si>
    <t>Cost of Fund</t>
  </si>
  <si>
    <t xml:space="preserve">Initial investments </t>
  </si>
  <si>
    <t xml:space="preserve">As Buyer </t>
  </si>
  <si>
    <t xml:space="preserve">Payment to Invoice Buyer after recovery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</si>
</sst>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"/>
    <numFmt numFmtId="165" formatCode="0.0%"/>
    <numFmt numFmtId="166" formatCode="[$VND]\ #,##0"/>
    <numFmt numFmtId="167" formatCode="[$VND]\ #,##0.00"/>
    <numFmt numFmtId="168" formatCode="[$USD]\ #,##0"/>
    <numFmt numFmtId="169" formatCode="_([$VND]\ * #,##0_);_([$VND]\ * \(#,##0\);_([$VND]\ 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9"/>
      <color indexed="9"/>
      <name val="Tahoma"/>
      <family val="2"/>
    </font>
    <font>
      <sz val="9"/>
      <name val="Calibri"/>
      <family val="3"/>
      <charset val="136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166" fontId="0" fillId="0" borderId="0" xfId="0" applyNumberFormat="1"/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6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164" fontId="4" fillId="0" borderId="0" xfId="0" applyNumberFormat="1" applyFont="1" applyBorder="1"/>
    <xf numFmtId="10" fontId="6" fillId="0" borderId="5" xfId="2" applyNumberFormat="1" applyFont="1" applyBorder="1" applyAlignment="1">
      <alignment horizontal="center"/>
    </xf>
    <xf numFmtId="0" fontId="2" fillId="0" borderId="4" xfId="0" applyFont="1" applyBorder="1"/>
    <xf numFmtId="0" fontId="6" fillId="0" borderId="5" xfId="0" applyFont="1" applyBorder="1" applyAlignment="1">
      <alignment horizontal="center"/>
    </xf>
    <xf numFmtId="0" fontId="3" fillId="0" borderId="4" xfId="0" applyFont="1" applyBorder="1"/>
    <xf numFmtId="166" fontId="3" fillId="0" borderId="0" xfId="0" applyNumberFormat="1" applyFont="1" applyBorder="1"/>
    <xf numFmtId="0" fontId="8" fillId="0" borderId="5" xfId="0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166" fontId="8" fillId="0" borderId="0" xfId="0" applyNumberFormat="1" applyFont="1" applyBorder="1"/>
    <xf numFmtId="165" fontId="0" fillId="0" borderId="5" xfId="2" applyNumberFormat="1" applyFont="1" applyBorder="1" applyAlignment="1">
      <alignment horizontal="center"/>
    </xf>
    <xf numFmtId="165" fontId="0" fillId="0" borderId="5" xfId="0" applyNumberFormat="1" applyBorder="1"/>
    <xf numFmtId="9" fontId="0" fillId="0" borderId="0" xfId="0" applyNumberForma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center"/>
    </xf>
    <xf numFmtId="166" fontId="2" fillId="0" borderId="0" xfId="0" applyNumberFormat="1" applyFont="1" applyBorder="1"/>
    <xf numFmtId="166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left" indent="3"/>
    </xf>
    <xf numFmtId="0" fontId="0" fillId="0" borderId="6" xfId="0" applyFont="1" applyBorder="1" applyAlignment="1">
      <alignment horizontal="left" indent="3"/>
    </xf>
    <xf numFmtId="0" fontId="6" fillId="0" borderId="4" xfId="0" applyFont="1" applyBorder="1" applyAlignment="1">
      <alignment horizontal="left" indent="3"/>
    </xf>
    <xf numFmtId="166" fontId="9" fillId="0" borderId="0" xfId="0" applyNumberFormat="1" applyFont="1" applyBorder="1"/>
    <xf numFmtId="165" fontId="10" fillId="4" borderId="5" xfId="0" applyNumberFormat="1" applyFont="1" applyFill="1" applyBorder="1" applyAlignment="1">
      <alignment horizontal="center"/>
    </xf>
    <xf numFmtId="167" fontId="0" fillId="0" borderId="0" xfId="0" applyNumberFormat="1" applyBorder="1"/>
    <xf numFmtId="165" fontId="10" fillId="5" borderId="5" xfId="2" applyNumberFormat="1" applyFont="1" applyFill="1" applyBorder="1" applyAlignment="1">
      <alignment horizontal="center"/>
    </xf>
    <xf numFmtId="165" fontId="3" fillId="2" borderId="5" xfId="2" applyNumberFormat="1" applyFont="1" applyFill="1" applyBorder="1" applyAlignment="1">
      <alignment horizontal="center"/>
    </xf>
    <xf numFmtId="165" fontId="3" fillId="6" borderId="5" xfId="2" applyNumberFormat="1" applyFont="1" applyFill="1" applyBorder="1" applyAlignment="1">
      <alignment horizontal="center"/>
    </xf>
    <xf numFmtId="166" fontId="10" fillId="4" borderId="0" xfId="0" applyNumberFormat="1" applyFont="1" applyFill="1" applyBorder="1"/>
    <xf numFmtId="166" fontId="13" fillId="2" borderId="0" xfId="0" applyNumberFormat="1" applyFont="1" applyFill="1" applyBorder="1"/>
    <xf numFmtId="166" fontId="10" fillId="5" borderId="0" xfId="0" applyNumberFormat="1" applyFont="1" applyFill="1" applyBorder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/>
    <xf numFmtId="168" fontId="10" fillId="3" borderId="0" xfId="0" applyNumberFormat="1" applyFont="1" applyFill="1" applyAlignment="1">
      <alignment horizontal="center"/>
    </xf>
    <xf numFmtId="166" fontId="10" fillId="3" borderId="0" xfId="0" applyNumberFormat="1" applyFont="1" applyFill="1" applyBorder="1" applyAlignment="1">
      <alignment horizontal="right"/>
    </xf>
    <xf numFmtId="37" fontId="10" fillId="3" borderId="0" xfId="1" applyNumberFormat="1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2" fillId="0" borderId="4" xfId="0" applyFont="1" applyFill="1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9" fontId="11" fillId="0" borderId="0" xfId="0" applyNumberFormat="1" applyFont="1"/>
    <xf numFmtId="0" fontId="7" fillId="7" borderId="1" xfId="0" applyFont="1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7" borderId="0" xfId="0" applyFill="1" applyBorder="1"/>
    <xf numFmtId="3" fontId="0" fillId="7" borderId="0" xfId="0" applyNumberFormat="1" applyFill="1" applyBorder="1" applyAlignment="1">
      <alignment horizontal="center"/>
    </xf>
    <xf numFmtId="0" fontId="5" fillId="7" borderId="5" xfId="0" applyFont="1" applyFill="1" applyBorder="1"/>
    <xf numFmtId="9" fontId="0" fillId="7" borderId="0" xfId="0" applyNumberFormat="1" applyFill="1" applyBorder="1" applyAlignment="1">
      <alignment horizontal="center"/>
    </xf>
    <xf numFmtId="10" fontId="0" fillId="7" borderId="0" xfId="2" applyNumberFormat="1" applyFont="1" applyFill="1" applyBorder="1" applyAlignment="1">
      <alignment horizontal="center"/>
    </xf>
    <xf numFmtId="10" fontId="0" fillId="7" borderId="0" xfId="0" applyNumberFormat="1" applyFill="1" applyBorder="1" applyAlignment="1">
      <alignment horizontal="center"/>
    </xf>
    <xf numFmtId="9" fontId="0" fillId="7" borderId="0" xfId="2" applyFont="1" applyFill="1" applyBorder="1" applyAlignment="1">
      <alignment horizontal="center" vertical="center"/>
    </xf>
    <xf numFmtId="0" fontId="0" fillId="7" borderId="8" xfId="0" applyFill="1" applyBorder="1"/>
    <xf numFmtId="169" fontId="0" fillId="7" borderId="0" xfId="0" applyNumberFormat="1" applyFill="1" applyBorder="1" applyAlignment="1">
      <alignment horizontal="center"/>
    </xf>
    <xf numFmtId="0" fontId="3" fillId="0" borderId="6" xfId="0" applyFont="1" applyBorder="1"/>
    <xf numFmtId="166" fontId="3" fillId="0" borderId="7" xfId="0" applyNumberFormat="1" applyFont="1" applyBorder="1"/>
    <xf numFmtId="167" fontId="0" fillId="0" borderId="7" xfId="0" applyNumberFormat="1" applyBorder="1"/>
    <xf numFmtId="165" fontId="0" fillId="0" borderId="8" xfId="2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right"/>
    </xf>
    <xf numFmtId="43" fontId="0" fillId="0" borderId="0" xfId="1" applyFont="1"/>
    <xf numFmtId="169" fontId="0" fillId="7" borderId="7" xfId="0" applyNumberFormat="1" applyFill="1" applyBorder="1" applyAlignment="1">
      <alignment horizontal="center"/>
    </xf>
    <xf numFmtId="0" fontId="7" fillId="0" borderId="4" xfId="0" applyFont="1" applyBorder="1"/>
    <xf numFmtId="0" fontId="3" fillId="0" borderId="0" xfId="0" applyFont="1" applyBorder="1"/>
    <xf numFmtId="165" fontId="2" fillId="0" borderId="0" xfId="2" applyNumberFormat="1" applyFont="1" applyBorder="1" applyAlignment="1">
      <alignment horizontal="center"/>
    </xf>
    <xf numFmtId="165" fontId="2" fillId="0" borderId="8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51"/>
  <sheetViews>
    <sheetView tabSelected="1" topLeftCell="A4" zoomScale="64" zoomScaleNormal="64" workbookViewId="0">
      <selection activeCell="J27" sqref="J27"/>
    </sheetView>
  </sheetViews>
  <sheetFormatPr defaultRowHeight="15"/>
  <cols>
    <col min="2" max="2" width="59.5703125" bestFit="1" customWidth="1"/>
    <col min="3" max="3" width="29" customWidth="1"/>
    <col min="4" max="4" width="26.42578125" customWidth="1"/>
    <col min="6" max="6" width="42.42578125" bestFit="1" customWidth="1"/>
    <col min="7" max="7" width="29" customWidth="1"/>
    <col min="8" max="8" width="19.5703125" customWidth="1"/>
    <col min="9" max="9" width="18.7109375" bestFit="1" customWidth="1"/>
    <col min="10" max="10" width="30.7109375" customWidth="1"/>
    <col min="11" max="11" width="33.5703125" customWidth="1"/>
    <col min="12" max="14" width="22.7109375" bestFit="1" customWidth="1"/>
    <col min="15" max="16" width="22.140625" bestFit="1" customWidth="1"/>
  </cols>
  <sheetData>
    <row r="2" spans="2:10">
      <c r="B2" s="42" t="s">
        <v>37</v>
      </c>
      <c r="C2" s="43">
        <v>10</v>
      </c>
      <c r="D2" s="44"/>
    </row>
    <row r="3" spans="2:10">
      <c r="B3" s="42" t="s">
        <v>38</v>
      </c>
      <c r="C3" s="45">
        <v>5000</v>
      </c>
      <c r="D3" s="46">
        <f>C3*20000</f>
        <v>100000000</v>
      </c>
    </row>
    <row r="4" spans="2:10">
      <c r="B4" s="42" t="s">
        <v>39</v>
      </c>
      <c r="C4" s="47">
        <v>5000</v>
      </c>
      <c r="D4" s="48"/>
    </row>
    <row r="5" spans="2:10">
      <c r="B5" s="42" t="s">
        <v>40</v>
      </c>
      <c r="C5" s="45">
        <f>C2*C3*C4</f>
        <v>250000000</v>
      </c>
      <c r="D5" s="46">
        <f>C2*D3*C4</f>
        <v>5000000000000</v>
      </c>
    </row>
    <row r="6" spans="2:10" ht="15.75" thickBot="1"/>
    <row r="7" spans="2:10" ht="21">
      <c r="B7" s="2" t="s">
        <v>0</v>
      </c>
      <c r="C7" s="3"/>
      <c r="D7" s="4"/>
      <c r="F7" s="2" t="s">
        <v>22</v>
      </c>
      <c r="G7" s="3"/>
      <c r="H7" s="4"/>
    </row>
    <row r="8" spans="2:10">
      <c r="B8" s="5"/>
      <c r="C8" s="6"/>
      <c r="D8" s="7"/>
      <c r="F8" s="5"/>
      <c r="G8" s="6"/>
      <c r="H8" s="19" t="s">
        <v>36</v>
      </c>
    </row>
    <row r="9" spans="2:10">
      <c r="B9" s="5" t="s">
        <v>1</v>
      </c>
      <c r="C9" s="29">
        <f>D5</f>
        <v>5000000000000</v>
      </c>
      <c r="D9" s="7"/>
      <c r="F9" s="17" t="s">
        <v>32</v>
      </c>
      <c r="G9" s="18">
        <f>C18+C30+C31+C32</f>
        <v>-180000000000</v>
      </c>
      <c r="H9" s="20">
        <f>-(G9/C17)*(365/(C12+G29))</f>
        <v>0.1825</v>
      </c>
    </row>
    <row r="10" spans="2:10">
      <c r="B10" s="5" t="s">
        <v>2</v>
      </c>
      <c r="C10" s="24">
        <v>0.12</v>
      </c>
      <c r="D10" s="25" t="s">
        <v>3</v>
      </c>
      <c r="F10" s="32" t="s">
        <v>21</v>
      </c>
      <c r="G10" s="21">
        <f>-G34*(C12+G29)*C17</f>
        <v>-360000000000</v>
      </c>
      <c r="H10" s="20">
        <f>-G10/C17*(365/(C12+G29))</f>
        <v>0.36499999999999999</v>
      </c>
    </row>
    <row r="11" spans="2:10">
      <c r="B11" s="5" t="s">
        <v>4</v>
      </c>
      <c r="C11" s="24">
        <v>0.8</v>
      </c>
      <c r="D11" s="26"/>
      <c r="F11" s="32" t="s">
        <v>31</v>
      </c>
      <c r="G11" s="21">
        <f>G38*C12/365*C17+G38*G30*G29/365*C17+0.4%*C17*(C12+G29)/30</f>
        <v>186082191780.82193</v>
      </c>
      <c r="H11" s="38">
        <f>G11/C17*(365/(C12+G29))</f>
        <v>0.18866666666666668</v>
      </c>
    </row>
    <row r="12" spans="2:10">
      <c r="B12" s="5" t="s">
        <v>5</v>
      </c>
      <c r="C12" s="27">
        <v>90</v>
      </c>
      <c r="D12" s="25" t="s">
        <v>6</v>
      </c>
      <c r="F12" s="17" t="s">
        <v>56</v>
      </c>
      <c r="G12" s="18">
        <f>IF(C33&gt;=0,-(C30+C31-C27-C16),-(C31-C27-C16)-(C17-C26)+C34)-G44-G45</f>
        <v>98400000000</v>
      </c>
      <c r="H12" s="20">
        <f>G12/$C$17*(365/($C$12+$G$29))</f>
        <v>9.9766666666666656E-2</v>
      </c>
      <c r="I12" s="74"/>
      <c r="J12" s="1"/>
    </row>
    <row r="13" spans="2:10" ht="15.75" thickBot="1">
      <c r="B13" s="9" t="s">
        <v>41</v>
      </c>
      <c r="C13" s="50">
        <f>360/C12</f>
        <v>4</v>
      </c>
      <c r="D13" s="11"/>
      <c r="F13" s="69"/>
      <c r="G13" s="70"/>
      <c r="H13" s="79"/>
    </row>
    <row r="14" spans="2:10" ht="15.75" thickBot="1">
      <c r="F14" s="77"/>
      <c r="G14" s="18"/>
      <c r="H14" s="78"/>
    </row>
    <row r="15" spans="2:10" ht="21">
      <c r="B15" s="2" t="s">
        <v>7</v>
      </c>
      <c r="C15" s="3"/>
      <c r="D15" s="4"/>
      <c r="F15" s="76" t="s">
        <v>57</v>
      </c>
      <c r="G15" s="8"/>
      <c r="H15" s="7"/>
    </row>
    <row r="16" spans="2:10">
      <c r="B16" s="5" t="s">
        <v>42</v>
      </c>
      <c r="C16" s="8">
        <f>-G32*C17</f>
        <v>-20000000000</v>
      </c>
      <c r="D16" s="7"/>
      <c r="F16" s="17" t="s">
        <v>23</v>
      </c>
      <c r="G16" s="39">
        <f>SUM(G17:G18)-G44-G45</f>
        <v>58126027397.260277</v>
      </c>
      <c r="H16" s="34">
        <f>G16/C17*(365/(C12+G29))</f>
        <v>5.8933333333333331E-2</v>
      </c>
    </row>
    <row r="17" spans="2:8">
      <c r="B17" s="5" t="s">
        <v>8</v>
      </c>
      <c r="C17" s="8">
        <f>C11*C9</f>
        <v>4000000000000</v>
      </c>
      <c r="D17" s="25"/>
      <c r="F17" s="30" t="s">
        <v>24</v>
      </c>
      <c r="G17" s="40">
        <f>-(C18+C27+C32+C16)-G36*C17</f>
        <v>40000000000</v>
      </c>
      <c r="H17" s="37">
        <f>G17/C17*(365/(C12+G29))</f>
        <v>4.0555555555555553E-2</v>
      </c>
    </row>
    <row r="18" spans="2:8">
      <c r="B18" s="5" t="s">
        <v>12</v>
      </c>
      <c r="C18" s="8">
        <f>-G33*C17</f>
        <v>-60000000000</v>
      </c>
      <c r="D18" s="7"/>
      <c r="F18" s="30" t="s">
        <v>25</v>
      </c>
      <c r="G18" s="8">
        <f>G35*C17/(365/(G29+C12))</f>
        <v>19726027397.260277</v>
      </c>
      <c r="H18" s="22">
        <f>G18/C17*(365/(C12+G29))</f>
        <v>0.02</v>
      </c>
    </row>
    <row r="19" spans="2:8">
      <c r="B19" s="12" t="s">
        <v>10</v>
      </c>
      <c r="C19" s="13">
        <f>C17+C18</f>
        <v>3940000000000</v>
      </c>
      <c r="D19" s="7"/>
      <c r="F19" s="5"/>
      <c r="G19" s="8"/>
      <c r="H19" s="23"/>
    </row>
    <row r="20" spans="2:8">
      <c r="B20" s="51" t="s">
        <v>45</v>
      </c>
      <c r="C20" s="13">
        <f>C17-C16</f>
        <v>4020000000000</v>
      </c>
      <c r="D20" s="7"/>
      <c r="F20" s="17" t="s">
        <v>60</v>
      </c>
      <c r="G20" s="41">
        <f>SUM(G21:G22)</f>
        <v>64821917808.219177</v>
      </c>
      <c r="H20" s="36">
        <f>G20/$C$17*(365/($C$12+$G$29))</f>
        <v>6.5722222222222224E-2</v>
      </c>
    </row>
    <row r="21" spans="2:8">
      <c r="B21" s="5"/>
      <c r="C21" s="8"/>
      <c r="D21" s="7"/>
      <c r="F21" s="30" t="s">
        <v>27</v>
      </c>
      <c r="G21" s="35">
        <f>G12-$G$37*($G$29+$C$12)/365*$C$17</f>
        <v>24821917808.219177</v>
      </c>
      <c r="H21" s="22">
        <f t="shared" ref="H21:H22" si="0">G21/$C$17*(365/($C$12+$G$29))</f>
        <v>2.5166666666666667E-2</v>
      </c>
    </row>
    <row r="22" spans="2:8" ht="15.75" thickBot="1">
      <c r="B22" s="9"/>
      <c r="C22" s="10"/>
      <c r="D22" s="11"/>
      <c r="F22" s="30" t="s">
        <v>24</v>
      </c>
      <c r="G22" s="8">
        <f>-($C$18+$C$27+$C$32+$C$16)-$G$36*$C$17</f>
        <v>40000000000</v>
      </c>
      <c r="H22" s="22">
        <f t="shared" si="0"/>
        <v>4.0555555555555553E-2</v>
      </c>
    </row>
    <row r="23" spans="2:8" ht="15.75" thickBot="1">
      <c r="F23" s="17"/>
      <c r="G23" s="41"/>
      <c r="H23" s="36"/>
    </row>
    <row r="24" spans="2:8" ht="21.75" thickBot="1">
      <c r="B24" s="2" t="s">
        <v>9</v>
      </c>
      <c r="C24" s="3"/>
      <c r="D24" s="4"/>
      <c r="F24" s="31"/>
      <c r="G24" s="71"/>
      <c r="H24" s="72"/>
    </row>
    <row r="25" spans="2:8">
      <c r="B25" s="5"/>
      <c r="C25" s="6"/>
      <c r="D25" s="7"/>
    </row>
    <row r="26" spans="2:8" ht="15.75" thickBot="1">
      <c r="B26" s="5" t="s">
        <v>11</v>
      </c>
      <c r="C26" s="8">
        <f>C9-C17*G39</f>
        <v>4880000000000</v>
      </c>
      <c r="D26" s="7"/>
    </row>
    <row r="27" spans="2:8" ht="31.5">
      <c r="B27" s="52" t="s">
        <v>43</v>
      </c>
      <c r="C27" s="8">
        <f>-(G29/C12)*G32*C17</f>
        <v>0</v>
      </c>
      <c r="D27" s="14"/>
      <c r="F27" s="54" t="s">
        <v>18</v>
      </c>
      <c r="G27" s="59"/>
      <c r="H27" s="55"/>
    </row>
    <row r="28" spans="2:8">
      <c r="B28" s="5"/>
      <c r="C28" s="8"/>
      <c r="D28" s="7"/>
      <c r="F28" s="57"/>
      <c r="G28" s="60"/>
      <c r="H28" s="56"/>
    </row>
    <row r="29" spans="2:8">
      <c r="B29" s="5" t="s">
        <v>15</v>
      </c>
      <c r="C29" s="8">
        <f>-C17</f>
        <v>-4000000000000</v>
      </c>
      <c r="D29" s="7"/>
      <c r="F29" s="57" t="s">
        <v>16</v>
      </c>
      <c r="G29" s="61">
        <v>0</v>
      </c>
      <c r="H29" s="62" t="s">
        <v>6</v>
      </c>
    </row>
    <row r="30" spans="2:8">
      <c r="B30" s="5" t="s">
        <v>14</v>
      </c>
      <c r="C30" s="8">
        <f>C10/C13*C29</f>
        <v>-120000000000</v>
      </c>
      <c r="D30" s="7"/>
      <c r="F30" s="57" t="s">
        <v>33</v>
      </c>
      <c r="G30" s="63">
        <v>1</v>
      </c>
      <c r="H30" s="62" t="s">
        <v>34</v>
      </c>
    </row>
    <row r="31" spans="2:8">
      <c r="B31" s="15" t="s">
        <v>13</v>
      </c>
      <c r="C31" s="28">
        <f>G29/360*(C10*G30)*C29</f>
        <v>0</v>
      </c>
      <c r="D31" s="16"/>
      <c r="F31" s="57" t="s">
        <v>17</v>
      </c>
      <c r="G31" s="64">
        <v>0.12</v>
      </c>
      <c r="H31" s="62" t="s">
        <v>3</v>
      </c>
    </row>
    <row r="32" spans="2:8">
      <c r="B32" s="49" t="s">
        <v>44</v>
      </c>
      <c r="C32" s="28">
        <f>-G29/C12*G33*C17</f>
        <v>0</v>
      </c>
      <c r="D32" s="7"/>
      <c r="F32" s="57" t="s">
        <v>29</v>
      </c>
      <c r="G32" s="64">
        <v>5.0000000000000001E-3</v>
      </c>
      <c r="H32" s="62" t="s">
        <v>46</v>
      </c>
    </row>
    <row r="33" spans="2:8" ht="30">
      <c r="B33" s="51" t="s">
        <v>48</v>
      </c>
      <c r="C33" s="33">
        <f>C26+SUM(C29:C32)</f>
        <v>760000000000</v>
      </c>
      <c r="D33" s="7"/>
      <c r="F33" s="57" t="s">
        <v>30</v>
      </c>
      <c r="G33" s="64">
        <v>1.4999999999999999E-2</v>
      </c>
      <c r="H33" s="62" t="s">
        <v>46</v>
      </c>
    </row>
    <row r="34" spans="2:8">
      <c r="B34" s="5" t="s">
        <v>55</v>
      </c>
      <c r="C34" s="73" t="str">
        <f>IF(C33&gt;=0,"N/A",ABS(C33-C33*G40))</f>
        <v>N/A</v>
      </c>
      <c r="D34" s="7"/>
      <c r="F34" s="57" t="s">
        <v>19</v>
      </c>
      <c r="G34" s="64">
        <f>1000/1000000</f>
        <v>1E-3</v>
      </c>
      <c r="H34" s="62" t="s">
        <v>20</v>
      </c>
    </row>
    <row r="35" spans="2:8">
      <c r="B35" s="17" t="s">
        <v>61</v>
      </c>
      <c r="C35" s="18">
        <f>IF(C34="N/A",IF(C33&gt;=0,SUM(C26:C27)-C33,SUM(C26:C27)),IF(C33&gt;=0,SUM(C26:C27)-C33,SUM(C26:C27))+C34)</f>
        <v>4120000000000</v>
      </c>
      <c r="D35" s="7"/>
      <c r="F35" s="57" t="s">
        <v>28</v>
      </c>
      <c r="G35" s="65">
        <v>0.02</v>
      </c>
      <c r="H35" s="62" t="s">
        <v>3</v>
      </c>
    </row>
    <row r="36" spans="2:8" ht="15.75" thickBot="1">
      <c r="B36" s="69"/>
      <c r="C36" s="70"/>
      <c r="D36" s="11"/>
      <c r="F36" s="57" t="s">
        <v>26</v>
      </c>
      <c r="G36" s="65">
        <v>0.01</v>
      </c>
      <c r="H36" s="62" t="s">
        <v>47</v>
      </c>
    </row>
    <row r="37" spans="2:8">
      <c r="F37" s="57" t="s">
        <v>58</v>
      </c>
      <c r="G37" s="65">
        <v>7.46E-2</v>
      </c>
      <c r="H37" s="62" t="s">
        <v>3</v>
      </c>
    </row>
    <row r="38" spans="2:8">
      <c r="C38" s="1"/>
      <c r="F38" s="57" t="s">
        <v>35</v>
      </c>
      <c r="G38" s="65">
        <v>0.14000000000000001</v>
      </c>
      <c r="H38" s="62" t="s">
        <v>3</v>
      </c>
    </row>
    <row r="39" spans="2:8">
      <c r="C39" s="1"/>
      <c r="F39" s="57" t="s">
        <v>52</v>
      </c>
      <c r="G39" s="66">
        <v>0.03</v>
      </c>
      <c r="H39" s="56"/>
    </row>
    <row r="40" spans="2:8">
      <c r="C40" s="1"/>
      <c r="F40" s="57" t="s">
        <v>50</v>
      </c>
      <c r="G40" s="66">
        <v>0.35</v>
      </c>
      <c r="H40" s="56"/>
    </row>
    <row r="41" spans="2:8">
      <c r="C41" s="1"/>
      <c r="F41" s="57" t="s">
        <v>59</v>
      </c>
      <c r="G41" s="68">
        <v>3184732399</v>
      </c>
      <c r="H41" s="56"/>
    </row>
    <row r="42" spans="2:8">
      <c r="C42" s="1"/>
      <c r="F42" s="57" t="s">
        <v>49</v>
      </c>
      <c r="G42" s="66">
        <f>AVERAGE(G37,G31)</f>
        <v>9.7299999999999998E-2</v>
      </c>
      <c r="H42" s="62" t="s">
        <v>3</v>
      </c>
    </row>
    <row r="43" spans="2:8">
      <c r="C43" s="1"/>
      <c r="F43" s="57" t="s">
        <v>51</v>
      </c>
      <c r="G43" s="66">
        <v>0.1</v>
      </c>
      <c r="H43" s="62" t="s">
        <v>3</v>
      </c>
    </row>
    <row r="44" spans="2:8">
      <c r="F44" s="57" t="s">
        <v>53</v>
      </c>
      <c r="G44" s="68">
        <v>1000000000</v>
      </c>
      <c r="H44" s="56"/>
    </row>
    <row r="45" spans="2:8" ht="15.75" thickBot="1">
      <c r="F45" s="58" t="s">
        <v>54</v>
      </c>
      <c r="G45" s="75">
        <v>600000000</v>
      </c>
      <c r="H45" s="67"/>
    </row>
    <row r="48" spans="2:8">
      <c r="F48" s="53">
        <v>0.03</v>
      </c>
      <c r="G48" s="53">
        <v>0.35</v>
      </c>
    </row>
    <row r="49" spans="6:7">
      <c r="F49" s="53">
        <v>0.05</v>
      </c>
      <c r="G49" s="53">
        <v>0.45</v>
      </c>
    </row>
    <row r="50" spans="6:7">
      <c r="F50" s="53">
        <v>0.1</v>
      </c>
      <c r="G50" s="53">
        <v>0.55000000000000004</v>
      </c>
    </row>
    <row r="51" spans="6:7">
      <c r="F51" s="53">
        <v>0.15</v>
      </c>
      <c r="G51" s="53">
        <v>0.65</v>
      </c>
    </row>
  </sheetData>
  <phoneticPr fontId="15" type="noConversion"/>
  <dataValidations count="2">
    <dataValidation type="list" allowBlank="1" showInputMessage="1" showErrorMessage="1" sqref="G39">
      <formula1>$F$48:$F$51</formula1>
    </dataValidation>
    <dataValidation type="list" allowBlank="1" showInputMessage="1" showErrorMessage="1" sqref="G40">
      <formula1>$G$48:$G$51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2014-10-27T02:35:04Z</dcterms:modified>
</cp:coreProperties>
</file>