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3-8" sheetId="1" r:id="rId4"/>
    <sheet state="visible" name="UCI Coho Data" sheetId="2" r:id="rId5"/>
    <sheet state="hidden" name="UCI Coho DataOld" sheetId="3" r:id="rId6"/>
  </sheets>
  <definedNames>
    <definedName name="esc_index">#REF!</definedName>
    <definedName localSheetId="1" name="gen_time">'UCI Coho Data'!$F$3</definedName>
    <definedName localSheetId="2" name="run">'UCI Coho DataOld'!$W$8:$W$27</definedName>
    <definedName name="tot_catch">#REF!</definedName>
    <definedName localSheetId="1" name="run">'UCI Coho Data'!$Y$8:$Y$27</definedName>
    <definedName name="gen_time">#REF!</definedName>
    <definedName name="EEZ_catch">#REF!</definedName>
    <definedName localSheetId="2" name="esc_index">'UCI Coho DataOld'!$U$4</definedName>
    <definedName localSheetId="2" name="EEZ_catch">'UCI Coho DataOld'!$P$8:$P$27</definedName>
    <definedName name="p_EEZ">#REF!</definedName>
    <definedName localSheetId="1" name="tot_catch">'UCI Coho Data'!$P$8:$P$27</definedName>
    <definedName name="tot_esc">#REF!</definedName>
    <definedName localSheetId="2" name="tot_catch">'UCI Coho DataOld'!$N$8:$N$27</definedName>
    <definedName localSheetId="2" name="p_EEZ">'UCI Coho DataOld'!$F$4</definedName>
    <definedName localSheetId="1" name="p_EEZ">'UCI Coho Data'!$F$4</definedName>
    <definedName localSheetId="2" name="tot_esc">'UCI Coho DataOld'!$U$8:$U$27</definedName>
    <definedName localSheetId="2" name="gen_time">'UCI Coho DataOld'!$F$3</definedName>
    <definedName name="run">#REF!</definedName>
    <definedName localSheetId="1" name="esc_index">'UCI Coho Data'!$W$4</definedName>
    <definedName localSheetId="1" name="EEZ_catch">'UCI Coho Data'!$R$8:$R$27</definedName>
    <definedName localSheetId="1" name="tot_esc">'UCI Coho Data'!$W$8:$W$27</definedName>
  </definedNames>
  <calcPr/>
  <extLst>
    <ext uri="GoogleSheetsCustomDataVersion2">
      <go:sheetsCustomData xmlns:go="http://customooxmlschemas.google.com/" r:id="rId7" roundtripDataChecksum="TWqOXDHUYRstm1S0sl56OYB2hRUDQBlcNhbL8YXd/kA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T31">
      <text>
        <t xml:space="preserve">======
ID#AAAA-KAINL4
Joshua Russell - NOAA Federal    (2023-11-01 19:02:55)
Due to budget issues, weir pulled early. Total considered incomplete. 
https://www.adfg.alaska.gov/static/applications/dcfnewsrelease/1447206643.pdf</t>
      </text>
    </comment>
    <comment authorId="0" ref="U31">
      <text>
        <t xml:space="preserve">======
ID#AAAA-KAINL0
Joshua Russell - NOAA Federal    (2023-11-01 19:02:05)
Due to floods, this number is considered incomplete, SEG of 9200-17000 was likely to have been attained. 
https://www.adfg.alaska.gov/static/applications/dcfnewsrelease/1447206643.pdf</t>
      </text>
    </comment>
    <comment authorId="0" ref="E31">
      <text>
        <t xml:space="preserve">======
ID#AAAA-KAINLw
Joshua Russell - NOAA Federal    (2023-11-01 18:58:23)
https://www.adfg.alaska.gov/static/applications/dcfnewsrelease/1447206643.pdf</t>
      </text>
    </comment>
    <comment authorId="0" ref="B31">
      <text>
        <t xml:space="preserve">======
ID#AAAA-KAINLs
Joshua Russell - NOAA Federal    (2023-11-01 18:57:51)
https://www.adfg.alaska.gov/static/applications/dcfnewsrelease/1447206643.pdf</t>
      </text>
    </comment>
    <comment authorId="0" ref="B18">
      <text>
        <t xml:space="preserve">======
ID#AAAAjcU0Svk
tc={8ED82167-E115-4267-8E8F-75D36413E95B}    (2022-11-15 22:45:05)
[Threaded comment]
Your version of Excel allows you to read this threaded comment; however, any edits to it will get removed if the file is opened in a newer version of Excel. Learn more: https://go.microsoft.com/fwlink/?linkid=870924
Comment:
    same situation as in chum example Marcus Hartley has 82,133 in first tab, but same number as this in his sheet 3</t>
      </text>
    </comment>
    <comment authorId="0" ref="AA7">
      <text>
        <t xml:space="preserve">======
ID#AAAAjcU0Svg
raclark    (2022-11-15 22:45:05)
Fishing mortality
Index of F (not actual F!!)
EEZ Catch/(Run index)
Run index = Total Catch+ Total Esc Index</t>
      </text>
    </comment>
    <comment authorId="0" ref="F7">
      <text>
        <t xml:space="preserve">======
ID#AAAAjcU0SvU
Munro, Andrew R (DFG)    (2022-11-15 22:45:05)
total commercial fishery catches</t>
      </text>
    </comment>
    <comment authorId="0" ref="N7">
      <text>
        <t xml:space="preserve">======
ID#AAAAjcU0SvQ
Brenner, Richard E (DFG)    (2022-11-15 22:45:05)
Personal Use data includes Kasilof River gillnet, Kasilof River dipnet, Kenai River dipnet, Unknown PU harvest, and Fish Creek dipnet.
A. Munro (4/7/2020)
Does not include Beluga River dipnet fishery
Appendix B17 FMR19-25</t>
      </text>
    </comment>
    <comment authorId="0" ref="AD7">
      <text>
        <t xml:space="preserve">======
ID#AAAAjcU0SvM
raclark    (2022-11-15 22:45:05)
Index of S, not S.
# of Spawners</t>
      </text>
    </comment>
    <comment authorId="0" ref="AH7">
      <text>
        <t xml:space="preserve">======
ID#AAAAjcU0SvE
Brenner, Richard E (DFG)    (2022-11-15 22:45:05)
If actual spawners is less than minimum sustainable stock threshold, then the stock has been overfished.
This is from the perspective of spawning.</t>
      </text>
    </comment>
    <comment authorId="0" ref="H6">
      <text>
        <t xml:space="preserve">======
ID#AAAAjcU0SvA
tc={45993C69-8EDA-4431-8BCC-E2433FB7E332}    (2022-11-15 22:45:05)
[Threaded comment]
Your version of Excel allows you to read this threaded comment; however, any edits to it will get removed if the file is opened in a newer version of Excel. Learn more: https://go.microsoft.com/fwlink/?linkid=870924
Comment:
    Sport harvest estimates from Statewide Harvest Survey query run by Michael Martz (ADF&amp;G) for Northern Economics, February 4, 2020.</t>
      </text>
    </comment>
    <comment authorId="0" ref="C7">
      <text>
        <t xml:space="preserve">======
ID#AAAAjcU0Su8
Brenner, Richard E (DFG)    (2022-11-15 22:45:05)
East Side Set Net</t>
      </text>
    </comment>
    <comment authorId="0" ref="AG7">
      <text>
        <t xml:space="preserve">======
ID#AAAAjcU0Suk
Brenner, Richard E (DFG)    (2022-11-15 22:45:05)
Overfishing = Fishing mortality &gt; maximum fishing mortality threshold.
This is from the perspective of harvest.</t>
      </text>
    </comment>
    <comment authorId="0" ref="AC7">
      <text>
        <t xml:space="preserve">======
ID#AAAAjcU0Sug
raclark    (2022-11-15 22:45:05)
Minimum Stock Size Threshold.
Index of S, not S.
MSST =
(Spawning goal x 4)/2
Multiplied by 4 because this exercise uses a 4-year running mean due to approximate lifecycle of coho.
"MSST is given by the largest of 1/2Bmsy, or the lowest biomass from which Bsmy will be reached in 10 years if fishing at MFMT"....but this is for a data rich scenario.....thus, this approximation for MSST might be too low, especially if these are from a LB SEG that isn't expected to include Smsy.</t>
      </text>
    </comment>
    <comment authorId="0" ref="AB7">
      <text>
        <t xml:space="preserve">======
ID#AAAAjcU0SuY
raclark    (2022-11-15 22:45:05)
Maximum Fishing Mortality Threshold:
Index of F (not actual F)
MFMT = the % of fishing mortality (F) at which the escapement goal would not be met.
MFMT increases (higher level of fishing mortality allowed) as overall biomass increases.</t>
      </text>
    </comment>
    <comment authorId="0" ref="AE7">
      <text>
        <t xml:space="preserve">======
ID#AAAAjcU0SuQ
Brenner, Richard E (DFG)    (2022-11-15 22:45:05)
Annual Catch Limit</t>
      </text>
    </comment>
    <comment authorId="0" ref="AF7">
      <text>
        <t xml:space="preserve">======
ID#AAAAjcU0SuA
Brenner, Richard E (DFG)    (2022-11-15 22:45:05)
Catch</t>
      </text>
    </comment>
    <comment authorId="0" ref="AJ6">
      <text>
        <t xml:space="preserve">======
ID#AAAAjcU0St8
raclark    (2022-11-15 22:45:05)
Accountability Measure is the state responsibility to meet escapement goals annually.
Yes = the state took action because escapement was below the goal of 21,500</t>
      </text>
    </comment>
    <comment authorId="0" ref="Q6">
      <text>
        <t xml:space="preserve">======
ID#AAAAjcU0Stw
tc={C51BFCFC-2199-4FC2-ACF2-04E19FD9E7EE}    (2022-11-15 22:45:05)
[Threaded comment]
Your version of Excel allows you to read this threaded comment; however, any edits to it will get removed if the file is opened in a newer version of Excel. Learn more: https://go.microsoft.com/fwlink/?linkid=870924
Comment:
    From EEZPercentBySpecies.xls sent by Marcus Hartley 3/26/2020.  Percent of Catch table in sheet 'EEZEachSpeciesAnnualS03H'</t>
      </text>
    </comment>
    <comment authorId="0" ref="R7">
      <text>
        <t xml:space="preserve">======
ID#AAAAjcU0Stk
(DFG)    (2022-11-15 22:45:05)
Assummed a certain proportion of commercial drift fishery catch.</t>
      </text>
    </comment>
  </commentList>
  <extLst>
    <ext uri="GoogleSheetsCustomDataVersion2">
      <go:sheetsCustomData xmlns:go="http://customooxmlschemas.google.com/" r:id="rId1" roundtripDataSignature="AMtx7mjJpEV+iMXL7SqLyH1nTNSukgAMV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7">
      <text>
        <t xml:space="preserve">======
ID#AAAAjcU0Svc
Brenner, Richard E (DFG)    (2022-11-15 22:45:05)
East Side Set Net</t>
      </text>
    </comment>
    <comment authorId="0" ref="B18">
      <text>
        <t xml:space="preserve">======
ID#AAAAjcU0SvY
tc={B45242B2-971D-434D-A662-B4797F1ADE3D}    (2022-11-15 22:45:05)
[Threaded comment]
Your version of Excel allows you to read this threaded comment; however, any edits to it will get removed if the file is opened in a newer version of Excel. Learn more: https://go.microsoft.com/fwlink/?linkid=870924
Comment:
    same situation as in chum example Marcus Hartley has 82,133 in first tab, but same number as this in his sheet 3</t>
      </text>
    </comment>
    <comment authorId="0" ref="I7">
      <text>
        <t xml:space="preserve">======
ID#AAAAjcU0SvI
Brenner, Richard E (DFG)    (2022-11-15 22:45:05)
Northern Kenai Peninsula
Munro, A.
Kenai Peninsula (PF) minus Anchor River plus Kenai Peninsula Salt - Used North of Bluff/Chinitna Pts only.  Early years (99-05) include some fish south of Anchor Point</t>
      </text>
    </comment>
    <comment authorId="0" ref="AF7">
      <text>
        <t xml:space="preserve">======
ID#AAAAjcU0Su4
Brenner, Richard E (DFG)    (2022-11-15 22:45:05)
If actual spawners is less than minimum sustainable stock threshold, then the stock has been overfished.
This is from the perspective of spawning.</t>
      </text>
    </comment>
    <comment authorId="0" ref="AH6">
      <text>
        <t xml:space="preserve">======
ID#AAAAjcU0Suw
raclark    (2022-11-15 22:45:05)
Accountability Measure is the state responsibility to meet escapement goals annually.
Yes = the state took action because escapement was below the goal of 21,500</t>
      </text>
    </comment>
    <comment authorId="0" ref="AD7">
      <text>
        <t xml:space="preserve">======
ID#AAAAjcU0Sus
Brenner, Richard E (DFG)    (2022-11-15 22:45:05)
Catch</t>
      </text>
    </comment>
    <comment authorId="0" ref="AC7">
      <text>
        <t xml:space="preserve">======
ID#AAAAjcU0Su0
Brenner, Richard E (DFG)    (2022-11-15 22:45:05)
Annual Catch Limit</t>
      </text>
    </comment>
    <comment authorId="0" ref="Z7">
      <text>
        <t xml:space="preserve">======
ID#AAAAjcU0Suo
raclark    (2022-11-15 22:45:05)
Maximum Fishing Mortality Threshold:
Index of F (not actual F)
MFMT = the % of fishing mortality (F) at which the escapement goal would not be met.
MFMT increases (higher level of fishing mortality allowed) as overall biomass increases.</t>
      </text>
    </comment>
    <comment authorId="0" ref="AA7">
      <text>
        <t xml:space="preserve">======
ID#AAAAjcU0Suc
raclark    (2022-11-15 22:45:05)
Minimum Stock Size Threshold.
Index of S, not S.
MSST =
(Spawning goal x 4)/2
Multiplied by 4 because this exercise uses a 4-year running mean due to approximate lifecycle of coho.
"MSST is given by the largest of 1/2Bmsy, or the lowest biomass from which Bsmy will be reached in 10 years if fishing at MFMT"....but this is for a data rich scenario.....thus, this approximation for MSST might be too low, especially if these are from a LB SEG that isn't expected to include Smsy.</t>
      </text>
    </comment>
    <comment authorId="0" ref="Y7">
      <text>
        <t xml:space="preserve">======
ID#AAAAjcU0SuU
raclark    (2022-11-15 22:45:05)
Fishing mortality
Index of F (not actual F!!)
EEZ Catch/(Run index)
Run index = Total Catch+ Total Esc Index</t>
      </text>
    </comment>
    <comment authorId="0" ref="F7">
      <text>
        <t xml:space="preserve">======
ID#AAAAjcU0SuM
Munro, Andrew R (DFG)    (2022-11-15 22:45:05)
total commercial fishery catches in</t>
      </text>
    </comment>
    <comment authorId="0" ref="P7">
      <text>
        <t xml:space="preserve">======
ID#AAAAjcU0SuE
(DFG)    (2022-11-15 22:45:05)
Assummed a certain proportion of commercial drift fishery catch.</t>
      </text>
    </comment>
    <comment authorId="0" ref="H7">
      <text>
        <t xml:space="preserve">======
ID#AAAAjcU0SuI
Brenner, Richard E (DFG)    (2022-11-15 22:45:05)
Northern Cook Inlet
Munro, A:
(K) Knik Arm + (L) Anchorage Fresh + (M) Susitna River drainage + (N) West Cook Inlet drainages.  From online SWHS (updated 3/2020)</t>
      </text>
    </comment>
    <comment authorId="0" ref="AB7">
      <text>
        <t xml:space="preserve">======
ID#AAAAjcU0St4
raclark    (2022-11-15 22:45:05)
Index of S, not S.
# of Spawners</t>
      </text>
    </comment>
    <comment authorId="0" ref="AE7">
      <text>
        <t xml:space="preserve">======
ID#AAAAjcU0St0
Brenner, Richard E (DFG)    (2022-11-15 22:45:05)
Overfishing = Fishing mortality &gt; maximum fishing mortality threshold.
This is from the perspective of harvest.</t>
      </text>
    </comment>
    <comment authorId="0" ref="O6">
      <text>
        <t xml:space="preserve">======
ID#AAAAjcU0Sts
tc={5CF1E027-11EA-47F3-BEE5-5726E237140B}    (2022-11-15 22:45:05)
[Threaded comment]
Your version of Excel allows you to read this threaded comment; however, any edits to it will get removed if the file is opened in a newer version of Excel. Learn more: https://go.microsoft.com/fwlink/?linkid=870924
Comment:
    From EEZPercentBySpecies.xls sent by Marcus Hartley 3/26/2020.  Percent of Catch table in sheet 'EEZEachSpeciesAnnualS03H'</t>
      </text>
    </comment>
    <comment authorId="0" ref="L7">
      <text>
        <t xml:space="preserve">======
ID#AAAAjcU0Sto
Brenner, Richard E (DFG)    (2022-11-15 22:45:05)
Personal Use data includes Kasilof River gillnet, Kasilof River dipnet, Kenai River dipnet, Unknown PU harvest, and Fish Creek dipnet.
A. Munro (4/7/2020)
Does not include Beluga River dipnet fishery
Appendix B17 FMR19-25</t>
      </text>
    </comment>
  </commentList>
  <extLst>
    <ext uri="GoogleSheetsCustomDataVersion2">
      <go:sheetsCustomData xmlns:go="http://customooxmlschemas.google.com/" r:id="rId1" roundtripDataSignature="AMtx7mhUXCYehH+ecqKq8i6KKccCw9g6Cw=="/>
    </ext>
  </extLst>
</comments>
</file>

<file path=xl/sharedStrings.xml><?xml version="1.0" encoding="utf-8"?>
<sst xmlns="http://schemas.openxmlformats.org/spreadsheetml/2006/main" count="161" uniqueCount="90">
  <si>
    <t>Table 3‑8   Tier 2 example using Upper Cook Inlet coho salmon total catch, estimated catch in the EEZ, indexed escapements, proxy run size, and sum of lower bounds of escapement goals from 1999-2021 and retrospective estimates of the Status Determination Criteria and Annual Catch Limits, 2002-2021</t>
  </si>
  <si>
    <t>Escapement</t>
  </si>
  <si>
    <t>EEZ</t>
  </si>
  <si>
    <t>Year</t>
  </si>
  <si>
    <r>
      <rPr>
        <rFont val="Arial"/>
        <b/>
        <color theme="1"/>
        <sz val="9.0"/>
      </rPr>
      <t>Total Catch (</t>
    </r>
    <r>
      <rPr>
        <rFont val="Arial"/>
        <b/>
        <i/>
        <color theme="1"/>
        <sz val="9.0"/>
      </rPr>
      <t>C</t>
    </r>
    <r>
      <rPr>
        <rFont val="Arial"/>
        <b/>
        <i/>
        <color theme="1"/>
        <sz val="9.0"/>
        <vertAlign val="subscript"/>
      </rPr>
      <t>Total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</si>
  <si>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EEZ Catch (C</t>
    </r>
    <r>
      <rPr>
        <rFont val="Arial"/>
        <b/>
        <color theme="1"/>
        <sz val="9.0"/>
        <vertAlign val="subscript"/>
      </rPr>
      <t>EEZ</t>
    </r>
    <r>
      <rPr>
        <rFont val="Arial"/>
        <b/>
        <color theme="1"/>
        <sz val="9.0"/>
      </rPr>
      <t>)</t>
    </r>
  </si>
  <si>
    <t>Deshka R.</t>
  </si>
  <si>
    <t>Little Susitna R.</t>
  </si>
  <si>
    <r>
      <rPr>
        <rFont val="Arial"/>
        <b/>
        <color theme="1"/>
        <sz val="9.0"/>
      </rPr>
      <t>Total      (</t>
    </r>
    <r>
      <rPr>
        <rFont val="Arial"/>
        <b/>
        <i/>
        <color theme="1"/>
        <sz val="9.0"/>
      </rPr>
      <t>S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</si>
  <si>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Run        (</t>
    </r>
    <r>
      <rPr>
        <rFont val="Arial"/>
        <b/>
        <i/>
        <color theme="1"/>
        <sz val="9.0"/>
      </rPr>
      <t>R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</si>
  <si>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LB Goal Index     (</t>
    </r>
    <r>
      <rPr>
        <rFont val="Arial"/>
        <b/>
        <i/>
        <color theme="1"/>
        <sz val="9.0"/>
      </rPr>
      <t>G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</si>
  <si>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Potential Yield (</t>
    </r>
    <r>
      <rPr>
        <rFont val="Arial"/>
        <b/>
        <i/>
        <color theme="1"/>
        <sz val="9.0"/>
      </rPr>
      <t>Y</t>
    </r>
    <r>
      <rPr>
        <rFont val="Arial"/>
        <b/>
        <i/>
        <color theme="1"/>
        <sz val="9.0"/>
        <vertAlign val="subscript"/>
      </rPr>
      <t>EEZ</t>
    </r>
    <r>
      <rPr>
        <rFont val="Arial"/>
        <b/>
        <color theme="1"/>
        <sz val="9.0"/>
      </rPr>
      <t>)</t>
    </r>
  </si>
  <si>
    <r>
      <rPr>
        <rFont val="Arial"/>
        <b/>
        <i/>
        <color theme="1"/>
        <sz val="9.0"/>
      </rPr>
      <t>F</t>
    </r>
    <r>
      <rPr>
        <rFont val="Arial"/>
        <b/>
        <i/>
        <color theme="1"/>
        <sz val="9.0"/>
        <vertAlign val="subscript"/>
      </rPr>
      <t>EEZ</t>
    </r>
  </si>
  <si>
    <t>MFMT</t>
  </si>
  <si>
    <t>MSST</t>
  </si>
  <si>
    <r>
      <rPr>
        <rFont val="Arial"/>
        <b/>
        <color theme="1"/>
        <sz val="9.0"/>
      </rPr>
      <t>Cumulative Escapement (∑</t>
    </r>
    <r>
      <rPr>
        <rFont val="Arial"/>
        <b/>
        <i/>
        <color theme="1"/>
        <sz val="9.0"/>
      </rPr>
      <t>S</t>
    </r>
    <r>
      <rPr>
        <rFont val="Arial"/>
        <b/>
        <i/>
        <color theme="1"/>
        <sz val="9.0"/>
        <vertAlign val="subscript"/>
      </rPr>
      <t>t</t>
    </r>
    <r>
      <rPr>
        <rFont val="Arial"/>
        <b/>
        <i/>
        <color theme="1"/>
        <sz val="9.0"/>
      </rPr>
      <t>)</t>
    </r>
  </si>
  <si>
    <r>
      <rPr>
        <rFont val="Arial"/>
        <b/>
        <color theme="1"/>
        <sz val="9.0"/>
      </rPr>
      <t>ACL (∑</t>
    </r>
    <r>
      <rPr>
        <rFont val="Arial"/>
        <b/>
        <i/>
        <color theme="1"/>
        <sz val="9.0"/>
      </rPr>
      <t>Y</t>
    </r>
    <r>
      <rPr>
        <rFont val="Arial"/>
        <b/>
        <i/>
        <color theme="1"/>
        <sz val="9.0"/>
        <vertAlign val="subscript"/>
      </rPr>
      <t>EEZ,t</t>
    </r>
    <r>
      <rPr>
        <rFont val="Arial"/>
        <b/>
        <color theme="1"/>
        <sz val="9.0"/>
      </rPr>
      <t>)</t>
    </r>
  </si>
  <si>
    <r>
      <rPr>
        <rFont val="Arial"/>
        <b/>
        <i val="0"/>
        <color theme="1"/>
        <sz val="9.0"/>
      </rPr>
      <t>Cumulative Catch (∑</t>
    </r>
    <r>
      <rPr>
        <rFont val="Arial"/>
        <b/>
        <i/>
        <color theme="1"/>
        <sz val="9.0"/>
      </rPr>
      <t>C</t>
    </r>
    <r>
      <rPr>
        <rFont val="Arial"/>
        <b/>
        <i/>
        <color theme="1"/>
        <sz val="9.0"/>
        <vertAlign val="subscript"/>
      </rPr>
      <t>EEZ</t>
    </r>
    <r>
      <rPr>
        <rFont val="Arial"/>
        <b/>
        <i/>
        <color theme="1"/>
        <sz val="9.0"/>
      </rPr>
      <t>)</t>
    </r>
  </si>
  <si>
    <t>Overfishing?</t>
  </si>
  <si>
    <t>Overfished?</t>
  </si>
  <si>
    <t>ACL Exceeded?</t>
  </si>
  <si>
    <t>NA</t>
  </si>
  <si>
    <t>Escapements in bold did not meet the lower bound of the escapement goal.</t>
  </si>
  <si>
    <t>NOTE: Average generation time (T) is assummed to be 4 years in this example.</t>
  </si>
  <si>
    <t xml:space="preserve">Source: Developed by ADF&amp;G fisheries scientists using harvest and escapement data from ADF&amp;G. </t>
  </si>
  <si>
    <t>UCI coho salmon data 1999-2021</t>
  </si>
  <si>
    <t>Deshka Escapement goal range: 10,200-24,100</t>
  </si>
  <si>
    <t>LB of SEG for index systems</t>
  </si>
  <si>
    <t>Generation time (yrs):</t>
  </si>
  <si>
    <t>Little Susitna escapement goal range: 10,100-17,700</t>
  </si>
  <si>
    <t>Deshka</t>
  </si>
  <si>
    <t>Little Su</t>
  </si>
  <si>
    <t>Fish</t>
  </si>
  <si>
    <t>Total</t>
  </si>
  <si>
    <t>Shaded = incomplete catch data.</t>
  </si>
  <si>
    <t>Assumed proportion catch in EEZ:</t>
  </si>
  <si>
    <t>Annual est.</t>
  </si>
  <si>
    <t>Proxies = *</t>
  </si>
  <si>
    <t>Commercial Catches</t>
  </si>
  <si>
    <t>Sport Fish Catches</t>
  </si>
  <si>
    <t>Personal Use</t>
  </si>
  <si>
    <t>P_EEZ</t>
  </si>
  <si>
    <t>Escapement Indexes</t>
  </si>
  <si>
    <t>SDCs</t>
  </si>
  <si>
    <t>EEZ ACL Exceeded?</t>
  </si>
  <si>
    <t>AM Triggered?</t>
  </si>
  <si>
    <t>Drift</t>
  </si>
  <si>
    <t>ESSN</t>
  </si>
  <si>
    <t>Kalgin-Westside Set Gillnet</t>
  </si>
  <si>
    <t>N. Disitrict Set gillnet</t>
  </si>
  <si>
    <t>SW_Res</t>
  </si>
  <si>
    <t>SW_Non</t>
  </si>
  <si>
    <t>FW_Res</t>
  </si>
  <si>
    <t>FW_Non</t>
  </si>
  <si>
    <t>Catch</t>
  </si>
  <si>
    <t>EEZ Catch</t>
  </si>
  <si>
    <t>Run*</t>
  </si>
  <si>
    <t>Yield*</t>
  </si>
  <si>
    <t>F*</t>
  </si>
  <si>
    <t>MFMT*</t>
  </si>
  <si>
    <t>MSST*</t>
  </si>
  <si>
    <t>S*</t>
  </si>
  <si>
    <t>ACL</t>
  </si>
  <si>
    <t>C</t>
  </si>
  <si>
    <t>Data sources:</t>
  </si>
  <si>
    <t>Commercial Catches: FMR19-25 Appendix table B3</t>
  </si>
  <si>
    <t>Sport harvest estimates from Statewide Harvest Survey query run by Michael Martz (ADF&amp;G) for Northern Economics, February 4, 2020.</t>
  </si>
  <si>
    <t>Personal Use Catches: From FMR19-25 Appendix table B17 (total UCI Personal Use Fisheries Total)</t>
  </si>
  <si>
    <t>Proportion of harvest in EEZ from EEZPercentBySpecies.xls sent by Marcus Hartley 3/26/2020.  Percent of Catch table in sheet 'EEZEachSpeciesAnnualS03H'.</t>
  </si>
  <si>
    <t>Escapement data: McKinley et al. (2020; FMS20-02)</t>
  </si>
  <si>
    <t>2022 update:</t>
  </si>
  <si>
    <t>Commercial harvest estimates from Appendix B3 FMR22-16; http://www.adfg.alaska.gov/FedAidPDFs/FMR22-16.pdf) and upadated from 2019 AMR (FMR19-25;http://www.adfg.alaska.gov/FedAidPDFs/FMR19-25.pdf).</t>
  </si>
  <si>
    <t>Sport harvest estimates from Statewide Harvest Survey query run by J. Bozzini (ADF&amp;G) for Northern Economics, November 7, 2022.</t>
  </si>
  <si>
    <t>Personal use from Appendix A17 in FMR21-26, FMR22-12, FMR22-16</t>
  </si>
  <si>
    <t>Note: 2020 and 2021 Deshka weir pulled early so any count is minimum (2020: 5368 8/13; 2021: 3,338 8/12) - 2018 and 2019 escapements for Little Su are incomplete weir counts as well</t>
  </si>
  <si>
    <t>Drift gillnet catch proportion in EEZ updated from data provided by M. Hartley in email 11/14/2022</t>
  </si>
  <si>
    <t>UCI coho salmon data 1999-2018</t>
  </si>
  <si>
    <t>NCI</t>
  </si>
  <si>
    <t>NKP</t>
  </si>
  <si>
    <t>Sport Fish Catches: From Statewide Harvest Survey online database (accessed 3/31/2020)</t>
  </si>
  <si>
    <t xml:space="preserve">From EEZPercentBySpecies.xls sent by Marcus Hartley 3/26/2020.  Percent of Catch table in sheet 'EEZEachSpeciesAnnualS03H', methods used to </t>
  </si>
  <si>
    <t>Preseason example</t>
  </si>
  <si>
    <t>Forecast Run</t>
  </si>
  <si>
    <t>LB EG</t>
  </si>
  <si>
    <t>Potential Yield</t>
  </si>
  <si>
    <t>Preseason MFMT</t>
  </si>
  <si>
    <t>Final MFMT</t>
  </si>
  <si>
    <t>Preseason ACL</t>
  </si>
  <si>
    <t>Final ACL</t>
  </si>
  <si>
    <t>Note: Formal forecast for coho salmon are not done in Upper Cook Inlet, although a 5-year average projection of commercial harvest is produced annually.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</si>
</sst>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#,###,###,##0"/>
    <numFmt numFmtId="166" formatCode="#,##0.000"/>
    <numFmt numFmtId="167" formatCode="0.0000"/>
  </numFmts>
  <fonts count="19">
    <font>
      <sz val="11.0"/>
      <color theme="1"/>
      <name val="Calibri"/>
      <scheme val="minor"/>
    </font>
    <font>
      <sz val="9.0"/>
      <color rgb="FF000000"/>
      <name val="Arial"/>
    </font>
    <font/>
    <font>
      <b/>
      <sz val="9.0"/>
      <color theme="1"/>
      <name val="Arial"/>
    </font>
    <font>
      <b/>
      <i/>
      <sz val="9.0"/>
      <color theme="1"/>
      <name val="Arial"/>
    </font>
    <font>
      <sz val="9.0"/>
      <color theme="1"/>
      <name val="Arial"/>
    </font>
    <font>
      <sz val="9.0"/>
      <color rgb="FF0000FF"/>
      <name val="Arial"/>
    </font>
    <font>
      <b/>
      <sz val="9.0"/>
      <color rgb="FF0000FF"/>
      <name val="Arial"/>
    </font>
    <font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u/>
      <sz val="11.0"/>
      <color theme="1"/>
      <name val="Calibri"/>
    </font>
    <font>
      <b/>
      <sz val="11.0"/>
      <color theme="1"/>
      <name val="Calibri"/>
    </font>
    <font>
      <b/>
      <sz val="11.0"/>
      <color rgb="FFBFBFBF"/>
      <name val="Calibri"/>
    </font>
    <font>
      <sz val="11.0"/>
      <color rgb="FFBFBFBF"/>
      <name val="Calibri"/>
    </font>
    <font>
      <b/>
      <i/>
      <sz val="11.0"/>
      <color theme="1"/>
      <name val="Calibri"/>
    </font>
    <font>
      <i/>
      <sz val="11.0"/>
      <color rgb="FF0000FF"/>
      <name val="Calibri"/>
    </font>
    <font>
      <sz val="11.0"/>
      <color rgb="FF000000"/>
      <name val="Calibri"/>
    </font>
    <font>
      <i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21">
    <border/>
    <border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</border>
    <border>
      <left style="thin">
        <color rgb="FFC1C1C1"/>
      </left>
      <right style="thin">
        <color rgb="FFC1C1C1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wrapText="1"/>
    </xf>
    <xf borderId="1" fillId="0" fontId="2" numFmtId="0" xfId="0" applyBorder="1" applyFont="1"/>
    <xf borderId="2" fillId="2" fontId="3" numFmtId="0" xfId="0" applyAlignment="1" applyBorder="1" applyFill="1" applyFon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vertical="center"/>
    </xf>
    <xf borderId="5" fillId="0" fontId="2" numFmtId="0" xfId="0" applyBorder="1" applyFont="1"/>
    <xf borderId="3" fillId="2" fontId="3" numFmtId="0" xfId="0" applyAlignment="1" applyBorder="1" applyFont="1">
      <alignment vertical="center"/>
    </xf>
    <xf borderId="4" fillId="2" fontId="3" numFmtId="0" xfId="0" applyAlignment="1" applyBorder="1" applyFont="1">
      <alignment horizontal="center" shrinkToFit="0" vertical="center" wrapText="1"/>
    </xf>
    <xf borderId="6" fillId="2" fontId="3" numFmtId="0" xfId="0" applyAlignment="1" applyBorder="1" applyFont="1">
      <alignment horizontal="center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8" fillId="2" fontId="3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10" fillId="2" fontId="3" numFmtId="0" xfId="0" applyAlignment="1" applyBorder="1" applyFont="1">
      <alignment horizontal="center" shrinkToFit="0" vertical="center" wrapText="1"/>
    </xf>
    <xf borderId="0" fillId="0" fontId="5" numFmtId="0" xfId="0" applyFont="1"/>
    <xf borderId="0" fillId="0" fontId="6" numFmtId="3" xfId="0" applyFont="1" applyNumberFormat="1"/>
    <xf borderId="0" fillId="0" fontId="7" numFmtId="3" xfId="0" applyFont="1" applyNumberFormat="1"/>
    <xf borderId="0" fillId="0" fontId="5" numFmtId="3" xfId="0" applyFont="1" applyNumberFormat="1"/>
    <xf borderId="0" fillId="0" fontId="6" numFmtId="0" xfId="0" applyFont="1"/>
    <xf borderId="0" fillId="0" fontId="6" numFmtId="164" xfId="0" applyFont="1" applyNumberFormat="1"/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8" numFmtId="3" xfId="0" applyFont="1" applyNumberFormat="1"/>
    <xf borderId="0" fillId="0" fontId="6" numFmtId="3" xfId="0" applyAlignment="1" applyFont="1" applyNumberFormat="1">
      <alignment horizontal="right"/>
    </xf>
    <xf borderId="0" fillId="0" fontId="9" numFmtId="0" xfId="0" applyAlignment="1" applyFont="1">
      <alignment readingOrder="0"/>
    </xf>
    <xf borderId="1" fillId="0" fontId="9" numFmtId="0" xfId="0" applyAlignment="1" applyBorder="1" applyFont="1">
      <alignment readingOrder="0"/>
    </xf>
    <xf borderId="1" fillId="0" fontId="9" numFmtId="0" xfId="0" applyBorder="1" applyFont="1"/>
    <xf borderId="0" fillId="0" fontId="10" numFmtId="0" xfId="0" applyFont="1"/>
    <xf borderId="0" fillId="0" fontId="11" numFmtId="0" xfId="0" applyFont="1"/>
    <xf borderId="0" fillId="0" fontId="8" numFmtId="0" xfId="0" applyFont="1"/>
    <xf borderId="0" fillId="0" fontId="12" numFmtId="0" xfId="0" applyFont="1"/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right"/>
    </xf>
    <xf borderId="11" fillId="3" fontId="8" numFmtId="0" xfId="0" applyBorder="1" applyFill="1" applyFont="1"/>
    <xf borderId="12" fillId="0" fontId="12" numFmtId="0" xfId="0" applyAlignment="1" applyBorder="1" applyFont="1">
      <alignment horizontal="right"/>
    </xf>
    <xf borderId="12" fillId="0" fontId="13" numFmtId="0" xfId="0" applyAlignment="1" applyBorder="1" applyFont="1">
      <alignment horizontal="right"/>
    </xf>
    <xf borderId="13" fillId="3" fontId="8" numFmtId="0" xfId="0" applyBorder="1" applyFont="1"/>
    <xf borderId="0" fillId="0" fontId="14" numFmtId="3" xfId="0" applyFont="1" applyNumberFormat="1"/>
    <xf borderId="14" fillId="0" fontId="8" numFmtId="3" xfId="0" applyBorder="1" applyFont="1" applyNumberFormat="1"/>
    <xf borderId="14" fillId="0" fontId="12" numFmtId="0" xfId="0" applyBorder="1" applyFont="1"/>
    <xf borderId="15" fillId="0" fontId="12" numFmtId="0" xfId="0" applyBorder="1" applyFont="1"/>
    <xf borderId="15" fillId="0" fontId="12" numFmtId="0" xfId="0" applyAlignment="1" applyBorder="1" applyFont="1">
      <alignment horizontal="center"/>
    </xf>
    <xf borderId="15" fillId="0" fontId="2" numFmtId="0" xfId="0" applyBorder="1" applyFont="1"/>
    <xf borderId="14" fillId="0" fontId="12" numFmtId="0" xfId="0" applyAlignment="1" applyBorder="1" applyFont="1">
      <alignment horizontal="center"/>
    </xf>
    <xf borderId="14" fillId="0" fontId="15" numFmtId="0" xfId="0" applyAlignment="1" applyBorder="1" applyFont="1">
      <alignment horizontal="center"/>
    </xf>
    <xf borderId="16" fillId="0" fontId="12" numFmtId="3" xfId="0" applyAlignment="1" applyBorder="1" applyFont="1" applyNumberFormat="1">
      <alignment horizontal="center"/>
    </xf>
    <xf borderId="16" fillId="0" fontId="2" numFmtId="0" xfId="0" applyBorder="1" applyFont="1"/>
    <xf borderId="14" fillId="0" fontId="12" numFmtId="0" xfId="0" applyAlignment="1" applyBorder="1" applyFont="1">
      <alignment horizontal="center" shrinkToFit="0" wrapText="1"/>
    </xf>
    <xf borderId="12" fillId="0" fontId="12" numFmtId="0" xfId="0" applyAlignment="1" applyBorder="1" applyFont="1">
      <alignment horizontal="left"/>
    </xf>
    <xf borderId="12" fillId="0" fontId="15" numFmtId="0" xfId="0" applyAlignment="1" applyBorder="1" applyFont="1">
      <alignment horizontal="right"/>
    </xf>
    <xf borderId="12" fillId="0" fontId="15" numFmtId="0" xfId="0" applyAlignment="1" applyBorder="1" applyFont="1">
      <alignment horizontal="center"/>
    </xf>
    <xf borderId="12" fillId="0" fontId="12" numFmtId="0" xfId="0" applyAlignment="1" applyBorder="1" applyFont="1">
      <alignment horizontal="center"/>
    </xf>
    <xf borderId="12" fillId="0" fontId="12" numFmtId="0" xfId="0" applyAlignment="1" applyBorder="1" applyFont="1">
      <alignment horizontal="center" shrinkToFit="0" wrapText="1"/>
    </xf>
    <xf borderId="0" fillId="0" fontId="16" numFmtId="3" xfId="0" applyFont="1" applyNumberFormat="1"/>
    <xf borderId="0" fillId="0" fontId="16" numFmtId="165" xfId="0" applyFont="1" applyNumberFormat="1"/>
    <xf borderId="0" fillId="0" fontId="17" numFmtId="3" xfId="0" applyAlignment="1" applyFont="1" applyNumberFormat="1">
      <alignment horizontal="right"/>
    </xf>
    <xf borderId="0" fillId="0" fontId="8" numFmtId="166" xfId="0" applyFont="1" applyNumberFormat="1"/>
    <xf borderId="0" fillId="0" fontId="12" numFmtId="3" xfId="0" applyFont="1" applyNumberFormat="1"/>
    <xf borderId="0" fillId="0" fontId="18" numFmtId="3" xfId="0" applyFont="1" applyNumberFormat="1"/>
    <xf borderId="0" fillId="0" fontId="8" numFmtId="164" xfId="0" applyFont="1" applyNumberFormat="1"/>
    <xf borderId="0" fillId="0" fontId="8" numFmtId="0" xfId="0" applyAlignment="1" applyFont="1">
      <alignment horizontal="center"/>
    </xf>
    <xf borderId="0" fillId="0" fontId="17" numFmtId="3" xfId="0" applyFont="1" applyNumberFormat="1"/>
    <xf borderId="0" fillId="0" fontId="8" numFmtId="167" xfId="0" applyFont="1" applyNumberFormat="1"/>
    <xf borderId="17" fillId="4" fontId="17" numFmtId="3" xfId="0" applyAlignment="1" applyBorder="1" applyFill="1" applyFont="1" applyNumberFormat="1">
      <alignment horizontal="right" shrinkToFit="0" vertical="bottom" wrapText="0"/>
    </xf>
    <xf borderId="18" fillId="4" fontId="17" numFmtId="3" xfId="0" applyAlignment="1" applyBorder="1" applyFont="1" applyNumberFormat="1">
      <alignment horizontal="right" shrinkToFit="0" vertical="bottom" wrapText="0"/>
    </xf>
    <xf borderId="0" fillId="0" fontId="8" numFmtId="3" xfId="0" applyAlignment="1" applyFont="1" applyNumberFormat="1">
      <alignment horizontal="right"/>
    </xf>
    <xf borderId="0" fillId="4" fontId="17" numFmtId="3" xfId="0" applyAlignment="1" applyFont="1" applyNumberFormat="1">
      <alignment horizontal="right" shrinkToFit="0" vertical="bottom" wrapText="0"/>
    </xf>
    <xf borderId="0" fillId="0" fontId="8" numFmtId="0" xfId="0" applyAlignment="1" applyFont="1">
      <alignment readingOrder="0"/>
    </xf>
    <xf borderId="0" fillId="0" fontId="8" numFmtId="3" xfId="0" applyAlignment="1" applyFont="1" applyNumberFormat="1">
      <alignment readingOrder="0"/>
    </xf>
    <xf borderId="0" fillId="0" fontId="18" numFmtId="165" xfId="0" applyFont="1" applyNumberFormat="1"/>
    <xf borderId="0" fillId="0" fontId="8" numFmtId="3" xfId="0" applyAlignment="1" applyFont="1" applyNumberFormat="1">
      <alignment horizontal="right" readingOrder="0"/>
    </xf>
    <xf borderId="12" fillId="0" fontId="8" numFmtId="0" xfId="0" applyAlignment="1" applyBorder="1" applyFont="1">
      <alignment readingOrder="0"/>
    </xf>
    <xf borderId="12" fillId="0" fontId="8" numFmtId="3" xfId="0" applyBorder="1" applyFont="1" applyNumberFormat="1"/>
    <xf borderId="12" fillId="0" fontId="18" numFmtId="3" xfId="0" applyBorder="1" applyFont="1" applyNumberFormat="1"/>
    <xf borderId="12" fillId="0" fontId="8" numFmtId="0" xfId="0" applyBorder="1" applyFont="1"/>
    <xf borderId="12" fillId="4" fontId="17" numFmtId="3" xfId="0" applyAlignment="1" applyBorder="1" applyFont="1" applyNumberFormat="1">
      <alignment horizontal="right" shrinkToFit="0" vertical="bottom" wrapText="0"/>
    </xf>
    <xf borderId="12" fillId="0" fontId="18" numFmtId="165" xfId="0" applyBorder="1" applyFont="1" applyNumberFormat="1"/>
    <xf borderId="12" fillId="0" fontId="17" numFmtId="3" xfId="0" applyAlignment="1" applyBorder="1" applyFont="1" applyNumberFormat="1">
      <alignment horizontal="right"/>
    </xf>
    <xf borderId="12" fillId="0" fontId="8" numFmtId="166" xfId="0" applyBorder="1" applyFont="1" applyNumberFormat="1"/>
    <xf borderId="12" fillId="0" fontId="8" numFmtId="3" xfId="0" applyAlignment="1" applyBorder="1" applyFont="1" applyNumberFormat="1">
      <alignment horizontal="right"/>
    </xf>
    <xf borderId="12" fillId="0" fontId="14" numFmtId="3" xfId="0" applyBorder="1" applyFont="1" applyNumberFormat="1"/>
    <xf borderId="12" fillId="0" fontId="8" numFmtId="164" xfId="0" applyBorder="1" applyFont="1" applyNumberFormat="1"/>
    <xf borderId="12" fillId="0" fontId="8" numFmtId="0" xfId="0" applyAlignment="1" applyBorder="1" applyFont="1">
      <alignment horizontal="center"/>
    </xf>
    <xf borderId="19" fillId="0" fontId="8" numFmtId="0" xfId="0" applyBorder="1" applyFont="1"/>
    <xf borderId="12" fillId="0" fontId="12" numFmtId="3" xfId="0" applyBorder="1" applyFont="1" applyNumberFormat="1"/>
    <xf borderId="20" fillId="0" fontId="8" numFmtId="0" xfId="0" applyAlignment="1" applyBorder="1" applyFont="1">
      <alignment horizontal="center"/>
    </xf>
    <xf borderId="14" fillId="0" fontId="8" numFmtId="0" xfId="0" applyBorder="1" applyFont="1"/>
    <xf borderId="1" fillId="0" fontId="8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1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7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19"/>
            <c:marker>
              <c:symbol val="none"/>
            </c:marker>
          </c:dPt>
          <c:xVal>
            <c:numRef>
              <c:f>'UCI Coho Data'!$W$8:$W$27</c:f>
            </c:numRef>
          </c:xVal>
          <c:yVal>
            <c:numRef>
              <c:f>'UCI Coho Data'!$R$8:$R$27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748685"/>
        <c:axId val="29746884"/>
      </c:scatterChart>
      <c:valAx>
        <c:axId val="19997486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746884"/>
      </c:valAx>
      <c:valAx>
        <c:axId val="29746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9974868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1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7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19"/>
            <c:marker>
              <c:symbol val="none"/>
            </c:marker>
          </c:dPt>
          <c:xVal>
            <c:numRef>
              <c:f>'UCI Coho DataOld'!$U$8:$U$27</c:f>
            </c:numRef>
          </c:xVal>
          <c:yVal>
            <c:numRef>
              <c:f>'UCI Coho DataOld'!$P$8:$P$27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93277"/>
        <c:axId val="643747419"/>
      </c:scatterChart>
      <c:valAx>
        <c:axId val="5927932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3747419"/>
      </c:valAx>
      <c:valAx>
        <c:axId val="643747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9279327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428625</xdr:colOff>
      <xdr:row>34</xdr:row>
      <xdr:rowOff>152400</xdr:rowOff>
    </xdr:from>
    <xdr:ext cx="4391025" cy="2905125"/>
    <xdr:graphicFrame>
      <xdr:nvGraphicFramePr>
        <xdr:cNvPr id="15830967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428625</xdr:colOff>
      <xdr:row>29</xdr:row>
      <xdr:rowOff>152400</xdr:rowOff>
    </xdr:from>
    <xdr:ext cx="4391025" cy="2905125"/>
    <xdr:graphicFrame>
      <xdr:nvGraphicFramePr>
        <xdr:cNvPr id="132821988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29"/>
    <col customWidth="1" min="3" max="12" width="8.71"/>
    <col customWidth="1" min="13" max="13" width="10.86"/>
    <col customWidth="1" min="14" max="14" width="8.71"/>
    <col customWidth="1" min="15" max="15" width="10.29"/>
    <col customWidth="1" min="16" max="16" width="11.57"/>
    <col customWidth="1" min="17" max="17" width="11.29"/>
    <col customWidth="1" min="18" max="18" width="11.14"/>
    <col customWidth="1" min="19" max="26" width="8.71"/>
  </cols>
  <sheetData>
    <row r="2" ht="30.75" customHeight="1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3"/>
      <c r="B3" s="4"/>
      <c r="C3" s="4"/>
      <c r="D3" s="5" t="s">
        <v>1</v>
      </c>
      <c r="E3" s="6"/>
      <c r="F3" s="6"/>
      <c r="G3" s="7"/>
      <c r="H3" s="4"/>
      <c r="I3" s="8" t="s">
        <v>2</v>
      </c>
      <c r="J3" s="6"/>
      <c r="K3" s="6"/>
      <c r="L3" s="4"/>
      <c r="M3" s="4"/>
      <c r="N3" s="8" t="s">
        <v>2</v>
      </c>
      <c r="O3" s="6"/>
      <c r="P3" s="4"/>
      <c r="Q3" s="4"/>
      <c r="R3" s="9"/>
    </row>
    <row r="4">
      <c r="A4" s="10" t="s">
        <v>3</v>
      </c>
      <c r="B4" s="11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1" t="s">
        <v>9</v>
      </c>
      <c r="H4" s="11" t="s">
        <v>10</v>
      </c>
      <c r="I4" s="11" t="s">
        <v>11</v>
      </c>
      <c r="J4" s="12" t="s">
        <v>12</v>
      </c>
      <c r="K4" s="13" t="s">
        <v>13</v>
      </c>
      <c r="L4" s="11" t="s">
        <v>14</v>
      </c>
      <c r="M4" s="11" t="s">
        <v>15</v>
      </c>
      <c r="N4" s="11" t="s">
        <v>16</v>
      </c>
      <c r="O4" s="12" t="s">
        <v>17</v>
      </c>
      <c r="P4" s="11" t="s">
        <v>18</v>
      </c>
      <c r="Q4" s="11" t="s">
        <v>19</v>
      </c>
      <c r="R4" s="14" t="s">
        <v>20</v>
      </c>
    </row>
    <row r="5">
      <c r="A5" s="15">
        <v>1999.0</v>
      </c>
      <c r="B5" s="16">
        <f>'UCI Coho Data'!P8</f>
        <v>257704</v>
      </c>
      <c r="C5" s="16">
        <f>'UCI Coho Data'!R8</f>
        <v>29177</v>
      </c>
      <c r="D5" s="17">
        <f>'UCI Coho Data'!T8</f>
        <v>4566</v>
      </c>
      <c r="E5" s="17">
        <f>'UCI Coho Data'!U8</f>
        <v>3017</v>
      </c>
      <c r="F5" s="16">
        <f>'UCI Coho Data'!W8</f>
        <v>7583</v>
      </c>
      <c r="G5" s="16">
        <f t="shared" ref="G5:G27" si="1">B5+F5</f>
        <v>265287</v>
      </c>
      <c r="H5" s="18">
        <f>'UCI Coho Data'!esc_index</f>
        <v>20300</v>
      </c>
      <c r="I5" s="16">
        <f t="shared" ref="I5:I27" si="2">MAX(G5-H5-(B5-C5),0)</f>
        <v>16460</v>
      </c>
      <c r="J5" s="19"/>
      <c r="K5" s="19"/>
      <c r="L5" s="19"/>
      <c r="M5" s="19"/>
      <c r="N5" s="19"/>
      <c r="O5" s="19"/>
      <c r="P5" s="19"/>
      <c r="Q5" s="19"/>
      <c r="R5" s="19"/>
    </row>
    <row r="6">
      <c r="A6" s="15">
        <v>2000.0</v>
      </c>
      <c r="B6" s="16">
        <f>'UCI Coho Data'!P9</f>
        <v>443988</v>
      </c>
      <c r="C6" s="16">
        <f>'UCI Coho Data'!R9</f>
        <v>68810</v>
      </c>
      <c r="D6" s="16">
        <f>'UCI Coho Data'!T9</f>
        <v>26387</v>
      </c>
      <c r="E6" s="16">
        <f>'UCI Coho Data'!U9</f>
        <v>15436</v>
      </c>
      <c r="F6" s="16">
        <f>'UCI Coho Data'!W9</f>
        <v>41823</v>
      </c>
      <c r="G6" s="16">
        <f t="shared" si="1"/>
        <v>485811</v>
      </c>
      <c r="H6" s="18">
        <f>'UCI Coho Data'!esc_index</f>
        <v>20300</v>
      </c>
      <c r="I6" s="16">
        <f t="shared" si="2"/>
        <v>90333</v>
      </c>
      <c r="J6" s="19"/>
      <c r="K6" s="19"/>
      <c r="L6" s="19"/>
      <c r="M6" s="19"/>
      <c r="N6" s="19"/>
      <c r="O6" s="19"/>
      <c r="P6" s="19"/>
      <c r="Q6" s="19"/>
      <c r="R6" s="19"/>
    </row>
    <row r="7">
      <c r="A7" s="15">
        <v>2001.0</v>
      </c>
      <c r="B7" s="16">
        <f>'UCI Coho Data'!P10</f>
        <v>320985</v>
      </c>
      <c r="C7" s="16">
        <f>'UCI Coho Data'!R10</f>
        <v>19384</v>
      </c>
      <c r="D7" s="16">
        <f>'UCI Coho Data'!T10</f>
        <v>29927</v>
      </c>
      <c r="E7" s="16">
        <f>'UCI Coho Data'!U10</f>
        <v>30587</v>
      </c>
      <c r="F7" s="16">
        <f>'UCI Coho Data'!W10</f>
        <v>60514</v>
      </c>
      <c r="G7" s="16">
        <f t="shared" si="1"/>
        <v>381499</v>
      </c>
      <c r="H7" s="18">
        <f>'UCI Coho Data'!esc_index</f>
        <v>20300</v>
      </c>
      <c r="I7" s="16">
        <f t="shared" si="2"/>
        <v>59598</v>
      </c>
      <c r="J7" s="19"/>
      <c r="K7" s="19"/>
      <c r="L7" s="19"/>
      <c r="M7" s="19"/>
      <c r="N7" s="19"/>
      <c r="O7" s="19"/>
      <c r="P7" s="19"/>
      <c r="Q7" s="19"/>
      <c r="R7" s="19"/>
    </row>
    <row r="8">
      <c r="A8" s="15">
        <v>2002.0</v>
      </c>
      <c r="B8" s="16">
        <f>'UCI Coho Data'!P11</f>
        <v>465327</v>
      </c>
      <c r="C8" s="16">
        <f>'UCI Coho Data'!R11</f>
        <v>66185</v>
      </c>
      <c r="D8" s="16">
        <f>'UCI Coho Data'!T11</f>
        <v>24612</v>
      </c>
      <c r="E8" s="16">
        <f>'UCI Coho Data'!U11</f>
        <v>47938</v>
      </c>
      <c r="F8" s="16">
        <f>'UCI Coho Data'!W11</f>
        <v>72550</v>
      </c>
      <c r="G8" s="16">
        <f t="shared" si="1"/>
        <v>537877</v>
      </c>
      <c r="H8" s="18">
        <f>'UCI Coho Data'!esc_index</f>
        <v>20300</v>
      </c>
      <c r="I8" s="16">
        <f t="shared" si="2"/>
        <v>118435</v>
      </c>
      <c r="J8" s="20">
        <f t="shared" ref="J8:J27" si="3">SUM(C5:C8)/SUM(G5:G8)</f>
        <v>0.1098825842</v>
      </c>
      <c r="K8" s="20">
        <f t="shared" ref="K8:K27" si="4">SUM(I5:I8)/SUM(G5:G8)</f>
        <v>0.1705060959</v>
      </c>
      <c r="L8" s="16">
        <f t="shared" ref="L8:L27" si="5">SUM(H5:H8)/2</f>
        <v>40600</v>
      </c>
      <c r="M8" s="16">
        <f t="shared" ref="M8:M27" si="6">SUM(F5:F8)</f>
        <v>182470</v>
      </c>
      <c r="N8" s="16">
        <f t="shared" ref="N8:N27" si="7">SUM(I5:I8)</f>
        <v>284826</v>
      </c>
      <c r="O8" s="16">
        <f t="shared" ref="O8:O27" si="8">SUM(C5:C8)</f>
        <v>183556</v>
      </c>
      <c r="P8" s="21" t="str">
        <f t="shared" ref="P8:P27" si="9">IF(J8&gt;K8,"Yes","No")</f>
        <v>No</v>
      </c>
      <c r="Q8" s="21" t="str">
        <f t="shared" ref="Q8:Q27" si="10">IF(M8&lt;L8,"Yes","No")</f>
        <v>No</v>
      </c>
      <c r="R8" s="21" t="str">
        <f t="shared" ref="R8:R27" si="11">IF(O8&lt;=N8,"No","Yes")</f>
        <v>No</v>
      </c>
    </row>
    <row r="9">
      <c r="A9" s="15">
        <v>2003.0</v>
      </c>
      <c r="B9" s="16">
        <f>'UCI Coho Data'!P12</f>
        <v>261952</v>
      </c>
      <c r="C9" s="16">
        <f>'UCI Coho Data'!R12</f>
        <v>26096</v>
      </c>
      <c r="D9" s="16">
        <f>'UCI Coho Data'!T12</f>
        <v>17305</v>
      </c>
      <c r="E9" s="16">
        <f>'UCI Coho Data'!U12</f>
        <v>10877</v>
      </c>
      <c r="F9" s="16">
        <f>'UCI Coho Data'!W12</f>
        <v>28182</v>
      </c>
      <c r="G9" s="16">
        <f t="shared" si="1"/>
        <v>290134</v>
      </c>
      <c r="H9" s="18">
        <f>'UCI Coho Data'!esc_index</f>
        <v>20300</v>
      </c>
      <c r="I9" s="16">
        <f t="shared" si="2"/>
        <v>33978</v>
      </c>
      <c r="J9" s="20">
        <f t="shared" si="3"/>
        <v>0.1064547658</v>
      </c>
      <c r="K9" s="20">
        <f t="shared" si="4"/>
        <v>0.1783402671</v>
      </c>
      <c r="L9" s="16">
        <f t="shared" si="5"/>
        <v>40600</v>
      </c>
      <c r="M9" s="16">
        <f t="shared" si="6"/>
        <v>203069</v>
      </c>
      <c r="N9" s="16">
        <f t="shared" si="7"/>
        <v>302344</v>
      </c>
      <c r="O9" s="16">
        <f t="shared" si="8"/>
        <v>180475</v>
      </c>
      <c r="P9" s="21" t="str">
        <f t="shared" si="9"/>
        <v>No</v>
      </c>
      <c r="Q9" s="21" t="str">
        <f t="shared" si="10"/>
        <v>No</v>
      </c>
      <c r="R9" s="21" t="str">
        <f t="shared" si="11"/>
        <v>No</v>
      </c>
    </row>
    <row r="10">
      <c r="A10" s="15">
        <v>2004.0</v>
      </c>
      <c r="B10" s="16">
        <f>'UCI Coho Data'!P13</f>
        <v>509533</v>
      </c>
      <c r="C10" s="16">
        <f>'UCI Coho Data'!R13</f>
        <v>92888</v>
      </c>
      <c r="D10" s="16">
        <f>'UCI Coho Data'!T13</f>
        <v>62940</v>
      </c>
      <c r="E10" s="16">
        <f>'UCI Coho Data'!U13</f>
        <v>40199</v>
      </c>
      <c r="F10" s="16">
        <f>'UCI Coho Data'!W13</f>
        <v>103139</v>
      </c>
      <c r="G10" s="16">
        <f t="shared" si="1"/>
        <v>612672</v>
      </c>
      <c r="H10" s="18">
        <f>'UCI Coho Data'!esc_index</f>
        <v>20300</v>
      </c>
      <c r="I10" s="16">
        <f t="shared" si="2"/>
        <v>175727</v>
      </c>
      <c r="J10" s="20">
        <f t="shared" si="3"/>
        <v>0.112257173</v>
      </c>
      <c r="K10" s="20">
        <f t="shared" si="4"/>
        <v>0.2127877457</v>
      </c>
      <c r="L10" s="16">
        <f t="shared" si="5"/>
        <v>40600</v>
      </c>
      <c r="M10" s="16">
        <f t="shared" si="6"/>
        <v>264385</v>
      </c>
      <c r="N10" s="16">
        <f t="shared" si="7"/>
        <v>387738</v>
      </c>
      <c r="O10" s="16">
        <f t="shared" si="8"/>
        <v>204553</v>
      </c>
      <c r="P10" s="21" t="str">
        <f t="shared" si="9"/>
        <v>No</v>
      </c>
      <c r="Q10" s="21" t="str">
        <f t="shared" si="10"/>
        <v>No</v>
      </c>
      <c r="R10" s="21" t="str">
        <f t="shared" si="11"/>
        <v>No</v>
      </c>
    </row>
    <row r="11">
      <c r="A11" s="15">
        <v>2005.0</v>
      </c>
      <c r="B11" s="16">
        <f>'UCI Coho Data'!P14</f>
        <v>391817</v>
      </c>
      <c r="C11" s="16">
        <f>'UCI Coho Data'!R14</f>
        <v>64728</v>
      </c>
      <c r="D11" s="16">
        <f>'UCI Coho Data'!T14</f>
        <v>47887</v>
      </c>
      <c r="E11" s="16">
        <f>'UCI Coho Data'!U14</f>
        <v>16839</v>
      </c>
      <c r="F11" s="16">
        <f>'UCI Coho Data'!W14</f>
        <v>64726</v>
      </c>
      <c r="G11" s="16">
        <f t="shared" si="1"/>
        <v>456543</v>
      </c>
      <c r="H11" s="18">
        <f>'UCI Coho Data'!esc_index</f>
        <v>20300</v>
      </c>
      <c r="I11" s="16">
        <f t="shared" si="2"/>
        <v>109154</v>
      </c>
      <c r="J11" s="20">
        <f t="shared" si="3"/>
        <v>0.1317170437</v>
      </c>
      <c r="K11" s="20">
        <f t="shared" si="4"/>
        <v>0.2304912541</v>
      </c>
      <c r="L11" s="16">
        <f t="shared" si="5"/>
        <v>40600</v>
      </c>
      <c r="M11" s="16">
        <f t="shared" si="6"/>
        <v>268597</v>
      </c>
      <c r="N11" s="16">
        <f t="shared" si="7"/>
        <v>437294</v>
      </c>
      <c r="O11" s="16">
        <f t="shared" si="8"/>
        <v>249897</v>
      </c>
      <c r="P11" s="21" t="str">
        <f t="shared" si="9"/>
        <v>No</v>
      </c>
      <c r="Q11" s="21" t="str">
        <f t="shared" si="10"/>
        <v>No</v>
      </c>
      <c r="R11" s="21" t="str">
        <f t="shared" si="11"/>
        <v>No</v>
      </c>
    </row>
    <row r="12">
      <c r="A12" s="15">
        <v>2006.0</v>
      </c>
      <c r="B12" s="16">
        <f>'UCI Coho Data'!P15</f>
        <v>359893</v>
      </c>
      <c r="C12" s="16">
        <f>'UCI Coho Data'!R15</f>
        <v>44646</v>
      </c>
      <c r="D12" s="16">
        <f>'UCI Coho Data'!T15</f>
        <v>59419</v>
      </c>
      <c r="E12" s="17">
        <f>'UCI Coho Data'!U15</f>
        <v>8786</v>
      </c>
      <c r="F12" s="16">
        <f>'UCI Coho Data'!W15</f>
        <v>68205</v>
      </c>
      <c r="G12" s="16">
        <f t="shared" si="1"/>
        <v>428098</v>
      </c>
      <c r="H12" s="18">
        <f>'UCI Coho Data'!esc_index</f>
        <v>20300</v>
      </c>
      <c r="I12" s="16">
        <f t="shared" si="2"/>
        <v>92551</v>
      </c>
      <c r="J12" s="20">
        <f t="shared" si="3"/>
        <v>0.1277565153</v>
      </c>
      <c r="K12" s="20">
        <f t="shared" si="4"/>
        <v>0.2301662651</v>
      </c>
      <c r="L12" s="16">
        <f t="shared" si="5"/>
        <v>40600</v>
      </c>
      <c r="M12" s="16">
        <f t="shared" si="6"/>
        <v>264252</v>
      </c>
      <c r="N12" s="16">
        <f t="shared" si="7"/>
        <v>411410</v>
      </c>
      <c r="O12" s="16">
        <f t="shared" si="8"/>
        <v>228358</v>
      </c>
      <c r="P12" s="21" t="str">
        <f t="shared" si="9"/>
        <v>No</v>
      </c>
      <c r="Q12" s="21" t="str">
        <f t="shared" si="10"/>
        <v>No</v>
      </c>
      <c r="R12" s="21" t="str">
        <f t="shared" si="11"/>
        <v>No</v>
      </c>
    </row>
    <row r="13">
      <c r="A13" s="15">
        <v>2007.0</v>
      </c>
      <c r="B13" s="16">
        <f>'UCI Coho Data'!P16</f>
        <v>316900</v>
      </c>
      <c r="C13" s="16">
        <f>'UCI Coho Data'!R16</f>
        <v>65791</v>
      </c>
      <c r="D13" s="16">
        <f>'UCI Coho Data'!T16</f>
        <v>10575</v>
      </c>
      <c r="E13" s="16">
        <f>'UCI Coho Data'!U16</f>
        <v>17573</v>
      </c>
      <c r="F13" s="16">
        <f>'UCI Coho Data'!W16</f>
        <v>28148</v>
      </c>
      <c r="G13" s="16">
        <f t="shared" si="1"/>
        <v>345048</v>
      </c>
      <c r="H13" s="18">
        <f>'UCI Coho Data'!esc_index</f>
        <v>20300</v>
      </c>
      <c r="I13" s="16">
        <f t="shared" si="2"/>
        <v>73639</v>
      </c>
      <c r="J13" s="20">
        <f t="shared" si="3"/>
        <v>0.145494287</v>
      </c>
      <c r="K13" s="20">
        <f t="shared" si="4"/>
        <v>0.2448331245</v>
      </c>
      <c r="L13" s="16">
        <f t="shared" si="5"/>
        <v>40600</v>
      </c>
      <c r="M13" s="16">
        <f t="shared" si="6"/>
        <v>264218</v>
      </c>
      <c r="N13" s="16">
        <f t="shared" si="7"/>
        <v>451071</v>
      </c>
      <c r="O13" s="16">
        <f t="shared" si="8"/>
        <v>268053</v>
      </c>
      <c r="P13" s="21" t="str">
        <f t="shared" si="9"/>
        <v>No</v>
      </c>
      <c r="Q13" s="21" t="str">
        <f t="shared" si="10"/>
        <v>No</v>
      </c>
      <c r="R13" s="21" t="str">
        <f t="shared" si="11"/>
        <v>No</v>
      </c>
    </row>
    <row r="14">
      <c r="A14" s="15">
        <v>2008.0</v>
      </c>
      <c r="B14" s="16">
        <f>'UCI Coho Data'!P17</f>
        <v>357443</v>
      </c>
      <c r="C14" s="16">
        <f>'UCI Coho Data'!R17</f>
        <v>38407</v>
      </c>
      <c r="D14" s="16">
        <f>'UCI Coho Data'!T17</f>
        <v>12724</v>
      </c>
      <c r="E14" s="16">
        <f>'UCI Coho Data'!U17</f>
        <v>18485</v>
      </c>
      <c r="F14" s="16">
        <f>'UCI Coho Data'!W17</f>
        <v>31209</v>
      </c>
      <c r="G14" s="16">
        <f t="shared" si="1"/>
        <v>388652</v>
      </c>
      <c r="H14" s="18">
        <f>'UCI Coho Data'!esc_index</f>
        <v>20300</v>
      </c>
      <c r="I14" s="16">
        <f t="shared" si="2"/>
        <v>49316</v>
      </c>
      <c r="J14" s="20">
        <f t="shared" si="3"/>
        <v>0.1319697147</v>
      </c>
      <c r="K14" s="20">
        <f t="shared" si="4"/>
        <v>0.2006128498</v>
      </c>
      <c r="L14" s="16">
        <f t="shared" si="5"/>
        <v>40600</v>
      </c>
      <c r="M14" s="16">
        <f t="shared" si="6"/>
        <v>192288</v>
      </c>
      <c r="N14" s="16">
        <f t="shared" si="7"/>
        <v>324660</v>
      </c>
      <c r="O14" s="16">
        <f t="shared" si="8"/>
        <v>213572</v>
      </c>
      <c r="P14" s="21" t="str">
        <f t="shared" si="9"/>
        <v>No</v>
      </c>
      <c r="Q14" s="21" t="str">
        <f t="shared" si="10"/>
        <v>No</v>
      </c>
      <c r="R14" s="21" t="str">
        <f t="shared" si="11"/>
        <v>No</v>
      </c>
    </row>
    <row r="15">
      <c r="A15" s="15">
        <v>2009.0</v>
      </c>
      <c r="B15" s="16">
        <f>'UCI Coho Data'!P18</f>
        <v>315690</v>
      </c>
      <c r="C15" s="16">
        <f>'UCI Coho Data'!R18</f>
        <v>37456</v>
      </c>
      <c r="D15" s="16">
        <f>'UCI Coho Data'!T18</f>
        <v>27348</v>
      </c>
      <c r="E15" s="17">
        <f>'UCI Coho Data'!U18</f>
        <v>9523</v>
      </c>
      <c r="F15" s="16">
        <f>'UCI Coho Data'!W18</f>
        <v>36871</v>
      </c>
      <c r="G15" s="16">
        <f t="shared" si="1"/>
        <v>352561</v>
      </c>
      <c r="H15" s="18">
        <f>'UCI Coho Data'!esc_index</f>
        <v>20300</v>
      </c>
      <c r="I15" s="16">
        <f t="shared" si="2"/>
        <v>54027</v>
      </c>
      <c r="J15" s="20">
        <f t="shared" si="3"/>
        <v>0.1230223481</v>
      </c>
      <c r="K15" s="20">
        <f t="shared" si="4"/>
        <v>0.1779848768</v>
      </c>
      <c r="L15" s="16">
        <f t="shared" si="5"/>
        <v>40600</v>
      </c>
      <c r="M15" s="16">
        <f t="shared" si="6"/>
        <v>164433</v>
      </c>
      <c r="N15" s="16">
        <f t="shared" si="7"/>
        <v>269533</v>
      </c>
      <c r="O15" s="16">
        <f t="shared" si="8"/>
        <v>186300</v>
      </c>
      <c r="P15" s="21" t="str">
        <f t="shared" si="9"/>
        <v>No</v>
      </c>
      <c r="Q15" s="21" t="str">
        <f t="shared" si="10"/>
        <v>No</v>
      </c>
      <c r="R15" s="21" t="str">
        <f t="shared" si="11"/>
        <v>No</v>
      </c>
    </row>
    <row r="16">
      <c r="A16" s="15">
        <v>2010.0</v>
      </c>
      <c r="B16" s="16">
        <f>'UCI Coho Data'!P19</f>
        <v>353653</v>
      </c>
      <c r="C16" s="16">
        <f>'UCI Coho Data'!R19</f>
        <v>59497</v>
      </c>
      <c r="D16" s="16">
        <f>'UCI Coho Data'!T19</f>
        <v>10393</v>
      </c>
      <c r="E16" s="17">
        <f>'UCI Coho Data'!U19</f>
        <v>9214</v>
      </c>
      <c r="F16" s="16">
        <f>'UCI Coho Data'!W19</f>
        <v>19607</v>
      </c>
      <c r="G16" s="16">
        <f t="shared" si="1"/>
        <v>373260</v>
      </c>
      <c r="H16" s="18">
        <f>'UCI Coho Data'!esc_index</f>
        <v>20300</v>
      </c>
      <c r="I16" s="16">
        <f t="shared" si="2"/>
        <v>58804</v>
      </c>
      <c r="J16" s="20">
        <f t="shared" si="3"/>
        <v>0.1378198738</v>
      </c>
      <c r="K16" s="20">
        <f t="shared" si="4"/>
        <v>0.161550262</v>
      </c>
      <c r="L16" s="16">
        <f t="shared" si="5"/>
        <v>40600</v>
      </c>
      <c r="M16" s="16">
        <f t="shared" si="6"/>
        <v>115835</v>
      </c>
      <c r="N16" s="16">
        <f t="shared" si="7"/>
        <v>235786</v>
      </c>
      <c r="O16" s="16">
        <f t="shared" si="8"/>
        <v>201151</v>
      </c>
      <c r="P16" s="21" t="str">
        <f t="shared" si="9"/>
        <v>No</v>
      </c>
      <c r="Q16" s="21" t="str">
        <f t="shared" si="10"/>
        <v>No</v>
      </c>
      <c r="R16" s="21" t="str">
        <f t="shared" si="11"/>
        <v>No</v>
      </c>
    </row>
    <row r="17">
      <c r="A17" s="15">
        <v>2011.0</v>
      </c>
      <c r="B17" s="16">
        <f>'UCI Coho Data'!P20</f>
        <v>203893</v>
      </c>
      <c r="C17" s="16">
        <f>'UCI Coho Data'!R20</f>
        <v>18580</v>
      </c>
      <c r="D17" s="17">
        <f>'UCI Coho Data'!T20</f>
        <v>7326</v>
      </c>
      <c r="E17" s="17">
        <f>'UCI Coho Data'!U20</f>
        <v>4826</v>
      </c>
      <c r="F17" s="16">
        <f>'UCI Coho Data'!W20</f>
        <v>12152</v>
      </c>
      <c r="G17" s="16">
        <f t="shared" si="1"/>
        <v>216045</v>
      </c>
      <c r="H17" s="18">
        <f>'UCI Coho Data'!esc_index</f>
        <v>20300</v>
      </c>
      <c r="I17" s="16">
        <f t="shared" si="2"/>
        <v>10432</v>
      </c>
      <c r="J17" s="20">
        <f t="shared" si="3"/>
        <v>0.1156992991</v>
      </c>
      <c r="K17" s="20">
        <f t="shared" si="4"/>
        <v>0.1297081287</v>
      </c>
      <c r="L17" s="16">
        <f t="shared" si="5"/>
        <v>40600</v>
      </c>
      <c r="M17" s="16">
        <f t="shared" si="6"/>
        <v>99839</v>
      </c>
      <c r="N17" s="16">
        <f t="shared" si="7"/>
        <v>172579</v>
      </c>
      <c r="O17" s="16">
        <f t="shared" si="8"/>
        <v>153940</v>
      </c>
      <c r="P17" s="21" t="str">
        <f t="shared" si="9"/>
        <v>No</v>
      </c>
      <c r="Q17" s="21" t="str">
        <f t="shared" si="10"/>
        <v>No</v>
      </c>
      <c r="R17" s="21" t="str">
        <f t="shared" si="11"/>
        <v>No</v>
      </c>
    </row>
    <row r="18">
      <c r="A18" s="15">
        <v>2012.0</v>
      </c>
      <c r="B18" s="16">
        <f>'UCI Coho Data'!P21</f>
        <v>197966.3123</v>
      </c>
      <c r="C18" s="16">
        <f>'UCI Coho Data'!R21</f>
        <v>36416</v>
      </c>
      <c r="D18" s="17">
        <f>'UCI Coho Data'!T21</f>
        <v>6825</v>
      </c>
      <c r="E18" s="17">
        <f>'UCI Coho Data'!U21</f>
        <v>6779</v>
      </c>
      <c r="F18" s="16">
        <f>'UCI Coho Data'!W21</f>
        <v>13604</v>
      </c>
      <c r="G18" s="16">
        <f t="shared" si="1"/>
        <v>211570.3123</v>
      </c>
      <c r="H18" s="18">
        <f>'UCI Coho Data'!esc_index</f>
        <v>20300</v>
      </c>
      <c r="I18" s="16">
        <f t="shared" si="2"/>
        <v>29720</v>
      </c>
      <c r="J18" s="20">
        <f t="shared" si="3"/>
        <v>0.1317359254</v>
      </c>
      <c r="K18" s="20">
        <f t="shared" si="4"/>
        <v>0.1326323772</v>
      </c>
      <c r="L18" s="16">
        <f t="shared" si="5"/>
        <v>40600</v>
      </c>
      <c r="M18" s="16">
        <f t="shared" si="6"/>
        <v>82234</v>
      </c>
      <c r="N18" s="16">
        <f t="shared" si="7"/>
        <v>152983</v>
      </c>
      <c r="O18" s="16">
        <f t="shared" si="8"/>
        <v>151949</v>
      </c>
      <c r="P18" s="21" t="str">
        <f t="shared" si="9"/>
        <v>No</v>
      </c>
      <c r="Q18" s="21" t="str">
        <f t="shared" si="10"/>
        <v>No</v>
      </c>
      <c r="R18" s="21" t="str">
        <f t="shared" si="11"/>
        <v>No</v>
      </c>
    </row>
    <row r="19">
      <c r="A19" s="15">
        <v>2013.0</v>
      </c>
      <c r="B19" s="16">
        <f>'UCI Coho Data'!P22</f>
        <v>382699</v>
      </c>
      <c r="C19" s="16">
        <f>'UCI Coho Data'!R22</f>
        <v>109846</v>
      </c>
      <c r="D19" s="16">
        <f>'UCI Coho Data'!T22</f>
        <v>22141</v>
      </c>
      <c r="E19" s="16">
        <f>'UCI Coho Data'!U22</f>
        <v>13583</v>
      </c>
      <c r="F19" s="16">
        <f>'UCI Coho Data'!W22</f>
        <v>35724</v>
      </c>
      <c r="G19" s="16">
        <f t="shared" si="1"/>
        <v>418423</v>
      </c>
      <c r="H19" s="18">
        <f>'UCI Coho Data'!esc_index</f>
        <v>20300</v>
      </c>
      <c r="I19" s="16">
        <f t="shared" si="2"/>
        <v>125270</v>
      </c>
      <c r="J19" s="20">
        <f t="shared" si="3"/>
        <v>0.1839902489</v>
      </c>
      <c r="K19" s="20">
        <f t="shared" si="4"/>
        <v>0.1838975727</v>
      </c>
      <c r="L19" s="16">
        <f t="shared" si="5"/>
        <v>40600</v>
      </c>
      <c r="M19" s="16">
        <f t="shared" si="6"/>
        <v>81087</v>
      </c>
      <c r="N19" s="16">
        <f t="shared" si="7"/>
        <v>224226</v>
      </c>
      <c r="O19" s="16">
        <f t="shared" si="8"/>
        <v>224339</v>
      </c>
      <c r="P19" s="22" t="str">
        <f t="shared" si="9"/>
        <v>Yes</v>
      </c>
      <c r="Q19" s="21" t="str">
        <f t="shared" si="10"/>
        <v>No</v>
      </c>
      <c r="R19" s="22" t="str">
        <f t="shared" si="11"/>
        <v>Yes</v>
      </c>
      <c r="S19" s="23"/>
    </row>
    <row r="20">
      <c r="A20" s="15">
        <v>2014.0</v>
      </c>
      <c r="B20" s="16">
        <f>'UCI Coho Data'!P23</f>
        <v>280218</v>
      </c>
      <c r="C20" s="16">
        <f>'UCI Coho Data'!R23</f>
        <v>33163</v>
      </c>
      <c r="D20" s="16">
        <f>'UCI Coho Data'!T23</f>
        <v>11578</v>
      </c>
      <c r="E20" s="16">
        <f>'UCI Coho Data'!U23</f>
        <v>24211</v>
      </c>
      <c r="F20" s="16">
        <f>'UCI Coho Data'!W23</f>
        <v>35789</v>
      </c>
      <c r="G20" s="16">
        <f t="shared" si="1"/>
        <v>316007</v>
      </c>
      <c r="H20" s="18">
        <f>'UCI Coho Data'!esc_index</f>
        <v>20300</v>
      </c>
      <c r="I20" s="16">
        <f t="shared" si="2"/>
        <v>48652</v>
      </c>
      <c r="J20" s="20">
        <f t="shared" si="3"/>
        <v>0.1703935276</v>
      </c>
      <c r="K20" s="20">
        <f t="shared" si="4"/>
        <v>0.1842217319</v>
      </c>
      <c r="L20" s="16">
        <f t="shared" si="5"/>
        <v>40600</v>
      </c>
      <c r="M20" s="16">
        <f t="shared" si="6"/>
        <v>97269</v>
      </c>
      <c r="N20" s="16">
        <f t="shared" si="7"/>
        <v>214074</v>
      </c>
      <c r="O20" s="16">
        <f t="shared" si="8"/>
        <v>198005</v>
      </c>
      <c r="P20" s="21" t="str">
        <f t="shared" si="9"/>
        <v>No</v>
      </c>
      <c r="Q20" s="21" t="str">
        <f t="shared" si="10"/>
        <v>No</v>
      </c>
      <c r="R20" s="21" t="str">
        <f t="shared" si="11"/>
        <v>No</v>
      </c>
    </row>
    <row r="21" ht="15.75" customHeight="1">
      <c r="A21" s="15">
        <v>2015.0</v>
      </c>
      <c r="B21" s="16">
        <f>'UCI Coho Data'!P24</f>
        <v>377887</v>
      </c>
      <c r="C21" s="16">
        <f>'UCI Coho Data'!R24</f>
        <v>54489</v>
      </c>
      <c r="D21" s="16">
        <f>'UCI Coho Data'!T24</f>
        <v>10775</v>
      </c>
      <c r="E21" s="16">
        <f>'UCI Coho Data'!U24</f>
        <v>12756</v>
      </c>
      <c r="F21" s="16">
        <f>'UCI Coho Data'!W24</f>
        <v>23531</v>
      </c>
      <c r="G21" s="16">
        <f t="shared" si="1"/>
        <v>401418</v>
      </c>
      <c r="H21" s="18">
        <f>'UCI Coho Data'!esc_index</f>
        <v>20300</v>
      </c>
      <c r="I21" s="16">
        <f t="shared" si="2"/>
        <v>57720</v>
      </c>
      <c r="J21" s="20">
        <f t="shared" si="3"/>
        <v>0.1736016186</v>
      </c>
      <c r="K21" s="20">
        <f t="shared" si="4"/>
        <v>0.1939724268</v>
      </c>
      <c r="L21" s="16">
        <f t="shared" si="5"/>
        <v>40600</v>
      </c>
      <c r="M21" s="16">
        <f t="shared" si="6"/>
        <v>108648</v>
      </c>
      <c r="N21" s="16">
        <f t="shared" si="7"/>
        <v>261362</v>
      </c>
      <c r="O21" s="16">
        <f t="shared" si="8"/>
        <v>233914</v>
      </c>
      <c r="P21" s="21" t="str">
        <f t="shared" si="9"/>
        <v>No</v>
      </c>
      <c r="Q21" s="21" t="str">
        <f t="shared" si="10"/>
        <v>No</v>
      </c>
      <c r="R21" s="21" t="str">
        <f t="shared" si="11"/>
        <v>No</v>
      </c>
    </row>
    <row r="22" ht="15.75" customHeight="1">
      <c r="A22" s="15">
        <v>2016.0</v>
      </c>
      <c r="B22" s="16">
        <f>'UCI Coho Data'!P25</f>
        <v>231482</v>
      </c>
      <c r="C22" s="16">
        <f>'UCI Coho Data'!R25</f>
        <v>34640</v>
      </c>
      <c r="D22" s="17">
        <f>'UCI Coho Data'!T25</f>
        <v>6820</v>
      </c>
      <c r="E22" s="17">
        <f>'UCI Coho Data'!U25</f>
        <v>10049</v>
      </c>
      <c r="F22" s="16">
        <f>'UCI Coho Data'!W25</f>
        <v>16869</v>
      </c>
      <c r="G22" s="16">
        <f t="shared" si="1"/>
        <v>248351</v>
      </c>
      <c r="H22" s="18">
        <f>'UCI Coho Data'!esc_index</f>
        <v>20300</v>
      </c>
      <c r="I22" s="16">
        <f t="shared" si="2"/>
        <v>31209</v>
      </c>
      <c r="J22" s="20">
        <f t="shared" si="3"/>
        <v>0.167705655</v>
      </c>
      <c r="K22" s="20">
        <f t="shared" si="4"/>
        <v>0.1898939387</v>
      </c>
      <c r="L22" s="16">
        <f t="shared" si="5"/>
        <v>40600</v>
      </c>
      <c r="M22" s="16">
        <f t="shared" si="6"/>
        <v>111913</v>
      </c>
      <c r="N22" s="16">
        <f t="shared" si="7"/>
        <v>262851</v>
      </c>
      <c r="O22" s="16">
        <f t="shared" si="8"/>
        <v>232138</v>
      </c>
      <c r="P22" s="21" t="str">
        <f t="shared" si="9"/>
        <v>No</v>
      </c>
      <c r="Q22" s="21" t="str">
        <f t="shared" si="10"/>
        <v>No</v>
      </c>
      <c r="R22" s="21" t="str">
        <f t="shared" si="11"/>
        <v>No</v>
      </c>
    </row>
    <row r="23" ht="15.75" customHeight="1">
      <c r="A23" s="15">
        <v>2017.0</v>
      </c>
      <c r="B23" s="16">
        <f>'UCI Coho Data'!P26</f>
        <v>416258</v>
      </c>
      <c r="C23" s="16">
        <f>'UCI Coho Data'!R26</f>
        <v>76492</v>
      </c>
      <c r="D23" s="16">
        <f>'UCI Coho Data'!T26</f>
        <v>36869</v>
      </c>
      <c r="E23" s="16">
        <f>'UCI Coho Data'!U26</f>
        <v>17781</v>
      </c>
      <c r="F23" s="16">
        <f>'UCI Coho Data'!W26</f>
        <v>54650</v>
      </c>
      <c r="G23" s="16">
        <f t="shared" si="1"/>
        <v>470908</v>
      </c>
      <c r="H23" s="18">
        <f>'UCI Coho Data'!esc_index</f>
        <v>20300</v>
      </c>
      <c r="I23" s="16">
        <f t="shared" si="2"/>
        <v>110842</v>
      </c>
      <c r="J23" s="20">
        <f t="shared" si="3"/>
        <v>0.1383630638</v>
      </c>
      <c r="K23" s="20">
        <f t="shared" si="4"/>
        <v>0.1729141551</v>
      </c>
      <c r="L23" s="16">
        <f t="shared" si="5"/>
        <v>40600</v>
      </c>
      <c r="M23" s="16">
        <f t="shared" si="6"/>
        <v>130839</v>
      </c>
      <c r="N23" s="16">
        <f t="shared" si="7"/>
        <v>248423</v>
      </c>
      <c r="O23" s="16">
        <f t="shared" si="8"/>
        <v>198784</v>
      </c>
      <c r="P23" s="21" t="str">
        <f t="shared" si="9"/>
        <v>No</v>
      </c>
      <c r="Q23" s="21" t="str">
        <f t="shared" si="10"/>
        <v>No</v>
      </c>
      <c r="R23" s="21" t="str">
        <f t="shared" si="11"/>
        <v>No</v>
      </c>
    </row>
    <row r="24" ht="15.75" customHeight="1">
      <c r="A24" s="15">
        <v>2018.0</v>
      </c>
      <c r="B24" s="16">
        <f>'UCI Coho Data'!P27</f>
        <v>362708</v>
      </c>
      <c r="C24" s="16">
        <f>'UCI Coho Data'!R27</f>
        <v>60426</v>
      </c>
      <c r="D24" s="16">
        <f>'UCI Coho Data'!T27</f>
        <v>13072</v>
      </c>
      <c r="E24" s="17">
        <f>'UCI Coho Data'!U27</f>
        <v>7583</v>
      </c>
      <c r="F24" s="16">
        <f>'UCI Coho Data'!W27</f>
        <v>20655</v>
      </c>
      <c r="G24" s="16">
        <f t="shared" si="1"/>
        <v>383363</v>
      </c>
      <c r="H24" s="18">
        <f>'UCI Coho Data'!esc_index</f>
        <v>20300</v>
      </c>
      <c r="I24" s="16">
        <f t="shared" si="2"/>
        <v>60781</v>
      </c>
      <c r="J24" s="20">
        <f t="shared" si="3"/>
        <v>0.1502932103</v>
      </c>
      <c r="K24" s="20">
        <f t="shared" si="4"/>
        <v>0.1732347544</v>
      </c>
      <c r="L24" s="16">
        <f t="shared" si="5"/>
        <v>40600</v>
      </c>
      <c r="M24" s="16">
        <f t="shared" si="6"/>
        <v>115705</v>
      </c>
      <c r="N24" s="16">
        <f t="shared" si="7"/>
        <v>260552</v>
      </c>
      <c r="O24" s="16">
        <f t="shared" si="8"/>
        <v>226047</v>
      </c>
      <c r="P24" s="21" t="str">
        <f t="shared" si="9"/>
        <v>No</v>
      </c>
      <c r="Q24" s="21" t="str">
        <f t="shared" si="10"/>
        <v>No</v>
      </c>
      <c r="R24" s="21" t="str">
        <f t="shared" si="11"/>
        <v>No</v>
      </c>
    </row>
    <row r="25" ht="15.75" customHeight="1">
      <c r="A25" s="15">
        <v>2019.0</v>
      </c>
      <c r="B25" s="16">
        <f>'UCI Coho Data'!P28</f>
        <v>273194</v>
      </c>
      <c r="C25" s="16">
        <f>'UCI Coho Data'!R28</f>
        <v>39361</v>
      </c>
      <c r="D25" s="16">
        <f>'UCI Coho Data'!T28</f>
        <v>10445</v>
      </c>
      <c r="E25" s="17">
        <f>'UCI Coho Data'!U28</f>
        <v>4229</v>
      </c>
      <c r="F25" s="16">
        <f>'UCI Coho Data'!W28</f>
        <v>14674</v>
      </c>
      <c r="G25" s="16">
        <f t="shared" si="1"/>
        <v>287868</v>
      </c>
      <c r="H25" s="18">
        <v>20300.0</v>
      </c>
      <c r="I25" s="16">
        <f t="shared" si="2"/>
        <v>33735</v>
      </c>
      <c r="J25" s="20">
        <f t="shared" si="3"/>
        <v>0.1516868154</v>
      </c>
      <c r="K25" s="20">
        <f t="shared" si="4"/>
        <v>0.1701321117</v>
      </c>
      <c r="L25" s="16">
        <f t="shared" si="5"/>
        <v>40600</v>
      </c>
      <c r="M25" s="16">
        <f t="shared" si="6"/>
        <v>106848</v>
      </c>
      <c r="N25" s="16">
        <f t="shared" si="7"/>
        <v>236567</v>
      </c>
      <c r="O25" s="16">
        <f t="shared" si="8"/>
        <v>210919</v>
      </c>
      <c r="P25" s="21" t="str">
        <f t="shared" si="9"/>
        <v>No</v>
      </c>
      <c r="Q25" s="21" t="str">
        <f t="shared" si="10"/>
        <v>No</v>
      </c>
      <c r="R25" s="21" t="str">
        <f t="shared" si="11"/>
        <v>No</v>
      </c>
    </row>
    <row r="26" ht="15.75" customHeight="1">
      <c r="A26" s="15">
        <v>2020.0</v>
      </c>
      <c r="B26" s="16">
        <f>'UCI Coho Data'!P29</f>
        <v>226730</v>
      </c>
      <c r="C26" s="16">
        <f>'UCI Coho Data'!R29</f>
        <v>1621</v>
      </c>
      <c r="D26" s="24" t="s">
        <v>21</v>
      </c>
      <c r="E26" s="16">
        <f>'UCI Coho Data'!U29</f>
        <v>10765</v>
      </c>
      <c r="F26" s="16">
        <f>'UCI Coho Data'!W29</f>
        <v>10765</v>
      </c>
      <c r="G26" s="16">
        <f t="shared" si="1"/>
        <v>237495</v>
      </c>
      <c r="H26" s="18">
        <v>20300.0</v>
      </c>
      <c r="I26" s="16">
        <f t="shared" si="2"/>
        <v>0</v>
      </c>
      <c r="J26" s="20">
        <f t="shared" si="3"/>
        <v>0.1289472425</v>
      </c>
      <c r="K26" s="20">
        <f t="shared" si="4"/>
        <v>0.1488496224</v>
      </c>
      <c r="L26" s="16">
        <f t="shared" si="5"/>
        <v>40600</v>
      </c>
      <c r="M26" s="16">
        <f t="shared" si="6"/>
        <v>100744</v>
      </c>
      <c r="N26" s="16">
        <f t="shared" si="7"/>
        <v>205358</v>
      </c>
      <c r="O26" s="16">
        <f t="shared" si="8"/>
        <v>177900</v>
      </c>
      <c r="P26" s="21" t="str">
        <f t="shared" si="9"/>
        <v>No</v>
      </c>
      <c r="Q26" s="21" t="str">
        <f t="shared" si="10"/>
        <v>No</v>
      </c>
      <c r="R26" s="21" t="str">
        <f t="shared" si="11"/>
        <v>No</v>
      </c>
    </row>
    <row r="27" ht="15.75" customHeight="1">
      <c r="A27" s="15">
        <v>2021.0</v>
      </c>
      <c r="B27" s="16">
        <f>'UCI Coho Data'!P30</f>
        <v>277020</v>
      </c>
      <c r="C27" s="16">
        <f>'UCI Coho Data'!R30</f>
        <v>33047</v>
      </c>
      <c r="D27" s="24" t="s">
        <v>21</v>
      </c>
      <c r="E27" s="16">
        <f>'UCI Coho Data'!U30</f>
        <v>10923</v>
      </c>
      <c r="F27" s="16">
        <f>'UCI Coho Data'!W30</f>
        <v>10923</v>
      </c>
      <c r="G27" s="16">
        <f t="shared" si="1"/>
        <v>287943</v>
      </c>
      <c r="H27" s="18">
        <v>20300.0</v>
      </c>
      <c r="I27" s="16">
        <f t="shared" si="2"/>
        <v>23670</v>
      </c>
      <c r="J27" s="20">
        <f t="shared" si="3"/>
        <v>0.1123577196</v>
      </c>
      <c r="K27" s="20">
        <f t="shared" si="4"/>
        <v>0.09876248152</v>
      </c>
      <c r="L27" s="16">
        <f t="shared" si="5"/>
        <v>40600</v>
      </c>
      <c r="M27" s="16">
        <f t="shared" si="6"/>
        <v>57017</v>
      </c>
      <c r="N27" s="16">
        <f t="shared" si="7"/>
        <v>118186</v>
      </c>
      <c r="O27" s="16">
        <f t="shared" si="8"/>
        <v>134455</v>
      </c>
      <c r="P27" s="22" t="str">
        <f t="shared" si="9"/>
        <v>Yes</v>
      </c>
      <c r="Q27" s="21" t="str">
        <f t="shared" si="10"/>
        <v>No</v>
      </c>
      <c r="R27" s="22" t="str">
        <f t="shared" si="11"/>
        <v>Yes</v>
      </c>
      <c r="S27" s="23"/>
    </row>
    <row r="28" ht="15.75" customHeight="1">
      <c r="A28" s="25">
        <v>2022.0</v>
      </c>
    </row>
    <row r="29" ht="15.75" customHeight="1">
      <c r="A29" s="26">
        <v>2023.0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</row>
    <row r="30" ht="15.75" customHeight="1"/>
    <row r="31" ht="15.75" customHeight="1">
      <c r="A31" s="28" t="s">
        <v>22</v>
      </c>
    </row>
    <row r="32" ht="15.75" customHeight="1">
      <c r="A32" s="15" t="s">
        <v>23</v>
      </c>
    </row>
    <row r="33" ht="15.75" customHeight="1">
      <c r="A33" s="28" t="s">
        <v>24</v>
      </c>
    </row>
    <row r="34" ht="15.75" customHeight="1"/>
    <row r="35" ht="15.75" customHeight="1">
      <c r="A35" s="29"/>
    </row>
    <row r="36" ht="15.75" customHeight="1">
      <c r="A36" s="30"/>
    </row>
    <row r="37" ht="15.75" customHeight="1"/>
    <row r="38" ht="15.75" customHeight="1">
      <c r="A38" s="30"/>
    </row>
    <row r="39" ht="15.75" customHeight="1">
      <c r="A39" s="30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A2:R2"/>
    <mergeCell ref="D3:F3"/>
    <mergeCell ref="I3:K3"/>
    <mergeCell ref="N3:O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5" width="10.57"/>
    <col customWidth="1" min="6" max="6" width="8.71"/>
    <col customWidth="1" min="7" max="7" width="2.71"/>
    <col customWidth="1" min="8" max="12" width="8.71"/>
    <col customWidth="1" min="13" max="13" width="2.71"/>
    <col customWidth="1" min="14" max="14" width="12.57"/>
    <col customWidth="1" min="15" max="15" width="2.71"/>
    <col customWidth="1" min="16" max="17" width="8.71"/>
    <col customWidth="1" min="18" max="18" width="10.57"/>
    <col customWidth="1" min="19" max="19" width="2.71"/>
    <col customWidth="1" min="20" max="23" width="8.71"/>
    <col customWidth="1" min="24" max="24" width="2.71"/>
    <col customWidth="1" min="25" max="25" width="9.57"/>
    <col customWidth="1" min="26" max="27" width="8.71"/>
    <col customWidth="1" min="28" max="28" width="10.29"/>
    <col customWidth="1" min="29" max="30" width="8.71"/>
    <col customWidth="1" min="31" max="31" width="10.29"/>
    <col customWidth="1" min="32" max="32" width="8.71"/>
    <col customWidth="1" min="33" max="33" width="13.29"/>
    <col customWidth="1" min="35" max="35" width="14.71"/>
    <col customWidth="1" min="36" max="36" width="12.29"/>
    <col customWidth="1" min="37" max="37" width="8.71"/>
    <col customWidth="1" min="38" max="38" width="15.57"/>
    <col customWidth="1" min="39" max="41" width="8.71"/>
  </cols>
  <sheetData>
    <row r="1">
      <c r="A1" s="31" t="s">
        <v>25</v>
      </c>
    </row>
    <row r="2">
      <c r="D2" s="30"/>
      <c r="E2" s="30"/>
      <c r="F2" s="30"/>
      <c r="L2" s="28" t="s">
        <v>26</v>
      </c>
      <c r="T2" s="32" t="s">
        <v>27</v>
      </c>
      <c r="X2" s="32"/>
      <c r="Y2" s="32"/>
    </row>
    <row r="3">
      <c r="D3" s="33" t="s">
        <v>28</v>
      </c>
      <c r="E3" s="33"/>
      <c r="F3" s="34">
        <v>4.0</v>
      </c>
      <c r="L3" s="28" t="s">
        <v>29</v>
      </c>
      <c r="T3" s="35" t="s">
        <v>30</v>
      </c>
      <c r="U3" s="35" t="s">
        <v>31</v>
      </c>
      <c r="V3" s="36" t="s">
        <v>32</v>
      </c>
      <c r="W3" s="35" t="s">
        <v>33</v>
      </c>
      <c r="X3" s="33"/>
      <c r="Y3" s="33"/>
      <c r="AA3" s="31" t="s">
        <v>34</v>
      </c>
    </row>
    <row r="4">
      <c r="A4" s="30"/>
      <c r="B4" s="30"/>
      <c r="C4" s="30"/>
      <c r="D4" s="33" t="s">
        <v>35</v>
      </c>
      <c r="E4" s="33"/>
      <c r="F4" s="37" t="s">
        <v>36</v>
      </c>
      <c r="G4" s="30"/>
      <c r="H4" s="30"/>
      <c r="I4" s="30"/>
      <c r="J4" s="30"/>
      <c r="R4" s="30"/>
      <c r="S4" s="30"/>
      <c r="T4" s="23">
        <v>10200.0</v>
      </c>
      <c r="U4" s="23">
        <v>10100.0</v>
      </c>
      <c r="V4" s="38">
        <v>1200.0</v>
      </c>
      <c r="W4" s="39">
        <f>SUM(T4:U4)</f>
        <v>20300</v>
      </c>
      <c r="X4" s="23"/>
      <c r="Y4" s="23"/>
      <c r="AA4" s="31" t="s">
        <v>37</v>
      </c>
      <c r="AB4" s="30"/>
      <c r="AC4" s="30"/>
      <c r="AD4" s="30"/>
      <c r="AE4" s="30"/>
      <c r="AF4" s="30"/>
      <c r="AG4" s="30"/>
      <c r="AH4" s="30"/>
      <c r="AI4" s="30"/>
      <c r="AJ4" s="30"/>
      <c r="AL4" s="30"/>
    </row>
    <row r="5">
      <c r="A5" s="30"/>
      <c r="B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1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L5" s="30"/>
    </row>
    <row r="6" ht="15.0" customHeight="1">
      <c r="A6" s="40"/>
      <c r="B6" s="41" t="s">
        <v>38</v>
      </c>
      <c r="C6" s="41"/>
      <c r="D6" s="41"/>
      <c r="E6" s="41"/>
      <c r="F6" s="41"/>
      <c r="G6" s="40"/>
      <c r="H6" s="42" t="s">
        <v>39</v>
      </c>
      <c r="I6" s="43"/>
      <c r="J6" s="43"/>
      <c r="K6" s="43"/>
      <c r="L6" s="43"/>
      <c r="M6" s="44"/>
      <c r="N6" s="41" t="s">
        <v>40</v>
      </c>
      <c r="O6" s="40"/>
      <c r="P6" s="45" t="s">
        <v>33</v>
      </c>
      <c r="Q6" s="44" t="s">
        <v>41</v>
      </c>
      <c r="R6" s="40"/>
      <c r="S6" s="40"/>
      <c r="T6" s="42" t="s">
        <v>42</v>
      </c>
      <c r="U6" s="43"/>
      <c r="V6" s="43"/>
      <c r="W6" s="43"/>
      <c r="X6" s="44"/>
      <c r="Y6" s="44"/>
      <c r="Z6" s="46" t="s">
        <v>2</v>
      </c>
      <c r="AA6" s="47"/>
      <c r="AB6" s="47"/>
      <c r="AC6" s="40"/>
      <c r="AD6" s="40"/>
      <c r="AE6" s="42" t="s">
        <v>2</v>
      </c>
      <c r="AF6" s="43"/>
      <c r="AG6" s="42" t="s">
        <v>43</v>
      </c>
      <c r="AH6" s="43"/>
      <c r="AI6" s="48" t="s">
        <v>44</v>
      </c>
      <c r="AJ6" s="48" t="s">
        <v>45</v>
      </c>
      <c r="AL6" s="31"/>
    </row>
    <row r="7">
      <c r="A7" s="35" t="s">
        <v>3</v>
      </c>
      <c r="B7" s="35" t="s">
        <v>46</v>
      </c>
      <c r="C7" s="35" t="s">
        <v>47</v>
      </c>
      <c r="D7" s="49" t="s">
        <v>48</v>
      </c>
      <c r="E7" s="49" t="s">
        <v>49</v>
      </c>
      <c r="F7" s="50" t="s">
        <v>33</v>
      </c>
      <c r="H7" s="35" t="s">
        <v>50</v>
      </c>
      <c r="I7" s="35" t="s">
        <v>51</v>
      </c>
      <c r="J7" s="35" t="s">
        <v>52</v>
      </c>
      <c r="K7" s="35" t="s">
        <v>53</v>
      </c>
      <c r="L7" s="50" t="s">
        <v>33</v>
      </c>
      <c r="M7" s="35"/>
      <c r="N7" s="35" t="s">
        <v>33</v>
      </c>
      <c r="O7" s="35"/>
      <c r="P7" s="51" t="s">
        <v>54</v>
      </c>
      <c r="Q7" s="52" t="s">
        <v>46</v>
      </c>
      <c r="R7" s="50" t="s">
        <v>55</v>
      </c>
      <c r="S7" s="35"/>
      <c r="T7" s="35" t="s">
        <v>30</v>
      </c>
      <c r="U7" s="35" t="s">
        <v>31</v>
      </c>
      <c r="V7" s="36" t="s">
        <v>32</v>
      </c>
      <c r="W7" s="50" t="s">
        <v>33</v>
      </c>
      <c r="X7" s="35"/>
      <c r="Y7" s="35" t="s">
        <v>56</v>
      </c>
      <c r="Z7" s="35" t="s">
        <v>57</v>
      </c>
      <c r="AA7" s="35" t="s">
        <v>58</v>
      </c>
      <c r="AB7" s="35" t="s">
        <v>59</v>
      </c>
      <c r="AC7" s="35" t="s">
        <v>60</v>
      </c>
      <c r="AD7" s="35" t="s">
        <v>61</v>
      </c>
      <c r="AE7" s="35" t="s">
        <v>62</v>
      </c>
      <c r="AF7" s="35" t="s">
        <v>63</v>
      </c>
      <c r="AG7" s="35" t="s">
        <v>18</v>
      </c>
      <c r="AH7" s="35" t="s">
        <v>19</v>
      </c>
      <c r="AI7" s="53"/>
      <c r="AJ7" s="53"/>
    </row>
    <row r="8">
      <c r="A8" s="28">
        <v>1999.0</v>
      </c>
      <c r="B8" s="23">
        <v>64814.0</v>
      </c>
      <c r="C8" s="23">
        <v>11923.0</v>
      </c>
      <c r="D8" s="23">
        <v>17725.0</v>
      </c>
      <c r="E8" s="23">
        <v>31643.0</v>
      </c>
      <c r="F8" s="54">
        <f t="shared" ref="F8:F30" si="1">SUM(B8:E8)</f>
        <v>126105</v>
      </c>
      <c r="G8" s="30"/>
      <c r="H8" s="23">
        <v>1652.0</v>
      </c>
      <c r="I8" s="23">
        <v>1329.0</v>
      </c>
      <c r="J8" s="23">
        <v>76289.0</v>
      </c>
      <c r="K8" s="23">
        <v>50916.0</v>
      </c>
      <c r="L8" s="55">
        <f t="shared" ref="L8:L30" si="2">SUM(H8:K8)</f>
        <v>130186</v>
      </c>
      <c r="M8" s="23"/>
      <c r="N8" s="56">
        <v>1413.0</v>
      </c>
      <c r="O8" s="56"/>
      <c r="P8" s="54">
        <f t="shared" ref="P8:P30" si="3">F8+L8+N8</f>
        <v>257704</v>
      </c>
      <c r="Q8" s="57">
        <v>0.45016508778967507</v>
      </c>
      <c r="R8" s="54">
        <f t="shared" ref="R8:R30" si="4">ROUND(B8*Q8,0)</f>
        <v>29177</v>
      </c>
      <c r="S8" s="23"/>
      <c r="T8" s="58">
        <v>4566.0</v>
      </c>
      <c r="U8" s="58">
        <v>3017.0</v>
      </c>
      <c r="V8" s="38">
        <v>1766.0</v>
      </c>
      <c r="W8" s="59">
        <f t="shared" ref="W8:W30" si="5">SUM(T8:U8)</f>
        <v>7583</v>
      </c>
      <c r="X8" s="23"/>
      <c r="Y8" s="23">
        <f>'UCI Coho Data'!tot_catch+'UCI Coho Data'!tot_esc</f>
        <v>265287</v>
      </c>
      <c r="Z8" s="23">
        <f>'UCI Coho Data'!run-('UCI Coho Data'!tot_catch-'UCI Coho Data'!EEZ_catch)-'UCI Coho Data'!esc_index</f>
        <v>16460</v>
      </c>
      <c r="AC8" s="23"/>
      <c r="AD8" s="23"/>
      <c r="AE8" s="23"/>
      <c r="AF8" s="23"/>
      <c r="AN8" s="23"/>
      <c r="AO8" s="23"/>
    </row>
    <row r="9">
      <c r="A9" s="28">
        <v>2000.0</v>
      </c>
      <c r="B9" s="23">
        <v>131478.0</v>
      </c>
      <c r="C9" s="23">
        <v>11078.0</v>
      </c>
      <c r="D9" s="23">
        <v>22840.0</v>
      </c>
      <c r="E9" s="23">
        <v>71475.0</v>
      </c>
      <c r="F9" s="54">
        <f t="shared" si="1"/>
        <v>236871</v>
      </c>
      <c r="G9" s="30"/>
      <c r="H9" s="23">
        <v>1631.0</v>
      </c>
      <c r="I9" s="23">
        <v>2612.0</v>
      </c>
      <c r="J9" s="23">
        <v>135590.0</v>
      </c>
      <c r="K9" s="23">
        <v>63646.0</v>
      </c>
      <c r="L9" s="55">
        <f t="shared" si="2"/>
        <v>203479</v>
      </c>
      <c r="M9" s="23"/>
      <c r="N9" s="56">
        <v>3638.0</v>
      </c>
      <c r="O9" s="56"/>
      <c r="P9" s="54">
        <f t="shared" si="3"/>
        <v>443988</v>
      </c>
      <c r="Q9" s="57">
        <v>0.5233556184304599</v>
      </c>
      <c r="R9" s="54">
        <f t="shared" si="4"/>
        <v>68810</v>
      </c>
      <c r="S9" s="23"/>
      <c r="T9" s="23">
        <v>26387.0</v>
      </c>
      <c r="U9" s="23">
        <v>15436.0</v>
      </c>
      <c r="V9" s="38">
        <v>5218.0</v>
      </c>
      <c r="W9" s="59">
        <f t="shared" si="5"/>
        <v>41823</v>
      </c>
      <c r="X9" s="23"/>
      <c r="Y9" s="23">
        <f>'UCI Coho Data'!tot_catch+'UCI Coho Data'!tot_esc</f>
        <v>485811</v>
      </c>
      <c r="Z9" s="23">
        <f>'UCI Coho Data'!run-('UCI Coho Data'!tot_catch-'UCI Coho Data'!EEZ_catch)-'UCI Coho Data'!esc_index</f>
        <v>90333</v>
      </c>
      <c r="AC9" s="23"/>
      <c r="AD9" s="23"/>
      <c r="AE9" s="23"/>
      <c r="AF9" s="23"/>
      <c r="AN9" s="23"/>
      <c r="AO9" s="23"/>
    </row>
    <row r="10">
      <c r="A10" s="28">
        <v>2001.0</v>
      </c>
      <c r="B10" s="23">
        <v>39418.0</v>
      </c>
      <c r="C10" s="23">
        <v>4246.0</v>
      </c>
      <c r="D10" s="23">
        <v>23719.0</v>
      </c>
      <c r="E10" s="23">
        <v>45928.0</v>
      </c>
      <c r="F10" s="54">
        <f t="shared" si="1"/>
        <v>113311</v>
      </c>
      <c r="G10" s="30"/>
      <c r="H10" s="23">
        <v>2900.0</v>
      </c>
      <c r="I10" s="23">
        <v>3736.0</v>
      </c>
      <c r="J10" s="23">
        <v>128762.0</v>
      </c>
      <c r="K10" s="23">
        <v>69639.0</v>
      </c>
      <c r="L10" s="55">
        <f t="shared" si="2"/>
        <v>205037</v>
      </c>
      <c r="M10" s="23"/>
      <c r="N10" s="56">
        <v>2637.0</v>
      </c>
      <c r="O10" s="56"/>
      <c r="P10" s="54">
        <f t="shared" si="3"/>
        <v>320985</v>
      </c>
      <c r="Q10" s="57">
        <v>0.4917550357704602</v>
      </c>
      <c r="R10" s="54">
        <f t="shared" si="4"/>
        <v>19384</v>
      </c>
      <c r="S10" s="23"/>
      <c r="T10" s="23">
        <v>29927.0</v>
      </c>
      <c r="U10" s="23">
        <v>30587.0</v>
      </c>
      <c r="V10" s="38">
        <v>9247.0</v>
      </c>
      <c r="W10" s="59">
        <f t="shared" si="5"/>
        <v>60514</v>
      </c>
      <c r="X10" s="23"/>
      <c r="Y10" s="23">
        <f>'UCI Coho Data'!tot_catch+'UCI Coho Data'!tot_esc</f>
        <v>381499</v>
      </c>
      <c r="Z10" s="23">
        <f>'UCI Coho Data'!run-('UCI Coho Data'!tot_catch-'UCI Coho Data'!EEZ_catch)-'UCI Coho Data'!esc_index</f>
        <v>59598</v>
      </c>
      <c r="AA10" s="60"/>
      <c r="AB10" s="60"/>
      <c r="AC10" s="23"/>
      <c r="AD10" s="23"/>
      <c r="AE10" s="23"/>
      <c r="AF10" s="23"/>
      <c r="AG10" s="61"/>
      <c r="AH10" s="61"/>
      <c r="AI10" s="61"/>
      <c r="AJ10" s="61"/>
      <c r="AN10" s="23"/>
      <c r="AO10" s="23"/>
    </row>
    <row r="11">
      <c r="A11" s="28">
        <v>2002.0</v>
      </c>
      <c r="B11" s="23">
        <v>125831.0</v>
      </c>
      <c r="C11" s="23">
        <v>35153.0</v>
      </c>
      <c r="D11" s="23">
        <v>35005.0</v>
      </c>
      <c r="E11" s="23">
        <v>50292.0</v>
      </c>
      <c r="F11" s="54">
        <f t="shared" si="1"/>
        <v>246281</v>
      </c>
      <c r="G11" s="30"/>
      <c r="H11" s="23">
        <v>3146.0</v>
      </c>
      <c r="I11" s="23">
        <v>3982.0</v>
      </c>
      <c r="J11" s="23">
        <v>126494.0</v>
      </c>
      <c r="K11" s="23">
        <v>82153.0</v>
      </c>
      <c r="L11" s="55">
        <f t="shared" si="2"/>
        <v>215775</v>
      </c>
      <c r="M11" s="23"/>
      <c r="N11" s="56">
        <v>3271.0</v>
      </c>
      <c r="O11" s="56"/>
      <c r="P11" s="54">
        <f t="shared" si="3"/>
        <v>465327</v>
      </c>
      <c r="Q11" s="57">
        <v>0.5259832632658089</v>
      </c>
      <c r="R11" s="54">
        <f t="shared" si="4"/>
        <v>66185</v>
      </c>
      <c r="S11" s="23"/>
      <c r="T11" s="23">
        <v>24612.0</v>
      </c>
      <c r="U11" s="23">
        <v>47938.0</v>
      </c>
      <c r="V11" s="38">
        <v>14651.0</v>
      </c>
      <c r="W11" s="59">
        <f t="shared" si="5"/>
        <v>72550</v>
      </c>
      <c r="X11" s="23"/>
      <c r="Y11" s="23">
        <f>'UCI Coho Data'!tot_catch+'UCI Coho Data'!tot_esc</f>
        <v>537877</v>
      </c>
      <c r="Z11" s="23">
        <f>'UCI Coho Data'!run-('UCI Coho Data'!tot_catch-'UCI Coho Data'!EEZ_catch)-'UCI Coho Data'!esc_index</f>
        <v>118435</v>
      </c>
      <c r="AA11" s="60">
        <f t="shared" ref="AA11:AA27" si="6">SUM(R8:R11)/SUM(Y8:Y11)</f>
        <v>0.1098825842</v>
      </c>
      <c r="AB11" s="60">
        <f t="shared" ref="AB11:AB27" si="7">SUM(Z8:Z11)/SUM(Y8:Y11)</f>
        <v>0.1705060959</v>
      </c>
      <c r="AC11" s="23">
        <f>'UCI Coho Data'!esc_index*'UCI Coho Data'!gen_time/2</f>
        <v>40600</v>
      </c>
      <c r="AD11" s="23">
        <f t="shared" ref="AD11:AD27" si="8">SUM(W8:W11)</f>
        <v>182470</v>
      </c>
      <c r="AE11" s="23">
        <f t="shared" ref="AE11:AE27" si="9">SUM(Z8:Z11)</f>
        <v>284826</v>
      </c>
      <c r="AF11" s="23">
        <f t="shared" ref="AF11:AF27" si="10">SUM(R8:R11)</f>
        <v>183556</v>
      </c>
      <c r="AG11" s="61" t="str">
        <f t="shared" ref="AG11:AG27" si="11">IF(AA11&gt;AB11,"Yes","No")</f>
        <v>No</v>
      </c>
      <c r="AH11" s="61" t="str">
        <f t="shared" ref="AH11:AH27" si="12">IF(AD11&lt;AC11,"Yes","No")</f>
        <v>No</v>
      </c>
      <c r="AI11" s="61" t="str">
        <f t="shared" ref="AI11:AI27" si="13">IF(AF11&lt;=AE11,"No","Yes")</f>
        <v>No</v>
      </c>
      <c r="AJ11" s="61" t="str">
        <f t="shared" ref="AJ11:AJ27" si="14">IF(W11&lt;$W$4,"Yes","No")</f>
        <v>No</v>
      </c>
      <c r="AN11" s="23"/>
      <c r="AO11" s="23"/>
    </row>
    <row r="12">
      <c r="A12" s="28">
        <v>2003.0</v>
      </c>
      <c r="B12" s="23">
        <v>52432.0</v>
      </c>
      <c r="C12" s="23">
        <v>10171.0</v>
      </c>
      <c r="D12" s="23">
        <v>15138.0</v>
      </c>
      <c r="E12" s="23">
        <v>24015.0</v>
      </c>
      <c r="F12" s="54">
        <f t="shared" si="1"/>
        <v>101756</v>
      </c>
      <c r="G12" s="30"/>
      <c r="H12" s="23">
        <v>1345.0</v>
      </c>
      <c r="I12" s="23">
        <v>2122.0</v>
      </c>
      <c r="J12" s="23">
        <v>84252.0</v>
      </c>
      <c r="K12" s="23">
        <v>70227.0</v>
      </c>
      <c r="L12" s="55">
        <f t="shared" si="2"/>
        <v>157946</v>
      </c>
      <c r="M12" s="23"/>
      <c r="N12" s="56">
        <v>2250.0</v>
      </c>
      <c r="O12" s="56"/>
      <c r="P12" s="54">
        <f t="shared" si="3"/>
        <v>261952</v>
      </c>
      <c r="Q12" s="57">
        <v>0.4977017851693622</v>
      </c>
      <c r="R12" s="54">
        <f t="shared" si="4"/>
        <v>26096</v>
      </c>
      <c r="S12" s="23"/>
      <c r="T12" s="23">
        <v>17305.0</v>
      </c>
      <c r="U12" s="23">
        <v>10877.0</v>
      </c>
      <c r="V12" s="38">
        <v>1231.0</v>
      </c>
      <c r="W12" s="59">
        <f t="shared" si="5"/>
        <v>28182</v>
      </c>
      <c r="X12" s="23"/>
      <c r="Y12" s="23">
        <f>'UCI Coho Data'!tot_catch+'UCI Coho Data'!tot_esc</f>
        <v>290134</v>
      </c>
      <c r="Z12" s="23">
        <f>'UCI Coho Data'!run-('UCI Coho Data'!tot_catch-'UCI Coho Data'!EEZ_catch)-'UCI Coho Data'!esc_index</f>
        <v>33978</v>
      </c>
      <c r="AA12" s="60">
        <f t="shared" si="6"/>
        <v>0.1064547658</v>
      </c>
      <c r="AB12" s="60">
        <f t="shared" si="7"/>
        <v>0.1783402671</v>
      </c>
      <c r="AC12" s="23">
        <f>'UCI Coho Data'!esc_index*'UCI Coho Data'!gen_time/2</f>
        <v>40600</v>
      </c>
      <c r="AD12" s="23">
        <f t="shared" si="8"/>
        <v>203069</v>
      </c>
      <c r="AE12" s="23">
        <f t="shared" si="9"/>
        <v>302344</v>
      </c>
      <c r="AF12" s="23">
        <f t="shared" si="10"/>
        <v>180475</v>
      </c>
      <c r="AG12" s="61" t="str">
        <f t="shared" si="11"/>
        <v>No</v>
      </c>
      <c r="AH12" s="61" t="str">
        <f t="shared" si="12"/>
        <v>No</v>
      </c>
      <c r="AI12" s="61" t="str">
        <f t="shared" si="13"/>
        <v>No</v>
      </c>
      <c r="AJ12" s="61" t="str">
        <f t="shared" si="14"/>
        <v>No</v>
      </c>
      <c r="AN12" s="23"/>
      <c r="AO12" s="23"/>
    </row>
    <row r="13">
      <c r="A13" s="28">
        <v>2004.0</v>
      </c>
      <c r="B13" s="23">
        <v>199587.0</v>
      </c>
      <c r="C13" s="23">
        <v>30154.0</v>
      </c>
      <c r="D13" s="23">
        <v>36498.0</v>
      </c>
      <c r="E13" s="23">
        <v>44819.0</v>
      </c>
      <c r="F13" s="54">
        <f t="shared" si="1"/>
        <v>311058</v>
      </c>
      <c r="G13" s="30"/>
      <c r="H13" s="23">
        <v>1269.0</v>
      </c>
      <c r="I13" s="23">
        <v>3163.0</v>
      </c>
      <c r="J13" s="23">
        <v>107722.0</v>
      </c>
      <c r="K13" s="23">
        <v>82567.0</v>
      </c>
      <c r="L13" s="55">
        <f t="shared" si="2"/>
        <v>194721</v>
      </c>
      <c r="M13" s="23"/>
      <c r="N13" s="56">
        <v>3754.0</v>
      </c>
      <c r="O13" s="56"/>
      <c r="P13" s="54">
        <f t="shared" si="3"/>
        <v>509533</v>
      </c>
      <c r="Q13" s="57">
        <v>0.4654023057613973</v>
      </c>
      <c r="R13" s="54">
        <f t="shared" si="4"/>
        <v>92888</v>
      </c>
      <c r="S13" s="23"/>
      <c r="T13" s="23">
        <v>62940.0</v>
      </c>
      <c r="U13" s="23">
        <v>40199.0</v>
      </c>
      <c r="V13" s="38">
        <v>1415.0</v>
      </c>
      <c r="W13" s="59">
        <f t="shared" si="5"/>
        <v>103139</v>
      </c>
      <c r="X13" s="23"/>
      <c r="Y13" s="23">
        <f>'UCI Coho Data'!tot_catch+'UCI Coho Data'!tot_esc</f>
        <v>612672</v>
      </c>
      <c r="Z13" s="23">
        <f>'UCI Coho Data'!run-('UCI Coho Data'!tot_catch-'UCI Coho Data'!EEZ_catch)-'UCI Coho Data'!esc_index</f>
        <v>175727</v>
      </c>
      <c r="AA13" s="60">
        <f t="shared" si="6"/>
        <v>0.112257173</v>
      </c>
      <c r="AB13" s="60">
        <f t="shared" si="7"/>
        <v>0.2127877457</v>
      </c>
      <c r="AC13" s="23">
        <f>'UCI Coho Data'!esc_index*'UCI Coho Data'!gen_time/2</f>
        <v>40600</v>
      </c>
      <c r="AD13" s="23">
        <f t="shared" si="8"/>
        <v>264385</v>
      </c>
      <c r="AE13" s="23">
        <f t="shared" si="9"/>
        <v>387738</v>
      </c>
      <c r="AF13" s="23">
        <f t="shared" si="10"/>
        <v>204553</v>
      </c>
      <c r="AG13" s="61" t="str">
        <f t="shared" si="11"/>
        <v>No</v>
      </c>
      <c r="AH13" s="61" t="str">
        <f t="shared" si="12"/>
        <v>No</v>
      </c>
      <c r="AI13" s="61" t="str">
        <f t="shared" si="13"/>
        <v>No</v>
      </c>
      <c r="AJ13" s="61" t="str">
        <f t="shared" si="14"/>
        <v>No</v>
      </c>
      <c r="AN13" s="23"/>
      <c r="AO13" s="23"/>
    </row>
    <row r="14">
      <c r="A14" s="28">
        <v>2005.0</v>
      </c>
      <c r="B14" s="23">
        <v>144753.0</v>
      </c>
      <c r="C14" s="23">
        <v>19543.0</v>
      </c>
      <c r="D14" s="23">
        <v>29502.0</v>
      </c>
      <c r="E14" s="23">
        <v>30859.0</v>
      </c>
      <c r="F14" s="54">
        <f t="shared" si="1"/>
        <v>224657</v>
      </c>
      <c r="G14" s="30"/>
      <c r="H14" s="23">
        <v>2291.0</v>
      </c>
      <c r="I14" s="23">
        <v>2056.0</v>
      </c>
      <c r="J14" s="23">
        <v>84250.0</v>
      </c>
      <c r="K14" s="23">
        <v>75148.0</v>
      </c>
      <c r="L14" s="55">
        <f t="shared" si="2"/>
        <v>163745</v>
      </c>
      <c r="M14" s="23"/>
      <c r="N14" s="56">
        <v>3415.0</v>
      </c>
      <c r="O14" s="56"/>
      <c r="P14" s="54">
        <f t="shared" si="3"/>
        <v>391817</v>
      </c>
      <c r="Q14" s="57">
        <v>0.44716171685560924</v>
      </c>
      <c r="R14" s="54">
        <f t="shared" si="4"/>
        <v>64728</v>
      </c>
      <c r="S14" s="23"/>
      <c r="T14" s="23">
        <v>47887.0</v>
      </c>
      <c r="U14" s="23">
        <v>16839.0</v>
      </c>
      <c r="V14" s="38">
        <v>3011.0</v>
      </c>
      <c r="W14" s="59">
        <f t="shared" si="5"/>
        <v>64726</v>
      </c>
      <c r="X14" s="23"/>
      <c r="Y14" s="23">
        <f>'UCI Coho Data'!tot_catch+'UCI Coho Data'!tot_esc</f>
        <v>456543</v>
      </c>
      <c r="Z14" s="23">
        <f>'UCI Coho Data'!run-('UCI Coho Data'!tot_catch-'UCI Coho Data'!EEZ_catch)-'UCI Coho Data'!esc_index</f>
        <v>109154</v>
      </c>
      <c r="AA14" s="60">
        <f t="shared" si="6"/>
        <v>0.1317170437</v>
      </c>
      <c r="AB14" s="60">
        <f t="shared" si="7"/>
        <v>0.2304912541</v>
      </c>
      <c r="AC14" s="23">
        <f>'UCI Coho Data'!esc_index*'UCI Coho Data'!gen_time/2</f>
        <v>40600</v>
      </c>
      <c r="AD14" s="23">
        <f t="shared" si="8"/>
        <v>268597</v>
      </c>
      <c r="AE14" s="23">
        <f t="shared" si="9"/>
        <v>437294</v>
      </c>
      <c r="AF14" s="23">
        <f t="shared" si="10"/>
        <v>249897</v>
      </c>
      <c r="AG14" s="61" t="str">
        <f t="shared" si="11"/>
        <v>No</v>
      </c>
      <c r="AH14" s="61" t="str">
        <f t="shared" si="12"/>
        <v>No</v>
      </c>
      <c r="AI14" s="61" t="str">
        <f t="shared" si="13"/>
        <v>No</v>
      </c>
      <c r="AJ14" s="61" t="str">
        <f t="shared" si="14"/>
        <v>No</v>
      </c>
      <c r="AN14" s="23"/>
      <c r="AO14" s="23"/>
    </row>
    <row r="15">
      <c r="A15" s="28">
        <v>2006.0</v>
      </c>
      <c r="B15" s="23">
        <v>98473.0</v>
      </c>
      <c r="C15" s="23">
        <v>22167.0</v>
      </c>
      <c r="D15" s="23">
        <v>36845.0</v>
      </c>
      <c r="E15" s="23">
        <v>20368.0</v>
      </c>
      <c r="F15" s="54">
        <f t="shared" si="1"/>
        <v>177853</v>
      </c>
      <c r="G15" s="30"/>
      <c r="H15" s="23">
        <v>1407.0</v>
      </c>
      <c r="I15" s="23">
        <v>2341.0</v>
      </c>
      <c r="J15" s="23">
        <v>111254.0</v>
      </c>
      <c r="K15" s="23">
        <v>63279.0</v>
      </c>
      <c r="L15" s="55">
        <f t="shared" si="2"/>
        <v>178281</v>
      </c>
      <c r="M15" s="23"/>
      <c r="N15" s="56">
        <v>3759.0</v>
      </c>
      <c r="O15" s="56"/>
      <c r="P15" s="54">
        <f t="shared" si="3"/>
        <v>359893</v>
      </c>
      <c r="Q15" s="57">
        <v>0.45338062209945873</v>
      </c>
      <c r="R15" s="54">
        <f t="shared" si="4"/>
        <v>44646</v>
      </c>
      <c r="S15" s="23"/>
      <c r="T15" s="23">
        <v>59419.0</v>
      </c>
      <c r="U15" s="58">
        <v>8786.0</v>
      </c>
      <c r="V15" s="38">
        <v>4967.0</v>
      </c>
      <c r="W15" s="59">
        <f t="shared" si="5"/>
        <v>68205</v>
      </c>
      <c r="X15" s="23"/>
      <c r="Y15" s="23">
        <f>'UCI Coho Data'!tot_catch+'UCI Coho Data'!tot_esc</f>
        <v>428098</v>
      </c>
      <c r="Z15" s="23">
        <f>'UCI Coho Data'!run-('UCI Coho Data'!tot_catch-'UCI Coho Data'!EEZ_catch)-'UCI Coho Data'!esc_index</f>
        <v>92551</v>
      </c>
      <c r="AA15" s="60">
        <f t="shared" si="6"/>
        <v>0.1277565153</v>
      </c>
      <c r="AB15" s="60">
        <f t="shared" si="7"/>
        <v>0.2301662651</v>
      </c>
      <c r="AC15" s="23">
        <f>'UCI Coho Data'!esc_index*'UCI Coho Data'!gen_time/2</f>
        <v>40600</v>
      </c>
      <c r="AD15" s="23">
        <f t="shared" si="8"/>
        <v>264252</v>
      </c>
      <c r="AE15" s="23">
        <f t="shared" si="9"/>
        <v>411410</v>
      </c>
      <c r="AF15" s="23">
        <f t="shared" si="10"/>
        <v>228358</v>
      </c>
      <c r="AG15" s="61" t="str">
        <f t="shared" si="11"/>
        <v>No</v>
      </c>
      <c r="AH15" s="61" t="str">
        <f t="shared" si="12"/>
        <v>No</v>
      </c>
      <c r="AI15" s="61" t="str">
        <f t="shared" si="13"/>
        <v>No</v>
      </c>
      <c r="AJ15" s="61" t="str">
        <f t="shared" si="14"/>
        <v>No</v>
      </c>
      <c r="AN15" s="23"/>
      <c r="AO15" s="23"/>
    </row>
    <row r="16">
      <c r="A16" s="28">
        <v>2007.0</v>
      </c>
      <c r="B16" s="23">
        <v>108703.0</v>
      </c>
      <c r="C16" s="23">
        <v>23610.0</v>
      </c>
      <c r="D16" s="23">
        <v>23495.0</v>
      </c>
      <c r="E16" s="23">
        <v>21531.0</v>
      </c>
      <c r="F16" s="54">
        <f t="shared" si="1"/>
        <v>177339</v>
      </c>
      <c r="G16" s="30"/>
      <c r="H16" s="23">
        <v>1628.0</v>
      </c>
      <c r="I16" s="23">
        <v>1794.0</v>
      </c>
      <c r="J16" s="23">
        <v>82678.0</v>
      </c>
      <c r="K16" s="23">
        <v>50734.0</v>
      </c>
      <c r="L16" s="55">
        <f t="shared" si="2"/>
        <v>136834</v>
      </c>
      <c r="M16" s="23"/>
      <c r="N16" s="56">
        <v>2727.0</v>
      </c>
      <c r="O16" s="56"/>
      <c r="P16" s="54">
        <f t="shared" si="3"/>
        <v>316900</v>
      </c>
      <c r="Q16" s="57">
        <v>0.6052316863380035</v>
      </c>
      <c r="R16" s="54">
        <f t="shared" si="4"/>
        <v>65791</v>
      </c>
      <c r="S16" s="23"/>
      <c r="T16" s="23">
        <v>10575.0</v>
      </c>
      <c r="U16" s="23">
        <v>17573.0</v>
      </c>
      <c r="V16" s="38">
        <v>6868.0</v>
      </c>
      <c r="W16" s="59">
        <f t="shared" si="5"/>
        <v>28148</v>
      </c>
      <c r="X16" s="23"/>
      <c r="Y16" s="23">
        <f>'UCI Coho Data'!tot_catch+'UCI Coho Data'!tot_esc</f>
        <v>345048</v>
      </c>
      <c r="Z16" s="23">
        <f>'UCI Coho Data'!run-('UCI Coho Data'!tot_catch-'UCI Coho Data'!EEZ_catch)-'UCI Coho Data'!esc_index</f>
        <v>73639</v>
      </c>
      <c r="AA16" s="60">
        <f t="shared" si="6"/>
        <v>0.145494287</v>
      </c>
      <c r="AB16" s="60">
        <f t="shared" si="7"/>
        <v>0.2448331245</v>
      </c>
      <c r="AC16" s="23">
        <f>'UCI Coho Data'!esc_index*'UCI Coho Data'!gen_time/2</f>
        <v>40600</v>
      </c>
      <c r="AD16" s="23">
        <f t="shared" si="8"/>
        <v>264218</v>
      </c>
      <c r="AE16" s="23">
        <f t="shared" si="9"/>
        <v>451071</v>
      </c>
      <c r="AF16" s="23">
        <f t="shared" si="10"/>
        <v>268053</v>
      </c>
      <c r="AG16" s="61" t="str">
        <f t="shared" si="11"/>
        <v>No</v>
      </c>
      <c r="AH16" s="61" t="str">
        <f t="shared" si="12"/>
        <v>No</v>
      </c>
      <c r="AI16" s="61" t="str">
        <f t="shared" si="13"/>
        <v>No</v>
      </c>
      <c r="AJ16" s="61" t="str">
        <f t="shared" si="14"/>
        <v>No</v>
      </c>
      <c r="AN16" s="23"/>
      <c r="AO16" s="23"/>
    </row>
    <row r="17">
      <c r="A17" s="28">
        <v>2008.0</v>
      </c>
      <c r="B17" s="23">
        <v>89428.0</v>
      </c>
      <c r="C17" s="23">
        <v>21823.0</v>
      </c>
      <c r="D17" s="23">
        <v>18441.0</v>
      </c>
      <c r="E17" s="23">
        <v>42177.0</v>
      </c>
      <c r="F17" s="54">
        <f t="shared" si="1"/>
        <v>171869</v>
      </c>
      <c r="G17" s="30"/>
      <c r="H17" s="23">
        <v>1184.0</v>
      </c>
      <c r="I17" s="23">
        <v>867.0</v>
      </c>
      <c r="J17" s="23">
        <v>109259.0</v>
      </c>
      <c r="K17" s="23">
        <v>71015.0</v>
      </c>
      <c r="L17" s="55">
        <f t="shared" si="2"/>
        <v>182325</v>
      </c>
      <c r="M17" s="23"/>
      <c r="N17" s="62">
        <v>3249.0</v>
      </c>
      <c r="O17" s="62"/>
      <c r="P17" s="54">
        <f t="shared" si="3"/>
        <v>357443</v>
      </c>
      <c r="Q17" s="57">
        <v>0.42946839915910007</v>
      </c>
      <c r="R17" s="54">
        <f t="shared" si="4"/>
        <v>38407</v>
      </c>
      <c r="S17" s="23"/>
      <c r="T17" s="23">
        <v>12724.0</v>
      </c>
      <c r="U17" s="23">
        <v>18485.0</v>
      </c>
      <c r="V17" s="38">
        <v>4868.0</v>
      </c>
      <c r="W17" s="59">
        <f t="shared" si="5"/>
        <v>31209</v>
      </c>
      <c r="X17" s="23"/>
      <c r="Y17" s="23">
        <f>'UCI Coho Data'!tot_catch+'UCI Coho Data'!tot_esc</f>
        <v>388652</v>
      </c>
      <c r="Z17" s="23">
        <f>'UCI Coho Data'!run-('UCI Coho Data'!tot_catch-'UCI Coho Data'!EEZ_catch)-'UCI Coho Data'!esc_index</f>
        <v>49316</v>
      </c>
      <c r="AA17" s="60">
        <f t="shared" si="6"/>
        <v>0.1319697147</v>
      </c>
      <c r="AB17" s="60">
        <f t="shared" si="7"/>
        <v>0.2006128498</v>
      </c>
      <c r="AC17" s="23">
        <f>'UCI Coho Data'!esc_index*'UCI Coho Data'!gen_time/2</f>
        <v>40600</v>
      </c>
      <c r="AD17" s="23">
        <f t="shared" si="8"/>
        <v>192288</v>
      </c>
      <c r="AE17" s="23">
        <f t="shared" si="9"/>
        <v>324660</v>
      </c>
      <c r="AF17" s="23">
        <f t="shared" si="10"/>
        <v>213572</v>
      </c>
      <c r="AG17" s="61" t="str">
        <f t="shared" si="11"/>
        <v>No</v>
      </c>
      <c r="AH17" s="61" t="str">
        <f t="shared" si="12"/>
        <v>No</v>
      </c>
      <c r="AI17" s="61" t="str">
        <f t="shared" si="13"/>
        <v>No</v>
      </c>
      <c r="AJ17" s="61" t="str">
        <f t="shared" si="14"/>
        <v>No</v>
      </c>
      <c r="AN17" s="23"/>
      <c r="AO17" s="23"/>
    </row>
    <row r="18">
      <c r="A18" s="28">
        <v>2009.0</v>
      </c>
      <c r="B18" s="23">
        <v>82096.0</v>
      </c>
      <c r="C18" s="23">
        <v>11435.0</v>
      </c>
      <c r="D18" s="23">
        <v>22050.0</v>
      </c>
      <c r="E18" s="23">
        <v>37629.0</v>
      </c>
      <c r="F18" s="54">
        <f t="shared" si="1"/>
        <v>153210</v>
      </c>
      <c r="G18" s="30"/>
      <c r="H18" s="23">
        <v>923.0</v>
      </c>
      <c r="I18" s="23">
        <v>1595.0</v>
      </c>
      <c r="J18" s="23">
        <v>96660.0</v>
      </c>
      <c r="K18" s="23">
        <v>59098.0</v>
      </c>
      <c r="L18" s="55">
        <f t="shared" si="2"/>
        <v>158276</v>
      </c>
      <c r="M18" s="23"/>
      <c r="N18" s="56">
        <v>4204.0</v>
      </c>
      <c r="O18" s="56"/>
      <c r="P18" s="54">
        <f t="shared" si="3"/>
        <v>315690</v>
      </c>
      <c r="Q18" s="57">
        <v>0.4562447493699244</v>
      </c>
      <c r="R18" s="54">
        <f t="shared" si="4"/>
        <v>37456</v>
      </c>
      <c r="S18" s="23"/>
      <c r="T18" s="23">
        <v>27348.0</v>
      </c>
      <c r="U18" s="58">
        <v>9523.0</v>
      </c>
      <c r="V18" s="38">
        <v>8214.0</v>
      </c>
      <c r="W18" s="59">
        <f t="shared" si="5"/>
        <v>36871</v>
      </c>
      <c r="X18" s="23"/>
      <c r="Y18" s="23">
        <f>'UCI Coho Data'!tot_catch+'UCI Coho Data'!tot_esc</f>
        <v>352561</v>
      </c>
      <c r="Z18" s="23">
        <f>'UCI Coho Data'!run-('UCI Coho Data'!tot_catch-'UCI Coho Data'!EEZ_catch)-'UCI Coho Data'!esc_index</f>
        <v>54027</v>
      </c>
      <c r="AA18" s="60">
        <f t="shared" si="6"/>
        <v>0.1230223481</v>
      </c>
      <c r="AB18" s="60">
        <f t="shared" si="7"/>
        <v>0.1779848768</v>
      </c>
      <c r="AC18" s="23">
        <f>'UCI Coho Data'!esc_index*'UCI Coho Data'!gen_time/2</f>
        <v>40600</v>
      </c>
      <c r="AD18" s="23">
        <f t="shared" si="8"/>
        <v>164433</v>
      </c>
      <c r="AE18" s="23">
        <f t="shared" si="9"/>
        <v>269533</v>
      </c>
      <c r="AF18" s="23">
        <f t="shared" si="10"/>
        <v>186300</v>
      </c>
      <c r="AG18" s="61" t="str">
        <f t="shared" si="11"/>
        <v>No</v>
      </c>
      <c r="AH18" s="61" t="str">
        <f t="shared" si="12"/>
        <v>No</v>
      </c>
      <c r="AI18" s="61" t="str">
        <f t="shared" si="13"/>
        <v>No</v>
      </c>
      <c r="AJ18" s="61" t="str">
        <f t="shared" si="14"/>
        <v>No</v>
      </c>
      <c r="AN18" s="23"/>
      <c r="AO18" s="23"/>
    </row>
    <row r="19">
      <c r="A19" s="28">
        <v>2010.0</v>
      </c>
      <c r="B19" s="23">
        <v>110275.0</v>
      </c>
      <c r="C19" s="23">
        <v>32683.0</v>
      </c>
      <c r="D19" s="23">
        <v>26281.0</v>
      </c>
      <c r="E19" s="23">
        <v>38111.0</v>
      </c>
      <c r="F19" s="54">
        <f t="shared" si="1"/>
        <v>207350</v>
      </c>
      <c r="G19" s="30"/>
      <c r="H19" s="23">
        <v>1097.0</v>
      </c>
      <c r="I19" s="23">
        <v>1454.0</v>
      </c>
      <c r="J19" s="23">
        <v>77102.0</v>
      </c>
      <c r="K19" s="23">
        <v>58245.0</v>
      </c>
      <c r="L19" s="55">
        <f t="shared" si="2"/>
        <v>137898</v>
      </c>
      <c r="M19" s="23"/>
      <c r="N19" s="56">
        <v>8405.0</v>
      </c>
      <c r="O19" s="56"/>
      <c r="P19" s="54">
        <f t="shared" si="3"/>
        <v>353653</v>
      </c>
      <c r="Q19" s="57">
        <v>0.5395352527771481</v>
      </c>
      <c r="R19" s="54">
        <f t="shared" si="4"/>
        <v>59497</v>
      </c>
      <c r="S19" s="23"/>
      <c r="T19" s="23">
        <v>10393.0</v>
      </c>
      <c r="U19" s="58">
        <v>9214.0</v>
      </c>
      <c r="V19" s="38">
        <v>6977.0</v>
      </c>
      <c r="W19" s="59">
        <f t="shared" si="5"/>
        <v>19607</v>
      </c>
      <c r="X19" s="23"/>
      <c r="Y19" s="23">
        <f>'UCI Coho Data'!tot_catch+'UCI Coho Data'!tot_esc</f>
        <v>373260</v>
      </c>
      <c r="Z19" s="23">
        <f>'UCI Coho Data'!run-('UCI Coho Data'!tot_catch-'UCI Coho Data'!EEZ_catch)-'UCI Coho Data'!esc_index</f>
        <v>58804</v>
      </c>
      <c r="AA19" s="60">
        <f t="shared" si="6"/>
        <v>0.1378198738</v>
      </c>
      <c r="AB19" s="60">
        <f t="shared" si="7"/>
        <v>0.161550262</v>
      </c>
      <c r="AC19" s="23">
        <f>'UCI Coho Data'!esc_index*'UCI Coho Data'!gen_time/2</f>
        <v>40600</v>
      </c>
      <c r="AD19" s="23">
        <f t="shared" si="8"/>
        <v>115835</v>
      </c>
      <c r="AE19" s="23">
        <f t="shared" si="9"/>
        <v>235786</v>
      </c>
      <c r="AF19" s="23">
        <f t="shared" si="10"/>
        <v>201151</v>
      </c>
      <c r="AG19" s="61" t="str">
        <f t="shared" si="11"/>
        <v>No</v>
      </c>
      <c r="AH19" s="61" t="str">
        <f t="shared" si="12"/>
        <v>No</v>
      </c>
      <c r="AI19" s="61" t="str">
        <f t="shared" si="13"/>
        <v>No</v>
      </c>
      <c r="AJ19" s="61" t="str">
        <f t="shared" si="14"/>
        <v>Yes</v>
      </c>
      <c r="AN19" s="23"/>
      <c r="AO19" s="23"/>
    </row>
    <row r="20">
      <c r="A20" s="28">
        <v>2011.0</v>
      </c>
      <c r="B20" s="23">
        <v>40858.0</v>
      </c>
      <c r="C20" s="23">
        <v>15560.0</v>
      </c>
      <c r="D20" s="23">
        <v>16760.0</v>
      </c>
      <c r="E20" s="23">
        <v>22113.0</v>
      </c>
      <c r="F20" s="54">
        <f t="shared" si="1"/>
        <v>95291</v>
      </c>
      <c r="G20" s="30"/>
      <c r="H20" s="23">
        <v>964.0</v>
      </c>
      <c r="I20" s="23">
        <v>1475.0</v>
      </c>
      <c r="J20" s="23">
        <v>55669.0</v>
      </c>
      <c r="K20" s="23">
        <v>43740.0</v>
      </c>
      <c r="L20" s="55">
        <f t="shared" si="2"/>
        <v>101848</v>
      </c>
      <c r="M20" s="23"/>
      <c r="N20" s="56">
        <v>6754.0</v>
      </c>
      <c r="O20" s="56"/>
      <c r="P20" s="54">
        <f t="shared" si="3"/>
        <v>203893</v>
      </c>
      <c r="Q20" s="57">
        <v>0.45475182338832054</v>
      </c>
      <c r="R20" s="54">
        <f t="shared" si="4"/>
        <v>18580</v>
      </c>
      <c r="S20" s="23"/>
      <c r="T20" s="58">
        <v>7326.0</v>
      </c>
      <c r="U20" s="58">
        <v>4826.0</v>
      </c>
      <c r="V20" s="38">
        <v>1428.0</v>
      </c>
      <c r="W20" s="59">
        <f t="shared" si="5"/>
        <v>12152</v>
      </c>
      <c r="X20" s="23"/>
      <c r="Y20" s="23">
        <f>'UCI Coho Data'!tot_catch+'UCI Coho Data'!tot_esc</f>
        <v>216045</v>
      </c>
      <c r="Z20" s="23">
        <f>'UCI Coho Data'!run-('UCI Coho Data'!tot_catch-'UCI Coho Data'!EEZ_catch)-'UCI Coho Data'!esc_index</f>
        <v>10432</v>
      </c>
      <c r="AA20" s="60">
        <f t="shared" si="6"/>
        <v>0.1156992991</v>
      </c>
      <c r="AB20" s="60">
        <f t="shared" si="7"/>
        <v>0.1297081287</v>
      </c>
      <c r="AC20" s="23">
        <f>'UCI Coho Data'!esc_index*'UCI Coho Data'!gen_time/2</f>
        <v>40600</v>
      </c>
      <c r="AD20" s="23">
        <f t="shared" si="8"/>
        <v>99839</v>
      </c>
      <c r="AE20" s="23">
        <f t="shared" si="9"/>
        <v>172579</v>
      </c>
      <c r="AF20" s="23">
        <f t="shared" si="10"/>
        <v>153940</v>
      </c>
      <c r="AG20" s="61" t="str">
        <f t="shared" si="11"/>
        <v>No</v>
      </c>
      <c r="AH20" s="61" t="str">
        <f t="shared" si="12"/>
        <v>No</v>
      </c>
      <c r="AI20" s="61" t="str">
        <f t="shared" si="13"/>
        <v>No</v>
      </c>
      <c r="AJ20" s="61" t="str">
        <f t="shared" si="14"/>
        <v>Yes</v>
      </c>
      <c r="AN20" s="23"/>
      <c r="AO20" s="23"/>
    </row>
    <row r="21" ht="15.75" customHeight="1">
      <c r="A21" s="28">
        <v>2012.0</v>
      </c>
      <c r="B21" s="23">
        <v>74678.0</v>
      </c>
      <c r="C21" s="23">
        <v>6537.0</v>
      </c>
      <c r="D21" s="23">
        <v>12354.0</v>
      </c>
      <c r="E21" s="23">
        <v>13206.0</v>
      </c>
      <c r="F21" s="54">
        <f t="shared" si="1"/>
        <v>106775</v>
      </c>
      <c r="G21" s="23"/>
      <c r="H21" s="23">
        <v>1194.0</v>
      </c>
      <c r="I21" s="23">
        <v>1930.0</v>
      </c>
      <c r="J21" s="23">
        <v>39369.0</v>
      </c>
      <c r="K21" s="23">
        <v>43186.0</v>
      </c>
      <c r="L21" s="55">
        <f t="shared" si="2"/>
        <v>85679</v>
      </c>
      <c r="M21" s="23"/>
      <c r="N21" s="56">
        <v>5512.3123209557325</v>
      </c>
      <c r="O21" s="56"/>
      <c r="P21" s="54">
        <f t="shared" si="3"/>
        <v>197966.3123</v>
      </c>
      <c r="Q21" s="57">
        <v>0.48764026888775813</v>
      </c>
      <c r="R21" s="54">
        <f t="shared" si="4"/>
        <v>36416</v>
      </c>
      <c r="S21" s="23"/>
      <c r="T21" s="58">
        <v>6825.0</v>
      </c>
      <c r="U21" s="58">
        <v>6779.0</v>
      </c>
      <c r="V21" s="38">
        <v>1237.0</v>
      </c>
      <c r="W21" s="59">
        <f t="shared" si="5"/>
        <v>13604</v>
      </c>
      <c r="X21" s="23"/>
      <c r="Y21" s="23">
        <f>'UCI Coho Data'!tot_catch+'UCI Coho Data'!tot_esc</f>
        <v>211570.3123</v>
      </c>
      <c r="Z21" s="23">
        <f>'UCI Coho Data'!run-('UCI Coho Data'!tot_catch-'UCI Coho Data'!EEZ_catch)-'UCI Coho Data'!esc_index</f>
        <v>29720</v>
      </c>
      <c r="AA21" s="60">
        <f t="shared" si="6"/>
        <v>0.1317359254</v>
      </c>
      <c r="AB21" s="60">
        <f t="shared" si="7"/>
        <v>0.1326323772</v>
      </c>
      <c r="AC21" s="23">
        <f>'UCI Coho Data'!esc_index*'UCI Coho Data'!gen_time/2</f>
        <v>40600</v>
      </c>
      <c r="AD21" s="23">
        <f t="shared" si="8"/>
        <v>82234</v>
      </c>
      <c r="AE21" s="23">
        <f t="shared" si="9"/>
        <v>152983</v>
      </c>
      <c r="AF21" s="23">
        <f t="shared" si="10"/>
        <v>151949</v>
      </c>
      <c r="AG21" s="61" t="str">
        <f t="shared" si="11"/>
        <v>No</v>
      </c>
      <c r="AH21" s="61" t="str">
        <f t="shared" si="12"/>
        <v>No</v>
      </c>
      <c r="AI21" s="61" t="str">
        <f t="shared" si="13"/>
        <v>No</v>
      </c>
      <c r="AJ21" s="61" t="str">
        <f t="shared" si="14"/>
        <v>Yes</v>
      </c>
      <c r="AN21" s="23"/>
      <c r="AO21" s="23"/>
    </row>
    <row r="22" ht="15.75" customHeight="1">
      <c r="A22" s="28">
        <v>2013.0</v>
      </c>
      <c r="B22" s="23">
        <v>184771.0</v>
      </c>
      <c r="C22" s="23">
        <v>2266.0</v>
      </c>
      <c r="D22" s="23">
        <v>31513.0</v>
      </c>
      <c r="E22" s="23">
        <v>42413.0</v>
      </c>
      <c r="F22" s="54">
        <f t="shared" si="1"/>
        <v>260963</v>
      </c>
      <c r="G22" s="23"/>
      <c r="H22" s="23">
        <v>450.0</v>
      </c>
      <c r="I22" s="23">
        <v>3921.0</v>
      </c>
      <c r="J22" s="23">
        <v>54869.0</v>
      </c>
      <c r="K22" s="23">
        <v>57377.0</v>
      </c>
      <c r="L22" s="55">
        <f t="shared" si="2"/>
        <v>116617</v>
      </c>
      <c r="M22" s="23"/>
      <c r="N22" s="56">
        <v>5119.0</v>
      </c>
      <c r="O22" s="56"/>
      <c r="P22" s="54">
        <f t="shared" si="3"/>
        <v>382699</v>
      </c>
      <c r="Q22" s="57">
        <v>0.5944954153095338</v>
      </c>
      <c r="R22" s="54">
        <f t="shared" si="4"/>
        <v>109846</v>
      </c>
      <c r="S22" s="23"/>
      <c r="T22" s="23">
        <v>22141.0</v>
      </c>
      <c r="U22" s="23">
        <v>13583.0</v>
      </c>
      <c r="V22" s="38">
        <v>7593.0</v>
      </c>
      <c r="W22" s="59">
        <f t="shared" si="5"/>
        <v>35724</v>
      </c>
      <c r="X22" s="23"/>
      <c r="Y22" s="23">
        <f>'UCI Coho Data'!tot_catch+'UCI Coho Data'!tot_esc</f>
        <v>418423</v>
      </c>
      <c r="Z22" s="23">
        <f>'UCI Coho Data'!run-('UCI Coho Data'!tot_catch-'UCI Coho Data'!EEZ_catch)-'UCI Coho Data'!esc_index</f>
        <v>125270</v>
      </c>
      <c r="AA22" s="63">
        <f t="shared" si="6"/>
        <v>0.1839902489</v>
      </c>
      <c r="AB22" s="63">
        <f t="shared" si="7"/>
        <v>0.1838975727</v>
      </c>
      <c r="AC22" s="23">
        <f>'UCI Coho Data'!esc_index*'UCI Coho Data'!gen_time/2</f>
        <v>40600</v>
      </c>
      <c r="AD22" s="23">
        <f t="shared" si="8"/>
        <v>81087</v>
      </c>
      <c r="AE22" s="23">
        <f t="shared" si="9"/>
        <v>224226</v>
      </c>
      <c r="AF22" s="23">
        <f t="shared" si="10"/>
        <v>224339</v>
      </c>
      <c r="AG22" s="61" t="str">
        <f t="shared" si="11"/>
        <v>Yes</v>
      </c>
      <c r="AH22" s="61" t="str">
        <f t="shared" si="12"/>
        <v>No</v>
      </c>
      <c r="AI22" s="61" t="str">
        <f t="shared" si="13"/>
        <v>Yes</v>
      </c>
      <c r="AJ22" s="61" t="str">
        <f t="shared" si="14"/>
        <v>No</v>
      </c>
      <c r="AN22" s="23"/>
      <c r="AO22" s="23"/>
    </row>
    <row r="23" ht="15.75" customHeight="1">
      <c r="A23" s="28">
        <v>2014.0</v>
      </c>
      <c r="B23" s="23">
        <v>76932.0</v>
      </c>
      <c r="C23" s="23">
        <v>5908.0</v>
      </c>
      <c r="D23" s="23">
        <v>19379.0</v>
      </c>
      <c r="E23" s="23">
        <v>35200.0</v>
      </c>
      <c r="F23" s="54">
        <f t="shared" si="1"/>
        <v>137419</v>
      </c>
      <c r="G23" s="23"/>
      <c r="H23" s="23">
        <v>1166.0</v>
      </c>
      <c r="I23" s="23">
        <v>1614.0</v>
      </c>
      <c r="J23" s="23">
        <v>78348.0</v>
      </c>
      <c r="K23" s="23">
        <v>52301.0</v>
      </c>
      <c r="L23" s="55">
        <f t="shared" si="2"/>
        <v>133429</v>
      </c>
      <c r="M23" s="23"/>
      <c r="N23" s="56">
        <v>9370.0</v>
      </c>
      <c r="O23" s="56"/>
      <c r="P23" s="54">
        <f t="shared" si="3"/>
        <v>280218</v>
      </c>
      <c r="Q23" s="57">
        <v>0.43106618824886267</v>
      </c>
      <c r="R23" s="54">
        <f t="shared" si="4"/>
        <v>33163</v>
      </c>
      <c r="S23" s="23"/>
      <c r="T23" s="23">
        <v>11578.0</v>
      </c>
      <c r="U23" s="23">
        <v>24211.0</v>
      </c>
      <c r="V23" s="38">
        <v>10283.0</v>
      </c>
      <c r="W23" s="59">
        <f t="shared" si="5"/>
        <v>35789</v>
      </c>
      <c r="X23" s="23"/>
      <c r="Y23" s="23">
        <f>'UCI Coho Data'!tot_catch+'UCI Coho Data'!tot_esc</f>
        <v>316007</v>
      </c>
      <c r="Z23" s="23">
        <f>'UCI Coho Data'!run-('UCI Coho Data'!tot_catch-'UCI Coho Data'!EEZ_catch)-'UCI Coho Data'!esc_index</f>
        <v>48652</v>
      </c>
      <c r="AA23" s="60">
        <f t="shared" si="6"/>
        <v>0.1703935276</v>
      </c>
      <c r="AB23" s="60">
        <f t="shared" si="7"/>
        <v>0.1842217319</v>
      </c>
      <c r="AC23" s="23">
        <f>'UCI Coho Data'!esc_index*'UCI Coho Data'!gen_time/2</f>
        <v>40600</v>
      </c>
      <c r="AD23" s="23">
        <f t="shared" si="8"/>
        <v>97269</v>
      </c>
      <c r="AE23" s="23">
        <f t="shared" si="9"/>
        <v>214074</v>
      </c>
      <c r="AF23" s="23">
        <f t="shared" si="10"/>
        <v>198005</v>
      </c>
      <c r="AG23" s="61" t="str">
        <f t="shared" si="11"/>
        <v>No</v>
      </c>
      <c r="AH23" s="61" t="str">
        <f t="shared" si="12"/>
        <v>No</v>
      </c>
      <c r="AI23" s="61" t="str">
        <f t="shared" si="13"/>
        <v>No</v>
      </c>
      <c r="AJ23" s="61" t="str">
        <f t="shared" si="14"/>
        <v>No</v>
      </c>
      <c r="AN23" s="23"/>
      <c r="AO23" s="23"/>
    </row>
    <row r="24" ht="15.75" customHeight="1">
      <c r="A24" s="28">
        <v>2015.0</v>
      </c>
      <c r="B24" s="23">
        <v>130720.0</v>
      </c>
      <c r="C24" s="23">
        <v>17948.0</v>
      </c>
      <c r="D24" s="23">
        <v>20748.0</v>
      </c>
      <c r="E24" s="23">
        <v>46616.0</v>
      </c>
      <c r="F24" s="54">
        <f t="shared" si="1"/>
        <v>216032</v>
      </c>
      <c r="G24" s="23"/>
      <c r="H24" s="23">
        <v>1560.0</v>
      </c>
      <c r="I24" s="23">
        <v>4154.0</v>
      </c>
      <c r="J24" s="23">
        <v>85189.0</v>
      </c>
      <c r="K24" s="23">
        <v>60304.0</v>
      </c>
      <c r="L24" s="55">
        <f t="shared" si="2"/>
        <v>151207</v>
      </c>
      <c r="M24" s="23"/>
      <c r="N24" s="56">
        <v>10648.0</v>
      </c>
      <c r="O24" s="56"/>
      <c r="P24" s="54">
        <f t="shared" si="3"/>
        <v>377887</v>
      </c>
      <c r="Q24" s="57">
        <v>0.416837696175297</v>
      </c>
      <c r="R24" s="54">
        <f t="shared" si="4"/>
        <v>54489</v>
      </c>
      <c r="S24" s="23"/>
      <c r="T24" s="23">
        <v>10775.0</v>
      </c>
      <c r="U24" s="23">
        <v>12756.0</v>
      </c>
      <c r="V24" s="38">
        <v>7912.0</v>
      </c>
      <c r="W24" s="59">
        <f t="shared" si="5"/>
        <v>23531</v>
      </c>
      <c r="X24" s="23"/>
      <c r="Y24" s="23">
        <f>'UCI Coho Data'!tot_catch+'UCI Coho Data'!tot_esc</f>
        <v>401418</v>
      </c>
      <c r="Z24" s="23">
        <f>'UCI Coho Data'!run-('UCI Coho Data'!tot_catch-'UCI Coho Data'!EEZ_catch)-'UCI Coho Data'!esc_index</f>
        <v>57720</v>
      </c>
      <c r="AA24" s="60">
        <f t="shared" si="6"/>
        <v>0.1736016186</v>
      </c>
      <c r="AB24" s="60">
        <f t="shared" si="7"/>
        <v>0.1939724268</v>
      </c>
      <c r="AC24" s="23">
        <f>'UCI Coho Data'!esc_index*'UCI Coho Data'!gen_time/2</f>
        <v>40600</v>
      </c>
      <c r="AD24" s="23">
        <f t="shared" si="8"/>
        <v>108648</v>
      </c>
      <c r="AE24" s="23">
        <f t="shared" si="9"/>
        <v>261362</v>
      </c>
      <c r="AF24" s="23">
        <f t="shared" si="10"/>
        <v>233914</v>
      </c>
      <c r="AG24" s="61" t="str">
        <f t="shared" si="11"/>
        <v>No</v>
      </c>
      <c r="AH24" s="61" t="str">
        <f t="shared" si="12"/>
        <v>No</v>
      </c>
      <c r="AI24" s="61" t="str">
        <f t="shared" si="13"/>
        <v>No</v>
      </c>
      <c r="AJ24" s="61" t="str">
        <f t="shared" si="14"/>
        <v>No</v>
      </c>
      <c r="AN24" s="23"/>
      <c r="AO24" s="23"/>
    </row>
    <row r="25" ht="15.75" customHeight="1">
      <c r="A25" s="28">
        <v>2016.0</v>
      </c>
      <c r="B25" s="23">
        <v>90242.0</v>
      </c>
      <c r="C25" s="23">
        <v>11606.0</v>
      </c>
      <c r="D25" s="23">
        <v>15171.0</v>
      </c>
      <c r="E25" s="23">
        <v>30476.0</v>
      </c>
      <c r="F25" s="54">
        <f t="shared" si="1"/>
        <v>147495</v>
      </c>
      <c r="G25" s="23"/>
      <c r="H25" s="23">
        <v>678.0</v>
      </c>
      <c r="I25" s="23">
        <v>1831.0</v>
      </c>
      <c r="J25" s="23">
        <v>42809.0</v>
      </c>
      <c r="K25" s="23">
        <v>34079.0</v>
      </c>
      <c r="L25" s="55">
        <f t="shared" si="2"/>
        <v>79397</v>
      </c>
      <c r="M25" s="23"/>
      <c r="N25" s="56">
        <v>4590.0</v>
      </c>
      <c r="O25" s="56"/>
      <c r="P25" s="54">
        <f t="shared" si="3"/>
        <v>231482</v>
      </c>
      <c r="Q25" s="57">
        <v>0.3838616110817011</v>
      </c>
      <c r="R25" s="54">
        <f t="shared" si="4"/>
        <v>34640</v>
      </c>
      <c r="S25" s="23"/>
      <c r="T25" s="58">
        <v>6820.0</v>
      </c>
      <c r="U25" s="58">
        <v>10049.0</v>
      </c>
      <c r="V25" s="38">
        <v>2484.0</v>
      </c>
      <c r="W25" s="59">
        <f t="shared" si="5"/>
        <v>16869</v>
      </c>
      <c r="X25" s="23"/>
      <c r="Y25" s="23">
        <f>'UCI Coho Data'!tot_catch+'UCI Coho Data'!tot_esc</f>
        <v>248351</v>
      </c>
      <c r="Z25" s="23">
        <f>'UCI Coho Data'!run-('UCI Coho Data'!tot_catch-'UCI Coho Data'!EEZ_catch)-'UCI Coho Data'!esc_index</f>
        <v>31209</v>
      </c>
      <c r="AA25" s="60">
        <f t="shared" si="6"/>
        <v>0.167705655</v>
      </c>
      <c r="AB25" s="60">
        <f t="shared" si="7"/>
        <v>0.1898939387</v>
      </c>
      <c r="AC25" s="23">
        <f>'UCI Coho Data'!esc_index*'UCI Coho Data'!gen_time/2</f>
        <v>40600</v>
      </c>
      <c r="AD25" s="23">
        <f t="shared" si="8"/>
        <v>111913</v>
      </c>
      <c r="AE25" s="23">
        <f t="shared" si="9"/>
        <v>262851</v>
      </c>
      <c r="AF25" s="23">
        <f t="shared" si="10"/>
        <v>232138</v>
      </c>
      <c r="AG25" s="61" t="str">
        <f t="shared" si="11"/>
        <v>No</v>
      </c>
      <c r="AH25" s="61" t="str">
        <f t="shared" si="12"/>
        <v>No</v>
      </c>
      <c r="AI25" s="61" t="str">
        <f t="shared" si="13"/>
        <v>No</v>
      </c>
      <c r="AJ25" s="61" t="str">
        <f t="shared" si="14"/>
        <v>Yes</v>
      </c>
      <c r="AN25" s="23"/>
      <c r="AO25" s="23"/>
    </row>
    <row r="26" ht="15.75" customHeight="1">
      <c r="A26" s="30">
        <v>2017.0</v>
      </c>
      <c r="B26" s="23">
        <v>191490.0</v>
      </c>
      <c r="C26" s="23">
        <v>29916.0</v>
      </c>
      <c r="D26" s="23">
        <v>29535.0</v>
      </c>
      <c r="E26" s="23">
        <v>52701.0</v>
      </c>
      <c r="F26" s="54">
        <f t="shared" si="1"/>
        <v>303642</v>
      </c>
      <c r="G26" s="30"/>
      <c r="H26" s="23">
        <v>660.0</v>
      </c>
      <c r="I26" s="23">
        <v>2912.0</v>
      </c>
      <c r="J26" s="23">
        <v>56708.0</v>
      </c>
      <c r="K26" s="23">
        <v>50671.0</v>
      </c>
      <c r="L26" s="55">
        <f t="shared" si="2"/>
        <v>110951</v>
      </c>
      <c r="M26" s="30"/>
      <c r="N26" s="56">
        <v>1665.0</v>
      </c>
      <c r="O26" s="56"/>
      <c r="P26" s="54">
        <f t="shared" si="3"/>
        <v>416258</v>
      </c>
      <c r="Q26" s="57">
        <v>0.39945731389901096</v>
      </c>
      <c r="R26" s="54">
        <f t="shared" si="4"/>
        <v>76492</v>
      </c>
      <c r="S26" s="23"/>
      <c r="T26" s="23">
        <v>36869.0</v>
      </c>
      <c r="U26" s="23">
        <v>17781.0</v>
      </c>
      <c r="V26" s="38">
        <v>8966.0</v>
      </c>
      <c r="W26" s="59">
        <f t="shared" si="5"/>
        <v>54650</v>
      </c>
      <c r="X26" s="23"/>
      <c r="Y26" s="23">
        <f>'UCI Coho Data'!tot_catch+'UCI Coho Data'!tot_esc</f>
        <v>470908</v>
      </c>
      <c r="Z26" s="23">
        <f>'UCI Coho Data'!run-('UCI Coho Data'!tot_catch-'UCI Coho Data'!EEZ_catch)-'UCI Coho Data'!esc_index</f>
        <v>110842</v>
      </c>
      <c r="AA26" s="60">
        <f t="shared" si="6"/>
        <v>0.1383630638</v>
      </c>
      <c r="AB26" s="60">
        <f t="shared" si="7"/>
        <v>0.1729141551</v>
      </c>
      <c r="AC26" s="23">
        <f>'UCI Coho Data'!esc_index*'UCI Coho Data'!gen_time/2</f>
        <v>40600</v>
      </c>
      <c r="AD26" s="23">
        <f t="shared" si="8"/>
        <v>130839</v>
      </c>
      <c r="AE26" s="23">
        <f t="shared" si="9"/>
        <v>248423</v>
      </c>
      <c r="AF26" s="23">
        <f t="shared" si="10"/>
        <v>198784</v>
      </c>
      <c r="AG26" s="61" t="str">
        <f t="shared" si="11"/>
        <v>No</v>
      </c>
      <c r="AH26" s="61" t="str">
        <f t="shared" si="12"/>
        <v>No</v>
      </c>
      <c r="AI26" s="61" t="str">
        <f t="shared" si="13"/>
        <v>No</v>
      </c>
      <c r="AJ26" s="61" t="str">
        <f t="shared" si="14"/>
        <v>No</v>
      </c>
      <c r="AL26" s="61"/>
      <c r="AM26" s="30"/>
      <c r="AN26" s="30"/>
      <c r="AO26" s="30"/>
    </row>
    <row r="27" ht="15.75" customHeight="1">
      <c r="A27" s="30">
        <v>2018.0</v>
      </c>
      <c r="B27" s="23">
        <v>108906.0</v>
      </c>
      <c r="C27" s="23">
        <v>4705.0</v>
      </c>
      <c r="D27" s="23">
        <v>51581.0</v>
      </c>
      <c r="E27" s="23">
        <v>67098.0</v>
      </c>
      <c r="F27" s="54">
        <f t="shared" si="1"/>
        <v>232290</v>
      </c>
      <c r="G27" s="30"/>
      <c r="H27" s="23">
        <v>795.0</v>
      </c>
      <c r="I27" s="23">
        <v>2185.0</v>
      </c>
      <c r="J27" s="23">
        <v>64708.0</v>
      </c>
      <c r="K27" s="23">
        <v>59727.0</v>
      </c>
      <c r="L27" s="55">
        <f t="shared" si="2"/>
        <v>127415</v>
      </c>
      <c r="M27" s="30"/>
      <c r="N27" s="56">
        <v>3003.0</v>
      </c>
      <c r="O27" s="56"/>
      <c r="P27" s="54">
        <f t="shared" si="3"/>
        <v>362708</v>
      </c>
      <c r="Q27" s="57">
        <v>0.5548477159668603</v>
      </c>
      <c r="R27" s="54">
        <f t="shared" si="4"/>
        <v>60426</v>
      </c>
      <c r="S27" s="23"/>
      <c r="T27" s="23">
        <v>13072.0</v>
      </c>
      <c r="U27" s="58">
        <v>7583.0</v>
      </c>
      <c r="V27" s="38">
        <v>5022.0</v>
      </c>
      <c r="W27" s="59">
        <f t="shared" si="5"/>
        <v>20655</v>
      </c>
      <c r="X27" s="23"/>
      <c r="Y27" s="23">
        <f>'UCI Coho Data'!tot_catch+'UCI Coho Data'!tot_esc</f>
        <v>383363</v>
      </c>
      <c r="Z27" s="23">
        <f>'UCI Coho Data'!run-('UCI Coho Data'!tot_catch-'UCI Coho Data'!EEZ_catch)-'UCI Coho Data'!esc_index</f>
        <v>60781</v>
      </c>
      <c r="AA27" s="60">
        <f t="shared" si="6"/>
        <v>0.1502932103</v>
      </c>
      <c r="AB27" s="60">
        <f t="shared" si="7"/>
        <v>0.1732347544</v>
      </c>
      <c r="AC27" s="23">
        <f>'UCI Coho Data'!esc_index*'UCI Coho Data'!gen_time/2</f>
        <v>40600</v>
      </c>
      <c r="AD27" s="23">
        <f t="shared" si="8"/>
        <v>115705</v>
      </c>
      <c r="AE27" s="23">
        <f t="shared" si="9"/>
        <v>260552</v>
      </c>
      <c r="AF27" s="23">
        <f t="shared" si="10"/>
        <v>226047</v>
      </c>
      <c r="AG27" s="61" t="str">
        <f t="shared" si="11"/>
        <v>No</v>
      </c>
      <c r="AH27" s="61" t="str">
        <f t="shared" si="12"/>
        <v>No</v>
      </c>
      <c r="AI27" s="61" t="str">
        <f t="shared" si="13"/>
        <v>No</v>
      </c>
      <c r="AJ27" s="61" t="str">
        <f t="shared" si="14"/>
        <v>No</v>
      </c>
      <c r="AL27" s="61"/>
    </row>
    <row r="28" ht="15.75" customHeight="1">
      <c r="A28" s="28">
        <v>2019.0</v>
      </c>
      <c r="B28" s="23">
        <v>88618.0</v>
      </c>
      <c r="C28" s="23">
        <v>6511.0</v>
      </c>
      <c r="D28" s="23">
        <v>16799.0</v>
      </c>
      <c r="E28" s="23">
        <v>51935.0</v>
      </c>
      <c r="F28" s="54">
        <f t="shared" si="1"/>
        <v>163863</v>
      </c>
      <c r="G28" s="30"/>
      <c r="H28" s="23">
        <v>756.0</v>
      </c>
      <c r="I28" s="23">
        <v>1240.0</v>
      </c>
      <c r="J28" s="23">
        <v>52014.0</v>
      </c>
      <c r="K28" s="64">
        <v>51360.0</v>
      </c>
      <c r="L28" s="55">
        <f t="shared" si="2"/>
        <v>105370</v>
      </c>
      <c r="M28" s="30"/>
      <c r="N28" s="56">
        <v>3961.0</v>
      </c>
      <c r="O28" s="56"/>
      <c r="P28" s="54">
        <f t="shared" si="3"/>
        <v>273194</v>
      </c>
      <c r="Q28" s="57">
        <v>0.44416312048774464</v>
      </c>
      <c r="R28" s="54">
        <f t="shared" si="4"/>
        <v>39361</v>
      </c>
      <c r="S28" s="23"/>
      <c r="T28" s="23">
        <v>10445.0</v>
      </c>
      <c r="U28" s="58">
        <v>4229.0</v>
      </c>
      <c r="V28" s="38"/>
      <c r="W28" s="59">
        <f t="shared" si="5"/>
        <v>14674</v>
      </c>
      <c r="X28" s="23"/>
      <c r="Y28" s="23"/>
      <c r="Z28" s="23"/>
      <c r="AA28" s="60"/>
      <c r="AB28" s="60"/>
      <c r="AC28" s="23"/>
      <c r="AD28" s="23"/>
      <c r="AE28" s="23"/>
      <c r="AF28" s="23"/>
      <c r="AG28" s="61"/>
      <c r="AH28" s="61"/>
      <c r="AI28" s="61"/>
      <c r="AJ28" s="61"/>
      <c r="AL28" s="61"/>
    </row>
    <row r="29" ht="15.75" customHeight="1">
      <c r="A29" s="28">
        <v>2020.0</v>
      </c>
      <c r="B29" s="23">
        <v>48803.0</v>
      </c>
      <c r="C29" s="23">
        <v>372.0</v>
      </c>
      <c r="D29" s="23">
        <v>35612.0</v>
      </c>
      <c r="E29" s="23">
        <v>54453.0</v>
      </c>
      <c r="F29" s="54">
        <f t="shared" si="1"/>
        <v>139240</v>
      </c>
      <c r="G29" s="30"/>
      <c r="H29" s="23">
        <v>328.0</v>
      </c>
      <c r="I29" s="23">
        <v>407.0</v>
      </c>
      <c r="J29" s="23">
        <v>49654.0</v>
      </c>
      <c r="K29" s="65">
        <v>25378.0</v>
      </c>
      <c r="L29" s="55">
        <f t="shared" si="2"/>
        <v>75767</v>
      </c>
      <c r="M29" s="30"/>
      <c r="N29" s="56">
        <v>11723.0</v>
      </c>
      <c r="O29" s="56"/>
      <c r="P29" s="54">
        <f t="shared" si="3"/>
        <v>226730</v>
      </c>
      <c r="Q29" s="57">
        <v>0.033217493801568916</v>
      </c>
      <c r="R29" s="54">
        <f t="shared" si="4"/>
        <v>1621</v>
      </c>
      <c r="S29" s="23"/>
      <c r="T29" s="66" t="s">
        <v>21</v>
      </c>
      <c r="U29" s="23">
        <v>10765.0</v>
      </c>
      <c r="V29" s="38"/>
      <c r="W29" s="59">
        <f t="shared" si="5"/>
        <v>10765</v>
      </c>
      <c r="X29" s="23"/>
      <c r="Y29" s="23"/>
      <c r="Z29" s="23"/>
      <c r="AA29" s="60"/>
      <c r="AB29" s="60"/>
      <c r="AC29" s="23"/>
      <c r="AD29" s="23"/>
      <c r="AE29" s="23"/>
      <c r="AF29" s="23"/>
      <c r="AG29" s="61"/>
      <c r="AH29" s="61"/>
      <c r="AI29" s="61"/>
      <c r="AJ29" s="61"/>
      <c r="AL29" s="61"/>
    </row>
    <row r="30" ht="15.75" customHeight="1">
      <c r="A30" s="30">
        <v>2021.0</v>
      </c>
      <c r="B30" s="23">
        <v>80982.0</v>
      </c>
      <c r="C30" s="23">
        <v>883.0</v>
      </c>
      <c r="D30" s="23">
        <v>19702.0</v>
      </c>
      <c r="E30" s="23">
        <v>45825.0</v>
      </c>
      <c r="F30" s="54">
        <f t="shared" si="1"/>
        <v>147392</v>
      </c>
      <c r="G30" s="30"/>
      <c r="H30" s="23">
        <v>566.0</v>
      </c>
      <c r="I30" s="23">
        <v>1223.0</v>
      </c>
      <c r="J30" s="23">
        <v>66120.0</v>
      </c>
      <c r="K30" s="67">
        <v>57553.0</v>
      </c>
      <c r="L30" s="55">
        <f t="shared" si="2"/>
        <v>125462</v>
      </c>
      <c r="M30" s="30"/>
      <c r="N30" s="56">
        <v>4166.0</v>
      </c>
      <c r="O30" s="56"/>
      <c r="P30" s="54">
        <f t="shared" si="3"/>
        <v>277020</v>
      </c>
      <c r="Q30" s="57">
        <v>0.4080777296753701</v>
      </c>
      <c r="R30" s="54">
        <f t="shared" si="4"/>
        <v>33047</v>
      </c>
      <c r="S30" s="23"/>
      <c r="T30" s="66" t="s">
        <v>21</v>
      </c>
      <c r="U30" s="23">
        <v>10923.0</v>
      </c>
      <c r="V30" s="38"/>
      <c r="W30" s="59">
        <f t="shared" si="5"/>
        <v>10923</v>
      </c>
      <c r="X30" s="23"/>
      <c r="Y30" s="23"/>
      <c r="Z30" s="23"/>
      <c r="AA30" s="60"/>
      <c r="AB30" s="60"/>
      <c r="AC30" s="23"/>
      <c r="AD30" s="23"/>
      <c r="AE30" s="23"/>
      <c r="AF30" s="23"/>
      <c r="AG30" s="61"/>
      <c r="AH30" s="61"/>
      <c r="AI30" s="61"/>
      <c r="AJ30" s="61"/>
      <c r="AL30" s="61"/>
    </row>
    <row r="31" ht="15.75" customHeight="1">
      <c r="A31" s="68">
        <v>2022.0</v>
      </c>
      <c r="B31" s="69">
        <v>51306.0</v>
      </c>
      <c r="C31" s="23"/>
      <c r="D31" s="23"/>
      <c r="E31" s="69">
        <v>36895.0</v>
      </c>
      <c r="F31" s="59"/>
      <c r="G31" s="30"/>
      <c r="H31" s="23"/>
      <c r="I31" s="23"/>
      <c r="J31" s="23"/>
      <c r="K31" s="67"/>
      <c r="L31" s="70"/>
      <c r="M31" s="30"/>
      <c r="N31" s="56"/>
      <c r="O31" s="56"/>
      <c r="P31" s="59"/>
      <c r="Q31" s="57"/>
      <c r="R31" s="59"/>
      <c r="S31" s="23"/>
      <c r="T31" s="71">
        <v>1899.0</v>
      </c>
      <c r="U31" s="69">
        <v>3162.0</v>
      </c>
      <c r="V31" s="38"/>
      <c r="W31" s="59"/>
      <c r="X31" s="23"/>
      <c r="Y31" s="23"/>
      <c r="Z31" s="23"/>
      <c r="AA31" s="60"/>
      <c r="AB31" s="60"/>
      <c r="AC31" s="23"/>
      <c r="AD31" s="23"/>
      <c r="AE31" s="23"/>
      <c r="AF31" s="23"/>
      <c r="AG31" s="61"/>
      <c r="AH31" s="61"/>
      <c r="AI31" s="61"/>
      <c r="AJ31" s="61"/>
      <c r="AL31" s="61"/>
    </row>
    <row r="32" ht="15.75" customHeight="1">
      <c r="A32" s="72">
        <v>2023.0</v>
      </c>
      <c r="B32" s="73"/>
      <c r="C32" s="73"/>
      <c r="D32" s="73"/>
      <c r="E32" s="73"/>
      <c r="F32" s="74"/>
      <c r="G32" s="75"/>
      <c r="H32" s="73"/>
      <c r="I32" s="73"/>
      <c r="J32" s="73"/>
      <c r="K32" s="76"/>
      <c r="L32" s="77"/>
      <c r="M32" s="75"/>
      <c r="N32" s="78"/>
      <c r="O32" s="78"/>
      <c r="P32" s="74"/>
      <c r="Q32" s="79"/>
      <c r="R32" s="74"/>
      <c r="S32" s="73"/>
      <c r="T32" s="80"/>
      <c r="U32" s="73"/>
      <c r="V32" s="81"/>
      <c r="W32" s="74"/>
      <c r="X32" s="73"/>
      <c r="Y32" s="73"/>
      <c r="Z32" s="73"/>
      <c r="AA32" s="82"/>
      <c r="AB32" s="82"/>
      <c r="AC32" s="73"/>
      <c r="AD32" s="73"/>
      <c r="AE32" s="73"/>
      <c r="AF32" s="73"/>
      <c r="AG32" s="83"/>
      <c r="AH32" s="83"/>
      <c r="AI32" s="83"/>
      <c r="AJ32" s="83"/>
      <c r="AL32" s="61"/>
    </row>
    <row r="33" ht="15.75" customHeight="1">
      <c r="G33" s="23"/>
      <c r="Q33" s="57"/>
      <c r="S33" s="57"/>
    </row>
    <row r="34" ht="15.75" customHeight="1">
      <c r="A34" s="29" t="s">
        <v>64</v>
      </c>
      <c r="G34" s="23"/>
      <c r="S34" s="57"/>
    </row>
    <row r="35" ht="15.75" customHeight="1">
      <c r="A35" s="30" t="s">
        <v>65</v>
      </c>
      <c r="B35" s="30"/>
      <c r="C35" s="30"/>
      <c r="D35" s="30"/>
      <c r="E35" s="30"/>
      <c r="F35" s="30"/>
      <c r="G35" s="23"/>
      <c r="S35" s="57"/>
    </row>
    <row r="36" ht="15.75" customHeight="1">
      <c r="A36" s="28" t="s">
        <v>66</v>
      </c>
      <c r="B36" s="30"/>
      <c r="C36" s="30"/>
      <c r="D36" s="30"/>
      <c r="E36" s="30"/>
      <c r="F36" s="30"/>
      <c r="G36" s="23"/>
    </row>
    <row r="37" ht="15.75" customHeight="1">
      <c r="A37" s="30" t="s">
        <v>67</v>
      </c>
      <c r="B37" s="30"/>
      <c r="C37" s="30"/>
      <c r="D37" s="30"/>
      <c r="E37" s="30"/>
      <c r="F37" s="30"/>
      <c r="G37" s="23"/>
    </row>
    <row r="38" ht="15.75" customHeight="1">
      <c r="A38" s="28" t="s">
        <v>68</v>
      </c>
      <c r="G38" s="23"/>
    </row>
    <row r="39" ht="15.75" customHeight="1">
      <c r="A39" s="28" t="s">
        <v>69</v>
      </c>
      <c r="G39" s="23"/>
    </row>
    <row r="40" ht="15.75" customHeight="1">
      <c r="G40" s="23"/>
    </row>
    <row r="41" ht="15.75" customHeight="1">
      <c r="A41" s="29" t="s">
        <v>70</v>
      </c>
    </row>
    <row r="42" ht="15.75" customHeight="1">
      <c r="A42" s="28" t="s">
        <v>71</v>
      </c>
    </row>
    <row r="43" ht="15.75" customHeight="1">
      <c r="A43" s="28" t="s">
        <v>72</v>
      </c>
    </row>
    <row r="44" ht="15.75" customHeight="1">
      <c r="A44" s="28" t="s">
        <v>73</v>
      </c>
    </row>
    <row r="45" ht="15.75" customHeight="1">
      <c r="A45" s="30" t="s">
        <v>74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ht="15.75" customHeight="1">
      <c r="A46" s="23" t="s">
        <v>75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ht="15.75" customHeight="1">
      <c r="A51" s="30"/>
      <c r="B51" s="23"/>
      <c r="C51" s="30"/>
      <c r="D51" s="23"/>
      <c r="E51" s="30"/>
      <c r="F51" s="23"/>
      <c r="G51" s="30"/>
      <c r="H51" s="30"/>
      <c r="I51" s="30"/>
      <c r="J51" s="30"/>
      <c r="K51" s="60"/>
      <c r="L51" s="30"/>
      <c r="M51" s="30"/>
      <c r="N51" s="60"/>
      <c r="O51" s="30"/>
      <c r="P51" s="23"/>
      <c r="Q51" s="30"/>
      <c r="R51" s="23"/>
    </row>
    <row r="52" ht="15.75" customHeight="1">
      <c r="A52" s="30"/>
      <c r="B52" s="23"/>
      <c r="C52" s="30"/>
      <c r="D52" s="23"/>
      <c r="E52" s="30"/>
      <c r="F52" s="23"/>
      <c r="G52" s="30"/>
      <c r="H52" s="30"/>
      <c r="I52" s="30"/>
      <c r="J52" s="30"/>
      <c r="K52" s="60"/>
      <c r="L52" s="30"/>
      <c r="M52" s="30"/>
      <c r="N52" s="60"/>
      <c r="O52" s="30"/>
      <c r="P52" s="23"/>
      <c r="Q52" s="30"/>
      <c r="R52" s="23"/>
    </row>
    <row r="53" ht="15.75" customHeight="1">
      <c r="A53" s="30"/>
      <c r="B53" s="23"/>
      <c r="C53" s="30"/>
      <c r="D53" s="23"/>
      <c r="E53" s="30"/>
      <c r="F53" s="23"/>
      <c r="G53" s="30"/>
      <c r="H53" s="30"/>
      <c r="I53" s="30"/>
      <c r="J53" s="30"/>
      <c r="K53" s="60"/>
      <c r="L53" s="30"/>
      <c r="M53" s="30"/>
      <c r="N53" s="60"/>
      <c r="O53" s="30"/>
      <c r="P53" s="23"/>
      <c r="Q53" s="30"/>
      <c r="R53" s="23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6">
    <mergeCell ref="T2:W2"/>
    <mergeCell ref="H6:L6"/>
    <mergeCell ref="T6:W6"/>
    <mergeCell ref="Z6:AB6"/>
    <mergeCell ref="AE6:AF6"/>
    <mergeCell ref="AG6:AH6"/>
  </mergeCells>
  <conditionalFormatting sqref="AG11:AJ32">
    <cfRule type="cellIs" dxfId="0" priority="1" operator="equal">
      <formula>"yes"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5" width="10.57"/>
    <col customWidth="1" min="6" max="6" width="8.71"/>
    <col customWidth="1" min="7" max="7" width="2.71"/>
    <col customWidth="1" min="8" max="10" width="8.71"/>
    <col customWidth="1" min="11" max="11" width="2.71"/>
    <col customWidth="1" min="12" max="12" width="12.57"/>
    <col customWidth="1" min="13" max="13" width="2.71"/>
    <col customWidth="1" min="14" max="15" width="8.71"/>
    <col customWidth="1" min="16" max="16" width="10.57"/>
    <col customWidth="1" min="17" max="17" width="2.71"/>
    <col customWidth="1" min="18" max="21" width="8.71"/>
    <col customWidth="1" min="22" max="22" width="2.71"/>
    <col customWidth="1" min="23" max="23" width="9.57"/>
    <col customWidth="1" min="24" max="25" width="8.71"/>
    <col customWidth="1" min="26" max="26" width="10.29"/>
    <col customWidth="1" min="27" max="28" width="8.71"/>
    <col customWidth="1" min="29" max="29" width="10.29"/>
    <col customWidth="1" min="30" max="30" width="8.71"/>
    <col customWidth="1" min="31" max="31" width="13.29"/>
    <col customWidth="1" min="33" max="33" width="14.71"/>
    <col customWidth="1" min="34" max="34" width="12.29"/>
    <col customWidth="1" min="35" max="35" width="8.71"/>
    <col customWidth="1" min="36" max="36" width="15.57"/>
    <col customWidth="1" min="37" max="39" width="8.71"/>
  </cols>
  <sheetData>
    <row r="1">
      <c r="A1" s="31" t="s">
        <v>76</v>
      </c>
    </row>
    <row r="2">
      <c r="D2" s="30"/>
      <c r="E2" s="30"/>
      <c r="F2" s="30"/>
      <c r="J2" s="28" t="s">
        <v>26</v>
      </c>
      <c r="R2" s="32" t="s">
        <v>27</v>
      </c>
      <c r="V2" s="32"/>
      <c r="W2" s="32"/>
    </row>
    <row r="3">
      <c r="D3" s="33" t="s">
        <v>28</v>
      </c>
      <c r="E3" s="33"/>
      <c r="F3" s="34">
        <v>4.0</v>
      </c>
      <c r="J3" s="28" t="s">
        <v>29</v>
      </c>
      <c r="R3" s="35" t="s">
        <v>30</v>
      </c>
      <c r="S3" s="35" t="s">
        <v>31</v>
      </c>
      <c r="T3" s="36" t="s">
        <v>32</v>
      </c>
      <c r="U3" s="35" t="s">
        <v>33</v>
      </c>
      <c r="V3" s="33"/>
      <c r="W3" s="33"/>
      <c r="Y3" s="31" t="s">
        <v>34</v>
      </c>
    </row>
    <row r="4">
      <c r="A4" s="30"/>
      <c r="B4" s="30"/>
      <c r="C4" s="30"/>
      <c r="D4" s="33" t="s">
        <v>35</v>
      </c>
      <c r="E4" s="33"/>
      <c r="F4" s="37" t="s">
        <v>36</v>
      </c>
      <c r="G4" s="30"/>
      <c r="H4" s="30"/>
      <c r="P4" s="30"/>
      <c r="Q4" s="30"/>
      <c r="R4" s="23">
        <v>10200.0</v>
      </c>
      <c r="S4" s="23">
        <v>10100.0</v>
      </c>
      <c r="T4" s="38">
        <v>1200.0</v>
      </c>
      <c r="U4" s="39">
        <f>SUM(R4:S4)</f>
        <v>20300</v>
      </c>
      <c r="V4" s="23"/>
      <c r="W4" s="23"/>
      <c r="Y4" s="31" t="s">
        <v>37</v>
      </c>
      <c r="Z4" s="30"/>
      <c r="AA4" s="30"/>
      <c r="AB4" s="30"/>
      <c r="AC4" s="30"/>
      <c r="AD4" s="30"/>
      <c r="AE4" s="30"/>
      <c r="AF4" s="30"/>
      <c r="AG4" s="30"/>
      <c r="AH4" s="30"/>
      <c r="AJ4" s="30"/>
    </row>
    <row r="5">
      <c r="A5" s="30"/>
      <c r="B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1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J5" s="30"/>
    </row>
    <row r="6" ht="15.0" customHeight="1">
      <c r="A6" s="40"/>
      <c r="B6" s="41" t="s">
        <v>38</v>
      </c>
      <c r="C6" s="41"/>
      <c r="D6" s="41"/>
      <c r="E6" s="41"/>
      <c r="F6" s="41"/>
      <c r="G6" s="40"/>
      <c r="H6" s="42" t="s">
        <v>39</v>
      </c>
      <c r="I6" s="43"/>
      <c r="J6" s="43"/>
      <c r="K6" s="44"/>
      <c r="L6" s="41" t="s">
        <v>40</v>
      </c>
      <c r="M6" s="40"/>
      <c r="N6" s="45" t="s">
        <v>33</v>
      </c>
      <c r="O6" s="44" t="s">
        <v>41</v>
      </c>
      <c r="P6" s="40"/>
      <c r="Q6" s="40"/>
      <c r="R6" s="42" t="s">
        <v>42</v>
      </c>
      <c r="S6" s="43"/>
      <c r="T6" s="43"/>
      <c r="U6" s="43"/>
      <c r="V6" s="44"/>
      <c r="W6" s="44"/>
      <c r="X6" s="46" t="s">
        <v>2</v>
      </c>
      <c r="Y6" s="47"/>
      <c r="Z6" s="47"/>
      <c r="AA6" s="40"/>
      <c r="AB6" s="40"/>
      <c r="AC6" s="42" t="s">
        <v>2</v>
      </c>
      <c r="AD6" s="43"/>
      <c r="AE6" s="42" t="s">
        <v>43</v>
      </c>
      <c r="AF6" s="43"/>
      <c r="AG6" s="48" t="s">
        <v>44</v>
      </c>
      <c r="AH6" s="48" t="s">
        <v>45</v>
      </c>
      <c r="AJ6" s="31"/>
    </row>
    <row r="7">
      <c r="A7" s="35" t="s">
        <v>3</v>
      </c>
      <c r="B7" s="35" t="s">
        <v>46</v>
      </c>
      <c r="C7" s="35" t="s">
        <v>47</v>
      </c>
      <c r="D7" s="49" t="s">
        <v>48</v>
      </c>
      <c r="E7" s="49" t="s">
        <v>49</v>
      </c>
      <c r="F7" s="50" t="s">
        <v>33</v>
      </c>
      <c r="H7" s="35" t="s">
        <v>77</v>
      </c>
      <c r="I7" s="35" t="s">
        <v>78</v>
      </c>
      <c r="J7" s="50" t="s">
        <v>33</v>
      </c>
      <c r="K7" s="35"/>
      <c r="L7" s="35" t="s">
        <v>33</v>
      </c>
      <c r="M7" s="35"/>
      <c r="N7" s="51" t="s">
        <v>54</v>
      </c>
      <c r="O7" s="52" t="s">
        <v>46</v>
      </c>
      <c r="P7" s="50" t="s">
        <v>55</v>
      </c>
      <c r="Q7" s="35"/>
      <c r="R7" s="35" t="s">
        <v>30</v>
      </c>
      <c r="S7" s="35" t="s">
        <v>31</v>
      </c>
      <c r="T7" s="36" t="s">
        <v>32</v>
      </c>
      <c r="U7" s="50" t="s">
        <v>33</v>
      </c>
      <c r="V7" s="35"/>
      <c r="W7" s="35" t="s">
        <v>56</v>
      </c>
      <c r="X7" s="35" t="s">
        <v>57</v>
      </c>
      <c r="Y7" s="35" t="s">
        <v>58</v>
      </c>
      <c r="Z7" s="35" t="s">
        <v>59</v>
      </c>
      <c r="AA7" s="35" t="s">
        <v>60</v>
      </c>
      <c r="AB7" s="35" t="s">
        <v>61</v>
      </c>
      <c r="AC7" s="35" t="s">
        <v>62</v>
      </c>
      <c r="AD7" s="35" t="s">
        <v>63</v>
      </c>
      <c r="AE7" s="35" t="s">
        <v>18</v>
      </c>
      <c r="AF7" s="35" t="s">
        <v>19</v>
      </c>
      <c r="AG7" s="53"/>
      <c r="AH7" s="53"/>
    </row>
    <row r="8">
      <c r="A8" s="28">
        <v>1999.0</v>
      </c>
      <c r="B8" s="23">
        <v>64814.0</v>
      </c>
      <c r="C8" s="23">
        <v>11923.0</v>
      </c>
      <c r="D8" s="23">
        <v>17725.0</v>
      </c>
      <c r="E8" s="23">
        <v>31643.0</v>
      </c>
      <c r="F8" s="59">
        <f t="shared" ref="F8:F27" si="1">SUM(B8:E8)</f>
        <v>126105</v>
      </c>
      <c r="G8" s="30"/>
      <c r="H8" s="23">
        <v>79402.0</v>
      </c>
      <c r="I8" s="23">
        <v>50139.0</v>
      </c>
      <c r="J8" s="59">
        <f t="shared" ref="J8:J27" si="2">H8+I8</f>
        <v>129541</v>
      </c>
      <c r="K8" s="23"/>
      <c r="L8" s="56">
        <v>1413.0</v>
      </c>
      <c r="M8" s="56"/>
      <c r="N8" s="59">
        <f t="shared" ref="N8:N27" si="3">F8+J8+L8</f>
        <v>257059</v>
      </c>
      <c r="O8" s="57">
        <v>0.45016508778967507</v>
      </c>
      <c r="P8" s="59">
        <f t="shared" ref="P8:P27" si="4">ROUND(B8*O8,0)</f>
        <v>29177</v>
      </c>
      <c r="Q8" s="23">
        <f t="shared" ref="Q8:Q27" si="5">P8/N8</f>
        <v>0.1135031257</v>
      </c>
      <c r="R8" s="58">
        <v>4566.0</v>
      </c>
      <c r="S8" s="58">
        <v>3017.0</v>
      </c>
      <c r="T8" s="38">
        <v>1766.0</v>
      </c>
      <c r="U8" s="59">
        <f t="shared" ref="U8:U27" si="6">SUM(R8:S8)</f>
        <v>7583</v>
      </c>
      <c r="V8" s="23"/>
      <c r="W8" s="23">
        <f>'UCI Coho DataOld'!tot_catch+'UCI Coho DataOld'!tot_esc</f>
        <v>264642</v>
      </c>
      <c r="X8" s="23">
        <f>'UCI Coho DataOld'!run-('UCI Coho DataOld'!tot_catch-'UCI Coho DataOld'!EEZ_catch)-'UCI Coho DataOld'!esc_index</f>
        <v>16460</v>
      </c>
      <c r="AA8" s="23"/>
      <c r="AB8" s="23"/>
      <c r="AC8" s="23"/>
      <c r="AD8" s="23"/>
      <c r="AL8" s="23"/>
      <c r="AM8" s="23"/>
    </row>
    <row r="9">
      <c r="A9" s="28">
        <v>2000.0</v>
      </c>
      <c r="B9" s="23">
        <v>131478.0</v>
      </c>
      <c r="C9" s="23">
        <v>11078.0</v>
      </c>
      <c r="D9" s="23">
        <v>22840.0</v>
      </c>
      <c r="E9" s="23">
        <v>71745.0</v>
      </c>
      <c r="F9" s="59">
        <f t="shared" si="1"/>
        <v>237141</v>
      </c>
      <c r="G9" s="30"/>
      <c r="H9" s="23">
        <v>134456.0</v>
      </c>
      <c r="I9" s="23">
        <v>67374.0</v>
      </c>
      <c r="J9" s="59">
        <f t="shared" si="2"/>
        <v>201830</v>
      </c>
      <c r="K9" s="23"/>
      <c r="L9" s="56">
        <v>3638.0</v>
      </c>
      <c r="M9" s="56"/>
      <c r="N9" s="59">
        <f t="shared" si="3"/>
        <v>442609</v>
      </c>
      <c r="O9" s="57">
        <v>0.5233556184304599</v>
      </c>
      <c r="P9" s="59">
        <f t="shared" si="4"/>
        <v>68810</v>
      </c>
      <c r="Q9" s="23">
        <f t="shared" si="5"/>
        <v>0.1554645296</v>
      </c>
      <c r="R9" s="23">
        <v>26387.0</v>
      </c>
      <c r="S9" s="23">
        <v>15436.0</v>
      </c>
      <c r="T9" s="38">
        <v>5218.0</v>
      </c>
      <c r="U9" s="59">
        <f t="shared" si="6"/>
        <v>41823</v>
      </c>
      <c r="V9" s="23"/>
      <c r="W9" s="23">
        <f>'UCI Coho DataOld'!tot_catch+'UCI Coho DataOld'!tot_esc</f>
        <v>484432</v>
      </c>
      <c r="X9" s="23">
        <f>'UCI Coho DataOld'!run-('UCI Coho DataOld'!tot_catch-'UCI Coho DataOld'!EEZ_catch)-'UCI Coho DataOld'!esc_index</f>
        <v>90333</v>
      </c>
      <c r="AA9" s="23"/>
      <c r="AB9" s="23"/>
      <c r="AC9" s="23"/>
      <c r="AD9" s="23"/>
      <c r="AL9" s="23"/>
      <c r="AM9" s="23"/>
    </row>
    <row r="10">
      <c r="A10" s="28">
        <v>2001.0</v>
      </c>
      <c r="B10" s="23">
        <v>39418.0</v>
      </c>
      <c r="C10" s="23">
        <v>4246.0</v>
      </c>
      <c r="D10" s="23">
        <v>23719.0</v>
      </c>
      <c r="E10" s="23">
        <v>45928.0</v>
      </c>
      <c r="F10" s="59">
        <f t="shared" si="1"/>
        <v>113311</v>
      </c>
      <c r="G10" s="30"/>
      <c r="H10" s="23">
        <v>132726.0</v>
      </c>
      <c r="I10" s="23">
        <v>69439.0</v>
      </c>
      <c r="J10" s="59">
        <f t="shared" si="2"/>
        <v>202165</v>
      </c>
      <c r="K10" s="23"/>
      <c r="L10" s="56">
        <v>2637.0</v>
      </c>
      <c r="M10" s="56"/>
      <c r="N10" s="59">
        <f t="shared" si="3"/>
        <v>318113</v>
      </c>
      <c r="O10" s="57">
        <v>0.4917550357704602</v>
      </c>
      <c r="P10" s="59">
        <f t="shared" si="4"/>
        <v>19384</v>
      </c>
      <c r="Q10" s="23">
        <f t="shared" si="5"/>
        <v>0.06093432208</v>
      </c>
      <c r="R10" s="23">
        <v>29927.0</v>
      </c>
      <c r="S10" s="23">
        <v>30587.0</v>
      </c>
      <c r="T10" s="38">
        <v>9247.0</v>
      </c>
      <c r="U10" s="59">
        <f t="shared" si="6"/>
        <v>60514</v>
      </c>
      <c r="V10" s="23"/>
      <c r="W10" s="23">
        <f>'UCI Coho DataOld'!tot_catch+'UCI Coho DataOld'!tot_esc</f>
        <v>378627</v>
      </c>
      <c r="X10" s="23">
        <f>'UCI Coho DataOld'!run-('UCI Coho DataOld'!tot_catch-'UCI Coho DataOld'!EEZ_catch)-'UCI Coho DataOld'!esc_index</f>
        <v>59598</v>
      </c>
      <c r="Y10" s="60"/>
      <c r="Z10" s="60"/>
      <c r="AA10" s="23"/>
      <c r="AB10" s="23"/>
      <c r="AC10" s="23"/>
      <c r="AD10" s="23"/>
      <c r="AE10" s="61"/>
      <c r="AF10" s="61"/>
      <c r="AG10" s="61"/>
      <c r="AH10" s="61"/>
      <c r="AL10" s="23"/>
      <c r="AM10" s="23"/>
    </row>
    <row r="11">
      <c r="A11" s="28">
        <v>2002.0</v>
      </c>
      <c r="B11" s="23">
        <v>125831.0</v>
      </c>
      <c r="C11" s="23">
        <v>35153.0</v>
      </c>
      <c r="D11" s="23">
        <v>35005.0</v>
      </c>
      <c r="E11" s="23">
        <v>50292.0</v>
      </c>
      <c r="F11" s="59">
        <f t="shared" si="1"/>
        <v>246281</v>
      </c>
      <c r="G11" s="30"/>
      <c r="H11" s="23">
        <v>126520.0</v>
      </c>
      <c r="I11" s="23">
        <v>86793.0</v>
      </c>
      <c r="J11" s="59">
        <f t="shared" si="2"/>
        <v>213313</v>
      </c>
      <c r="K11" s="23"/>
      <c r="L11" s="56">
        <v>3271.0</v>
      </c>
      <c r="M11" s="56"/>
      <c r="N11" s="59">
        <f t="shared" si="3"/>
        <v>462865</v>
      </c>
      <c r="O11" s="57">
        <v>0.5259832632658089</v>
      </c>
      <c r="P11" s="59">
        <f t="shared" si="4"/>
        <v>66185</v>
      </c>
      <c r="Q11" s="23">
        <f t="shared" si="5"/>
        <v>0.1429898567</v>
      </c>
      <c r="R11" s="23">
        <v>24612.0</v>
      </c>
      <c r="S11" s="23">
        <v>47938.0</v>
      </c>
      <c r="T11" s="38">
        <v>14651.0</v>
      </c>
      <c r="U11" s="59">
        <f t="shared" si="6"/>
        <v>72550</v>
      </c>
      <c r="V11" s="23"/>
      <c r="W11" s="23">
        <f>'UCI Coho DataOld'!tot_catch+'UCI Coho DataOld'!tot_esc</f>
        <v>535415</v>
      </c>
      <c r="X11" s="23">
        <f>'UCI Coho DataOld'!run-('UCI Coho DataOld'!tot_catch-'UCI Coho DataOld'!EEZ_catch)-'UCI Coho DataOld'!esc_index</f>
        <v>118435</v>
      </c>
      <c r="Y11" s="60">
        <f t="shared" ref="Y11:Y27" si="7">SUM(P8:P11)/SUM(W8:W11)</f>
        <v>0.1103687295</v>
      </c>
      <c r="Z11" s="60">
        <f t="shared" ref="Z11:Z27" si="8">SUM(X8:X11)/SUM(W8:W11)</f>
        <v>0.1712604533</v>
      </c>
      <c r="AA11" s="23">
        <f>'UCI Coho DataOld'!esc_index*'UCI Coho DataOld'!gen_time/2</f>
        <v>40600</v>
      </c>
      <c r="AB11" s="23">
        <f t="shared" ref="AB11:AB27" si="9">SUM(U8:U11)</f>
        <v>182470</v>
      </c>
      <c r="AC11" s="23">
        <f t="shared" ref="AC11:AC27" si="10">SUM(X8:X11)</f>
        <v>284826</v>
      </c>
      <c r="AD11" s="23">
        <f t="shared" ref="AD11:AD27" si="11">SUM(P8:P11)</f>
        <v>183556</v>
      </c>
      <c r="AE11" s="61" t="str">
        <f t="shared" ref="AE11:AE27" si="12">IF(Y11&gt;Z11,"Yes","No")</f>
        <v>No</v>
      </c>
      <c r="AF11" s="61" t="str">
        <f t="shared" ref="AF11:AF27" si="13">IF(AB11&lt;AA11,"Yes","No")</f>
        <v>No</v>
      </c>
      <c r="AG11" s="61" t="str">
        <f t="shared" ref="AG11:AG27" si="14">IF(AD11&lt;=AC11,"No","Yes")</f>
        <v>No</v>
      </c>
      <c r="AH11" s="61" t="str">
        <f t="shared" ref="AH11:AH27" si="15">IF(U11&lt;$U$4,"Yes","No")</f>
        <v>No</v>
      </c>
      <c r="AL11" s="23"/>
      <c r="AM11" s="23"/>
    </row>
    <row r="12">
      <c r="A12" s="28">
        <v>2003.0</v>
      </c>
      <c r="B12" s="23">
        <v>52432.0</v>
      </c>
      <c r="C12" s="23">
        <v>10171.0</v>
      </c>
      <c r="D12" s="23">
        <v>15138.0</v>
      </c>
      <c r="E12" s="23">
        <v>24015.0</v>
      </c>
      <c r="F12" s="59">
        <f t="shared" si="1"/>
        <v>101756</v>
      </c>
      <c r="G12" s="30"/>
      <c r="H12" s="23">
        <v>86854.0</v>
      </c>
      <c r="I12" s="23">
        <v>69238.0</v>
      </c>
      <c r="J12" s="59">
        <f t="shared" si="2"/>
        <v>156092</v>
      </c>
      <c r="K12" s="23"/>
      <c r="L12" s="56">
        <v>2250.0</v>
      </c>
      <c r="M12" s="56"/>
      <c r="N12" s="59">
        <f t="shared" si="3"/>
        <v>260098</v>
      </c>
      <c r="O12" s="57">
        <v>0.4977017851693622</v>
      </c>
      <c r="P12" s="59">
        <f t="shared" si="4"/>
        <v>26096</v>
      </c>
      <c r="Q12" s="23">
        <f t="shared" si="5"/>
        <v>0.1003314135</v>
      </c>
      <c r="R12" s="23">
        <v>17305.0</v>
      </c>
      <c r="S12" s="23">
        <v>10877.0</v>
      </c>
      <c r="T12" s="38">
        <v>1231.0</v>
      </c>
      <c r="U12" s="59">
        <f t="shared" si="6"/>
        <v>28182</v>
      </c>
      <c r="V12" s="23"/>
      <c r="W12" s="23">
        <f>'UCI Coho DataOld'!tot_catch+'UCI Coho DataOld'!tot_esc</f>
        <v>288280</v>
      </c>
      <c r="X12" s="23">
        <f>'UCI Coho DataOld'!run-('UCI Coho DataOld'!tot_catch-'UCI Coho DataOld'!EEZ_catch)-'UCI Coho DataOld'!esc_index</f>
        <v>33978</v>
      </c>
      <c r="Y12" s="60">
        <f t="shared" si="7"/>
        <v>0.1069954481</v>
      </c>
      <c r="Z12" s="60">
        <f t="shared" si="8"/>
        <v>0.1792460548</v>
      </c>
      <c r="AA12" s="23">
        <f>'UCI Coho DataOld'!esc_index*'UCI Coho DataOld'!gen_time/2</f>
        <v>40600</v>
      </c>
      <c r="AB12" s="23">
        <f t="shared" si="9"/>
        <v>203069</v>
      </c>
      <c r="AC12" s="23">
        <f t="shared" si="10"/>
        <v>302344</v>
      </c>
      <c r="AD12" s="23">
        <f t="shared" si="11"/>
        <v>180475</v>
      </c>
      <c r="AE12" s="61" t="str">
        <f t="shared" si="12"/>
        <v>No</v>
      </c>
      <c r="AF12" s="61" t="str">
        <f t="shared" si="13"/>
        <v>No</v>
      </c>
      <c r="AG12" s="61" t="str">
        <f t="shared" si="14"/>
        <v>No</v>
      </c>
      <c r="AH12" s="61" t="str">
        <f t="shared" si="15"/>
        <v>No</v>
      </c>
      <c r="AL12" s="23"/>
      <c r="AM12" s="23"/>
    </row>
    <row r="13">
      <c r="A13" s="28">
        <v>2004.0</v>
      </c>
      <c r="B13" s="23">
        <v>199587.0</v>
      </c>
      <c r="C13" s="23">
        <v>30154.0</v>
      </c>
      <c r="D13" s="23">
        <v>36498.0</v>
      </c>
      <c r="E13" s="23">
        <v>44819.0</v>
      </c>
      <c r="F13" s="59">
        <f t="shared" si="1"/>
        <v>311058</v>
      </c>
      <c r="G13" s="30"/>
      <c r="H13" s="23">
        <v>101783.0</v>
      </c>
      <c r="I13" s="23">
        <v>91542.0</v>
      </c>
      <c r="J13" s="59">
        <f t="shared" si="2"/>
        <v>193325</v>
      </c>
      <c r="K13" s="23"/>
      <c r="L13" s="56">
        <v>3754.0</v>
      </c>
      <c r="M13" s="56"/>
      <c r="N13" s="59">
        <f t="shared" si="3"/>
        <v>508137</v>
      </c>
      <c r="O13" s="57">
        <v>0.4654023057613973</v>
      </c>
      <c r="P13" s="59">
        <f t="shared" si="4"/>
        <v>92888</v>
      </c>
      <c r="Q13" s="23">
        <f t="shared" si="5"/>
        <v>0.182801095</v>
      </c>
      <c r="R13" s="23">
        <v>62940.0</v>
      </c>
      <c r="S13" s="23">
        <v>40199.0</v>
      </c>
      <c r="T13" s="38">
        <v>1415.0</v>
      </c>
      <c r="U13" s="59">
        <f t="shared" si="6"/>
        <v>103139</v>
      </c>
      <c r="V13" s="23"/>
      <c r="W13" s="23">
        <f>'UCI Coho DataOld'!tot_catch+'UCI Coho DataOld'!tot_esc</f>
        <v>611276</v>
      </c>
      <c r="X13" s="23">
        <f>'UCI Coho DataOld'!run-('UCI Coho DataOld'!tot_catch-'UCI Coho DataOld'!EEZ_catch)-'UCI Coho DataOld'!esc_index</f>
        <v>175727</v>
      </c>
      <c r="Y13" s="60">
        <f t="shared" si="7"/>
        <v>0.1127885011</v>
      </c>
      <c r="Z13" s="60">
        <f t="shared" si="8"/>
        <v>0.2137948983</v>
      </c>
      <c r="AA13" s="23">
        <f>'UCI Coho DataOld'!esc_index*'UCI Coho DataOld'!gen_time/2</f>
        <v>40600</v>
      </c>
      <c r="AB13" s="23">
        <f t="shared" si="9"/>
        <v>264385</v>
      </c>
      <c r="AC13" s="23">
        <f t="shared" si="10"/>
        <v>387738</v>
      </c>
      <c r="AD13" s="23">
        <f t="shared" si="11"/>
        <v>204553</v>
      </c>
      <c r="AE13" s="61" t="str">
        <f t="shared" si="12"/>
        <v>No</v>
      </c>
      <c r="AF13" s="61" t="str">
        <f t="shared" si="13"/>
        <v>No</v>
      </c>
      <c r="AG13" s="61" t="str">
        <f t="shared" si="14"/>
        <v>No</v>
      </c>
      <c r="AH13" s="61" t="str">
        <f t="shared" si="15"/>
        <v>No</v>
      </c>
      <c r="AL13" s="23"/>
      <c r="AM13" s="23"/>
    </row>
    <row r="14">
      <c r="A14" s="28">
        <v>2005.0</v>
      </c>
      <c r="B14" s="23">
        <v>144753.0</v>
      </c>
      <c r="C14" s="23">
        <v>19543.0</v>
      </c>
      <c r="D14" s="23">
        <v>29502.0</v>
      </c>
      <c r="E14" s="23">
        <v>30859.0</v>
      </c>
      <c r="F14" s="59">
        <f t="shared" si="1"/>
        <v>224657</v>
      </c>
      <c r="G14" s="30"/>
      <c r="H14" s="23">
        <v>90599.0</v>
      </c>
      <c r="I14" s="23">
        <v>68699.0</v>
      </c>
      <c r="J14" s="59">
        <f t="shared" si="2"/>
        <v>159298</v>
      </c>
      <c r="K14" s="23"/>
      <c r="L14" s="56">
        <v>3415.0</v>
      </c>
      <c r="M14" s="56"/>
      <c r="N14" s="59">
        <f t="shared" si="3"/>
        <v>387370</v>
      </c>
      <c r="O14" s="57">
        <v>0.46607669616519176</v>
      </c>
      <c r="P14" s="59">
        <f t="shared" si="4"/>
        <v>67466</v>
      </c>
      <c r="Q14" s="23">
        <f t="shared" si="5"/>
        <v>0.1741642357</v>
      </c>
      <c r="R14" s="23">
        <v>47887.0</v>
      </c>
      <c r="S14" s="23">
        <v>16839.0</v>
      </c>
      <c r="T14" s="38">
        <v>3011.0</v>
      </c>
      <c r="U14" s="59">
        <f t="shared" si="6"/>
        <v>64726</v>
      </c>
      <c r="V14" s="23"/>
      <c r="W14" s="23">
        <f>'UCI Coho DataOld'!tot_catch+'UCI Coho DataOld'!tot_esc</f>
        <v>452096</v>
      </c>
      <c r="X14" s="23">
        <f>'UCI Coho DataOld'!run-('UCI Coho DataOld'!tot_catch-'UCI Coho DataOld'!EEZ_catch)-'UCI Coho DataOld'!esc_index</f>
        <v>111892</v>
      </c>
      <c r="Y14" s="60">
        <f t="shared" si="7"/>
        <v>0.1338770695</v>
      </c>
      <c r="Z14" s="60">
        <f t="shared" si="8"/>
        <v>0.2331830295</v>
      </c>
      <c r="AA14" s="23">
        <f>'UCI Coho DataOld'!esc_index*'UCI Coho DataOld'!gen_time/2</f>
        <v>40600</v>
      </c>
      <c r="AB14" s="23">
        <f t="shared" si="9"/>
        <v>268597</v>
      </c>
      <c r="AC14" s="23">
        <f t="shared" si="10"/>
        <v>440032</v>
      </c>
      <c r="AD14" s="23">
        <f t="shared" si="11"/>
        <v>252635</v>
      </c>
      <c r="AE14" s="61" t="str">
        <f t="shared" si="12"/>
        <v>No</v>
      </c>
      <c r="AF14" s="61" t="str">
        <f t="shared" si="13"/>
        <v>No</v>
      </c>
      <c r="AG14" s="61" t="str">
        <f t="shared" si="14"/>
        <v>No</v>
      </c>
      <c r="AH14" s="61" t="str">
        <f t="shared" si="15"/>
        <v>No</v>
      </c>
      <c r="AL14" s="23"/>
      <c r="AM14" s="23"/>
    </row>
    <row r="15">
      <c r="A15" s="28">
        <v>2006.0</v>
      </c>
      <c r="B15" s="23">
        <v>98473.0</v>
      </c>
      <c r="C15" s="23">
        <v>22167.0</v>
      </c>
      <c r="D15" s="23">
        <v>36845.0</v>
      </c>
      <c r="E15" s="23">
        <v>20368.0</v>
      </c>
      <c r="F15" s="59">
        <f t="shared" si="1"/>
        <v>177853</v>
      </c>
      <c r="G15" s="30"/>
      <c r="H15" s="23">
        <v>117494.0</v>
      </c>
      <c r="I15" s="23">
        <v>58760.0</v>
      </c>
      <c r="J15" s="59">
        <f t="shared" si="2"/>
        <v>176254</v>
      </c>
      <c r="K15" s="23"/>
      <c r="L15" s="56">
        <v>3759.0</v>
      </c>
      <c r="M15" s="56"/>
      <c r="N15" s="59">
        <f t="shared" si="3"/>
        <v>357866</v>
      </c>
      <c r="O15" s="57">
        <v>0.4804464167842962</v>
      </c>
      <c r="P15" s="59">
        <f t="shared" si="4"/>
        <v>47311</v>
      </c>
      <c r="Q15" s="23">
        <f t="shared" si="5"/>
        <v>0.1322031151</v>
      </c>
      <c r="R15" s="23">
        <v>59419.0</v>
      </c>
      <c r="S15" s="58">
        <v>8786.0</v>
      </c>
      <c r="T15" s="38">
        <v>4967.0</v>
      </c>
      <c r="U15" s="59">
        <f t="shared" si="6"/>
        <v>68205</v>
      </c>
      <c r="V15" s="23"/>
      <c r="W15" s="23">
        <f>'UCI Coho DataOld'!tot_catch+'UCI Coho DataOld'!tot_esc</f>
        <v>426071</v>
      </c>
      <c r="X15" s="23">
        <f>'UCI Coho DataOld'!run-('UCI Coho DataOld'!tot_catch-'UCI Coho DataOld'!EEZ_catch)-'UCI Coho DataOld'!esc_index</f>
        <v>95216</v>
      </c>
      <c r="Y15" s="60">
        <f t="shared" si="7"/>
        <v>0.1314946142</v>
      </c>
      <c r="Z15" s="60">
        <f t="shared" si="8"/>
        <v>0.2344645369</v>
      </c>
      <c r="AA15" s="23">
        <f>'UCI Coho DataOld'!esc_index*'UCI Coho DataOld'!gen_time/2</f>
        <v>40600</v>
      </c>
      <c r="AB15" s="23">
        <f t="shared" si="9"/>
        <v>264252</v>
      </c>
      <c r="AC15" s="23">
        <f t="shared" si="10"/>
        <v>416813</v>
      </c>
      <c r="AD15" s="23">
        <f t="shared" si="11"/>
        <v>233761</v>
      </c>
      <c r="AE15" s="61" t="str">
        <f t="shared" si="12"/>
        <v>No</v>
      </c>
      <c r="AF15" s="61" t="str">
        <f t="shared" si="13"/>
        <v>No</v>
      </c>
      <c r="AG15" s="61" t="str">
        <f t="shared" si="14"/>
        <v>No</v>
      </c>
      <c r="AH15" s="61" t="str">
        <f t="shared" si="15"/>
        <v>No</v>
      </c>
      <c r="AL15" s="23"/>
      <c r="AM15" s="23"/>
    </row>
    <row r="16">
      <c r="A16" s="28">
        <v>2007.0</v>
      </c>
      <c r="B16" s="23">
        <v>108703.0</v>
      </c>
      <c r="C16" s="23">
        <v>23610.0</v>
      </c>
      <c r="D16" s="23">
        <v>23495.0</v>
      </c>
      <c r="E16" s="23">
        <v>21531.0</v>
      </c>
      <c r="F16" s="59">
        <f t="shared" si="1"/>
        <v>177339</v>
      </c>
      <c r="G16" s="30"/>
      <c r="H16" s="23">
        <v>81266.0</v>
      </c>
      <c r="I16" s="23">
        <v>52233.0</v>
      </c>
      <c r="J16" s="59">
        <f t="shared" si="2"/>
        <v>133499</v>
      </c>
      <c r="K16" s="23"/>
      <c r="L16" s="56">
        <v>2727.0</v>
      </c>
      <c r="M16" s="56"/>
      <c r="N16" s="59">
        <f t="shared" si="3"/>
        <v>313565</v>
      </c>
      <c r="O16" s="57">
        <v>0.623885725324968</v>
      </c>
      <c r="P16" s="59">
        <f t="shared" si="4"/>
        <v>67818</v>
      </c>
      <c r="Q16" s="23">
        <f t="shared" si="5"/>
        <v>0.216280516</v>
      </c>
      <c r="R16" s="23">
        <v>10575.0</v>
      </c>
      <c r="S16" s="23">
        <v>17573.0</v>
      </c>
      <c r="T16" s="38">
        <v>6868.0</v>
      </c>
      <c r="U16" s="59">
        <f t="shared" si="6"/>
        <v>28148</v>
      </c>
      <c r="V16" s="23"/>
      <c r="W16" s="23">
        <f>'UCI Coho DataOld'!tot_catch+'UCI Coho DataOld'!tot_esc</f>
        <v>341713</v>
      </c>
      <c r="X16" s="23">
        <f>'UCI Coho DataOld'!run-('UCI Coho DataOld'!tot_catch-'UCI Coho DataOld'!EEZ_catch)-'UCI Coho DataOld'!esc_index</f>
        <v>75666</v>
      </c>
      <c r="Y16" s="60">
        <f t="shared" si="7"/>
        <v>0.1504421251</v>
      </c>
      <c r="Z16" s="60">
        <f t="shared" si="8"/>
        <v>0.2503888254</v>
      </c>
      <c r="AA16" s="23">
        <f>'UCI Coho DataOld'!esc_index*'UCI Coho DataOld'!gen_time/2</f>
        <v>40600</v>
      </c>
      <c r="AB16" s="23">
        <f t="shared" si="9"/>
        <v>264218</v>
      </c>
      <c r="AC16" s="23">
        <f t="shared" si="10"/>
        <v>458501</v>
      </c>
      <c r="AD16" s="23">
        <f t="shared" si="11"/>
        <v>275483</v>
      </c>
      <c r="AE16" s="61" t="str">
        <f t="shared" si="12"/>
        <v>No</v>
      </c>
      <c r="AF16" s="61" t="str">
        <f t="shared" si="13"/>
        <v>No</v>
      </c>
      <c r="AG16" s="61" t="str">
        <f t="shared" si="14"/>
        <v>No</v>
      </c>
      <c r="AH16" s="61" t="str">
        <f t="shared" si="15"/>
        <v>No</v>
      </c>
      <c r="AL16" s="23"/>
      <c r="AM16" s="23"/>
    </row>
    <row r="17">
      <c r="A17" s="28">
        <v>2008.0</v>
      </c>
      <c r="B17" s="23">
        <v>89428.0</v>
      </c>
      <c r="C17" s="23">
        <v>21823.0</v>
      </c>
      <c r="D17" s="23">
        <v>18441.0</v>
      </c>
      <c r="E17" s="23">
        <v>42177.0</v>
      </c>
      <c r="F17" s="59">
        <f t="shared" si="1"/>
        <v>171869</v>
      </c>
      <c r="G17" s="30"/>
      <c r="H17" s="23">
        <v>110373.0</v>
      </c>
      <c r="I17" s="23">
        <v>67869.0</v>
      </c>
      <c r="J17" s="59">
        <f t="shared" si="2"/>
        <v>178242</v>
      </c>
      <c r="K17" s="23"/>
      <c r="L17" s="62">
        <v>3249.0</v>
      </c>
      <c r="M17" s="62"/>
      <c r="N17" s="59">
        <f t="shared" si="3"/>
        <v>353360</v>
      </c>
      <c r="O17" s="57">
        <v>0.4623384174978754</v>
      </c>
      <c r="P17" s="59">
        <f t="shared" si="4"/>
        <v>41346</v>
      </c>
      <c r="Q17" s="23">
        <f t="shared" si="5"/>
        <v>0.1170081503</v>
      </c>
      <c r="R17" s="23">
        <v>12724.0</v>
      </c>
      <c r="S17" s="23">
        <v>18485.0</v>
      </c>
      <c r="T17" s="38">
        <v>4868.0</v>
      </c>
      <c r="U17" s="59">
        <f t="shared" si="6"/>
        <v>31209</v>
      </c>
      <c r="V17" s="23"/>
      <c r="W17" s="23">
        <f>'UCI Coho DataOld'!tot_catch+'UCI Coho DataOld'!tot_esc</f>
        <v>384569</v>
      </c>
      <c r="X17" s="23">
        <f>'UCI Coho DataOld'!run-('UCI Coho DataOld'!tot_catch-'UCI Coho DataOld'!EEZ_catch)-'UCI Coho DataOld'!esc_index</f>
        <v>52255</v>
      </c>
      <c r="Y17" s="60">
        <f t="shared" si="7"/>
        <v>0.1395750192</v>
      </c>
      <c r="Z17" s="60">
        <f t="shared" si="8"/>
        <v>0.2088124958</v>
      </c>
      <c r="AA17" s="23">
        <f>'UCI Coho DataOld'!esc_index*'UCI Coho DataOld'!gen_time/2</f>
        <v>40600</v>
      </c>
      <c r="AB17" s="23">
        <f t="shared" si="9"/>
        <v>192288</v>
      </c>
      <c r="AC17" s="23">
        <f t="shared" si="10"/>
        <v>335029</v>
      </c>
      <c r="AD17" s="23">
        <f t="shared" si="11"/>
        <v>223941</v>
      </c>
      <c r="AE17" s="61" t="str">
        <f t="shared" si="12"/>
        <v>No</v>
      </c>
      <c r="AF17" s="61" t="str">
        <f t="shared" si="13"/>
        <v>No</v>
      </c>
      <c r="AG17" s="61" t="str">
        <f t="shared" si="14"/>
        <v>No</v>
      </c>
      <c r="AH17" s="61" t="str">
        <f t="shared" si="15"/>
        <v>No</v>
      </c>
      <c r="AL17" s="23"/>
      <c r="AM17" s="23"/>
    </row>
    <row r="18">
      <c r="A18" s="28">
        <v>2009.0</v>
      </c>
      <c r="B18" s="23">
        <v>82096.0</v>
      </c>
      <c r="C18" s="23">
        <v>11435.0</v>
      </c>
      <c r="D18" s="23">
        <v>22050.0</v>
      </c>
      <c r="E18" s="23">
        <v>37629.0</v>
      </c>
      <c r="F18" s="59">
        <f t="shared" si="1"/>
        <v>153210</v>
      </c>
      <c r="G18" s="30"/>
      <c r="H18" s="23">
        <v>89179.0</v>
      </c>
      <c r="I18" s="23">
        <v>65540.0</v>
      </c>
      <c r="J18" s="59">
        <f t="shared" si="2"/>
        <v>154719</v>
      </c>
      <c r="K18" s="23"/>
      <c r="L18" s="56">
        <v>4204.0</v>
      </c>
      <c r="M18" s="56"/>
      <c r="N18" s="59">
        <f t="shared" si="3"/>
        <v>312133</v>
      </c>
      <c r="O18" s="57">
        <v>0.4770555075304689</v>
      </c>
      <c r="P18" s="59">
        <f t="shared" si="4"/>
        <v>39164</v>
      </c>
      <c r="Q18" s="23">
        <f t="shared" si="5"/>
        <v>0.1254721545</v>
      </c>
      <c r="R18" s="23">
        <v>27348.0</v>
      </c>
      <c r="S18" s="58">
        <v>9523.0</v>
      </c>
      <c r="T18" s="38">
        <v>8214.0</v>
      </c>
      <c r="U18" s="59">
        <f t="shared" si="6"/>
        <v>36871</v>
      </c>
      <c r="V18" s="23"/>
      <c r="W18" s="23">
        <f>'UCI Coho DataOld'!tot_catch+'UCI Coho DataOld'!tot_esc</f>
        <v>349004</v>
      </c>
      <c r="X18" s="23">
        <f>'UCI Coho DataOld'!run-('UCI Coho DataOld'!tot_catch-'UCI Coho DataOld'!EEZ_catch)-'UCI Coho DataOld'!esc_index</f>
        <v>55735</v>
      </c>
      <c r="Y18" s="60">
        <f t="shared" si="7"/>
        <v>0.1303081146</v>
      </c>
      <c r="Z18" s="60">
        <f t="shared" si="8"/>
        <v>0.1857466279</v>
      </c>
      <c r="AA18" s="23">
        <f>'UCI Coho DataOld'!esc_index*'UCI Coho DataOld'!gen_time/2</f>
        <v>40600</v>
      </c>
      <c r="AB18" s="23">
        <f t="shared" si="9"/>
        <v>164433</v>
      </c>
      <c r="AC18" s="23">
        <f t="shared" si="10"/>
        <v>278872</v>
      </c>
      <c r="AD18" s="23">
        <f t="shared" si="11"/>
        <v>195639</v>
      </c>
      <c r="AE18" s="61" t="str">
        <f t="shared" si="12"/>
        <v>No</v>
      </c>
      <c r="AF18" s="61" t="str">
        <f t="shared" si="13"/>
        <v>No</v>
      </c>
      <c r="AG18" s="61" t="str">
        <f t="shared" si="14"/>
        <v>No</v>
      </c>
      <c r="AH18" s="61" t="str">
        <f t="shared" si="15"/>
        <v>No</v>
      </c>
      <c r="AL18" s="23"/>
      <c r="AM18" s="23"/>
    </row>
    <row r="19">
      <c r="A19" s="28">
        <v>2010.0</v>
      </c>
      <c r="B19" s="23">
        <v>110275.0</v>
      </c>
      <c r="C19" s="23">
        <v>32683.0</v>
      </c>
      <c r="D19" s="23">
        <v>26281.0</v>
      </c>
      <c r="E19" s="23">
        <v>38111.0</v>
      </c>
      <c r="F19" s="59">
        <f t="shared" si="1"/>
        <v>207350</v>
      </c>
      <c r="G19" s="30"/>
      <c r="H19" s="23">
        <v>70192.0</v>
      </c>
      <c r="I19" s="23">
        <v>65143.0</v>
      </c>
      <c r="J19" s="59">
        <f t="shared" si="2"/>
        <v>135335</v>
      </c>
      <c r="K19" s="23"/>
      <c r="L19" s="56">
        <v>8405.0</v>
      </c>
      <c r="M19" s="56"/>
      <c r="N19" s="59">
        <f t="shared" si="3"/>
        <v>351090</v>
      </c>
      <c r="O19" s="57">
        <v>0.5546610745862616</v>
      </c>
      <c r="P19" s="59">
        <f t="shared" si="4"/>
        <v>61165</v>
      </c>
      <c r="Q19" s="23">
        <f t="shared" si="5"/>
        <v>0.1742145889</v>
      </c>
      <c r="R19" s="23">
        <v>10393.0</v>
      </c>
      <c r="S19" s="58">
        <v>9214.0</v>
      </c>
      <c r="T19" s="38">
        <v>6977.0</v>
      </c>
      <c r="U19" s="59">
        <f t="shared" si="6"/>
        <v>19607</v>
      </c>
      <c r="V19" s="23"/>
      <c r="W19" s="23">
        <f>'UCI Coho DataOld'!tot_catch+'UCI Coho DataOld'!tot_esc</f>
        <v>370697</v>
      </c>
      <c r="X19" s="23">
        <f>'UCI Coho DataOld'!run-('UCI Coho DataOld'!tot_catch-'UCI Coho DataOld'!EEZ_catch)-'UCI Coho DataOld'!esc_index</f>
        <v>60472</v>
      </c>
      <c r="Y19" s="60">
        <f t="shared" si="7"/>
        <v>0.1448792966</v>
      </c>
      <c r="Z19" s="60">
        <f t="shared" si="8"/>
        <v>0.1688318604</v>
      </c>
      <c r="AA19" s="23">
        <f>'UCI Coho DataOld'!esc_index*'UCI Coho DataOld'!gen_time/2</f>
        <v>40600</v>
      </c>
      <c r="AB19" s="23">
        <f t="shared" si="9"/>
        <v>115835</v>
      </c>
      <c r="AC19" s="23">
        <f t="shared" si="10"/>
        <v>244128</v>
      </c>
      <c r="AD19" s="23">
        <f t="shared" si="11"/>
        <v>209493</v>
      </c>
      <c r="AE19" s="61" t="str">
        <f t="shared" si="12"/>
        <v>No</v>
      </c>
      <c r="AF19" s="61" t="str">
        <f t="shared" si="13"/>
        <v>No</v>
      </c>
      <c r="AG19" s="61" t="str">
        <f t="shared" si="14"/>
        <v>No</v>
      </c>
      <c r="AH19" s="61" t="str">
        <f t="shared" si="15"/>
        <v>Yes</v>
      </c>
      <c r="AL19" s="23"/>
      <c r="AM19" s="23"/>
    </row>
    <row r="20">
      <c r="A20" s="28">
        <v>2011.0</v>
      </c>
      <c r="B20" s="23">
        <v>40858.0</v>
      </c>
      <c r="C20" s="23">
        <v>15560.0</v>
      </c>
      <c r="D20" s="23">
        <v>16760.0</v>
      </c>
      <c r="E20" s="23">
        <v>22113.0</v>
      </c>
      <c r="F20" s="59">
        <f t="shared" si="1"/>
        <v>95291</v>
      </c>
      <c r="G20" s="30"/>
      <c r="H20" s="23">
        <v>43987.0</v>
      </c>
      <c r="I20" s="23">
        <v>57208.0</v>
      </c>
      <c r="J20" s="59">
        <f t="shared" si="2"/>
        <v>101195</v>
      </c>
      <c r="K20" s="23"/>
      <c r="L20" s="56">
        <v>6754.0</v>
      </c>
      <c r="M20" s="56"/>
      <c r="N20" s="59">
        <f t="shared" si="3"/>
        <v>203240</v>
      </c>
      <c r="O20" s="57">
        <v>0.4692655049194772</v>
      </c>
      <c r="P20" s="59">
        <f t="shared" si="4"/>
        <v>19173</v>
      </c>
      <c r="Q20" s="23">
        <f t="shared" si="5"/>
        <v>0.09433674474</v>
      </c>
      <c r="R20" s="58">
        <v>7326.0</v>
      </c>
      <c r="S20" s="58">
        <v>4826.0</v>
      </c>
      <c r="T20" s="38">
        <v>1428.0</v>
      </c>
      <c r="U20" s="59">
        <f t="shared" si="6"/>
        <v>12152</v>
      </c>
      <c r="V20" s="23"/>
      <c r="W20" s="23">
        <f>'UCI Coho DataOld'!tot_catch+'UCI Coho DataOld'!tot_esc</f>
        <v>215392</v>
      </c>
      <c r="X20" s="23">
        <f>'UCI Coho DataOld'!run-('UCI Coho DataOld'!tot_catch-'UCI Coho DataOld'!EEZ_catch)-'UCI Coho DataOld'!esc_index</f>
        <v>11025</v>
      </c>
      <c r="Y20" s="60">
        <f t="shared" si="7"/>
        <v>0.1218857556</v>
      </c>
      <c r="Z20" s="60">
        <f t="shared" si="8"/>
        <v>0.1360098268</v>
      </c>
      <c r="AA20" s="23">
        <f>'UCI Coho DataOld'!esc_index*'UCI Coho DataOld'!gen_time/2</f>
        <v>40600</v>
      </c>
      <c r="AB20" s="23">
        <f t="shared" si="9"/>
        <v>99839</v>
      </c>
      <c r="AC20" s="23">
        <f t="shared" si="10"/>
        <v>179487</v>
      </c>
      <c r="AD20" s="23">
        <f t="shared" si="11"/>
        <v>160848</v>
      </c>
      <c r="AE20" s="61" t="str">
        <f t="shared" si="12"/>
        <v>No</v>
      </c>
      <c r="AF20" s="61" t="str">
        <f t="shared" si="13"/>
        <v>No</v>
      </c>
      <c r="AG20" s="61" t="str">
        <f t="shared" si="14"/>
        <v>No</v>
      </c>
      <c r="AH20" s="61" t="str">
        <f t="shared" si="15"/>
        <v>Yes</v>
      </c>
      <c r="AL20" s="23"/>
      <c r="AM20" s="23"/>
    </row>
    <row r="21" ht="15.75" customHeight="1">
      <c r="A21" s="28">
        <v>2012.0</v>
      </c>
      <c r="B21" s="23">
        <v>74678.0</v>
      </c>
      <c r="C21" s="23">
        <v>6537.0</v>
      </c>
      <c r="D21" s="23">
        <v>12354.0</v>
      </c>
      <c r="E21" s="23">
        <v>13206.0</v>
      </c>
      <c r="F21" s="59">
        <f t="shared" si="1"/>
        <v>106775</v>
      </c>
      <c r="G21" s="23"/>
      <c r="H21" s="23">
        <v>34077.0</v>
      </c>
      <c r="I21" s="23">
        <v>51007.0</v>
      </c>
      <c r="J21" s="59">
        <f t="shared" si="2"/>
        <v>85084</v>
      </c>
      <c r="K21" s="23"/>
      <c r="L21" s="56">
        <v>5512.3123209557325</v>
      </c>
      <c r="M21" s="56"/>
      <c r="N21" s="59">
        <f t="shared" si="3"/>
        <v>197371.3123</v>
      </c>
      <c r="O21" s="57">
        <v>0.49337488952569697</v>
      </c>
      <c r="P21" s="59">
        <f t="shared" si="4"/>
        <v>36844</v>
      </c>
      <c r="Q21" s="23">
        <f t="shared" si="5"/>
        <v>0.1866735321</v>
      </c>
      <c r="R21" s="58">
        <v>6825.0</v>
      </c>
      <c r="S21" s="58">
        <v>6779.0</v>
      </c>
      <c r="T21" s="38">
        <v>1237.0</v>
      </c>
      <c r="U21" s="59">
        <f t="shared" si="6"/>
        <v>13604</v>
      </c>
      <c r="V21" s="23"/>
      <c r="W21" s="23">
        <f>'UCI Coho DataOld'!tot_catch+'UCI Coho DataOld'!tot_esc</f>
        <v>210975.3123</v>
      </c>
      <c r="X21" s="23">
        <f>'UCI Coho DataOld'!run-('UCI Coho DataOld'!tot_catch-'UCI Coho DataOld'!EEZ_catch)-'UCI Coho DataOld'!esc_index</f>
        <v>30148</v>
      </c>
      <c r="Y21" s="60">
        <f t="shared" si="7"/>
        <v>0.1364194423</v>
      </c>
      <c r="Z21" s="60">
        <f t="shared" si="8"/>
        <v>0.1373216573</v>
      </c>
      <c r="AA21" s="23">
        <f>'UCI Coho DataOld'!esc_index*'UCI Coho DataOld'!gen_time/2</f>
        <v>40600</v>
      </c>
      <c r="AB21" s="23">
        <f t="shared" si="9"/>
        <v>82234</v>
      </c>
      <c r="AC21" s="23">
        <f t="shared" si="10"/>
        <v>157380</v>
      </c>
      <c r="AD21" s="23">
        <f t="shared" si="11"/>
        <v>156346</v>
      </c>
      <c r="AE21" s="61" t="str">
        <f t="shared" si="12"/>
        <v>No</v>
      </c>
      <c r="AF21" s="61" t="str">
        <f t="shared" si="13"/>
        <v>No</v>
      </c>
      <c r="AG21" s="61" t="str">
        <f t="shared" si="14"/>
        <v>No</v>
      </c>
      <c r="AH21" s="61" t="str">
        <f t="shared" si="15"/>
        <v>Yes</v>
      </c>
      <c r="AL21" s="23"/>
      <c r="AM21" s="23"/>
    </row>
    <row r="22" ht="15.75" customHeight="1">
      <c r="A22" s="28">
        <v>2013.0</v>
      </c>
      <c r="B22" s="23">
        <v>184771.0</v>
      </c>
      <c r="C22" s="23">
        <v>2266.0</v>
      </c>
      <c r="D22" s="23">
        <v>31513.0</v>
      </c>
      <c r="E22" s="23">
        <v>42413.0</v>
      </c>
      <c r="F22" s="59">
        <f t="shared" si="1"/>
        <v>260963</v>
      </c>
      <c r="G22" s="23"/>
      <c r="H22" s="23">
        <v>51817.0</v>
      </c>
      <c r="I22" s="23">
        <v>64243.0</v>
      </c>
      <c r="J22" s="59">
        <f t="shared" si="2"/>
        <v>116060</v>
      </c>
      <c r="K22" s="23"/>
      <c r="L22" s="56">
        <v>5119.0</v>
      </c>
      <c r="M22" s="56"/>
      <c r="N22" s="59">
        <f t="shared" si="3"/>
        <v>382142</v>
      </c>
      <c r="O22" s="57">
        <v>0.6000671100984462</v>
      </c>
      <c r="P22" s="59">
        <f t="shared" si="4"/>
        <v>110875</v>
      </c>
      <c r="Q22" s="23">
        <f t="shared" si="5"/>
        <v>0.2901408377</v>
      </c>
      <c r="R22" s="23">
        <v>22141.0</v>
      </c>
      <c r="S22" s="23">
        <v>13583.0</v>
      </c>
      <c r="T22" s="38">
        <v>7593.0</v>
      </c>
      <c r="U22" s="59">
        <f t="shared" si="6"/>
        <v>35724</v>
      </c>
      <c r="V22" s="23"/>
      <c r="W22" s="23">
        <f>'UCI Coho DataOld'!tot_catch+'UCI Coho DataOld'!tot_esc</f>
        <v>417866</v>
      </c>
      <c r="X22" s="23">
        <f>'UCI Coho DataOld'!run-('UCI Coho DataOld'!tot_catch-'UCI Coho DataOld'!EEZ_catch)-'UCI Coho DataOld'!esc_index</f>
        <v>126299</v>
      </c>
      <c r="Y22" s="63">
        <f t="shared" si="7"/>
        <v>0.187712001</v>
      </c>
      <c r="Z22" s="63">
        <f t="shared" si="8"/>
        <v>0.1876189915</v>
      </c>
      <c r="AA22" s="23">
        <f>'UCI Coho DataOld'!esc_index*'UCI Coho DataOld'!gen_time/2</f>
        <v>40600</v>
      </c>
      <c r="AB22" s="23">
        <f t="shared" si="9"/>
        <v>81087</v>
      </c>
      <c r="AC22" s="23">
        <f t="shared" si="10"/>
        <v>227944</v>
      </c>
      <c r="AD22" s="23">
        <f t="shared" si="11"/>
        <v>228057</v>
      </c>
      <c r="AE22" s="61" t="str">
        <f t="shared" si="12"/>
        <v>Yes</v>
      </c>
      <c r="AF22" s="61" t="str">
        <f t="shared" si="13"/>
        <v>No</v>
      </c>
      <c r="AG22" s="61" t="str">
        <f t="shared" si="14"/>
        <v>Yes</v>
      </c>
      <c r="AH22" s="61" t="str">
        <f t="shared" si="15"/>
        <v>No</v>
      </c>
      <c r="AL22" s="23"/>
      <c r="AM22" s="23"/>
    </row>
    <row r="23" ht="15.75" customHeight="1">
      <c r="A23" s="28">
        <v>2014.0</v>
      </c>
      <c r="B23" s="23">
        <v>76932.0</v>
      </c>
      <c r="C23" s="23">
        <v>5908.0</v>
      </c>
      <c r="D23" s="23">
        <v>19379.0</v>
      </c>
      <c r="E23" s="23">
        <v>35200.0</v>
      </c>
      <c r="F23" s="59">
        <f t="shared" si="1"/>
        <v>137419</v>
      </c>
      <c r="G23" s="23"/>
      <c r="H23" s="23">
        <v>58584.0</v>
      </c>
      <c r="I23" s="23">
        <v>73871.0</v>
      </c>
      <c r="J23" s="59">
        <f t="shared" si="2"/>
        <v>132455</v>
      </c>
      <c r="K23" s="23"/>
      <c r="L23" s="56">
        <v>9370.0</v>
      </c>
      <c r="M23" s="56"/>
      <c r="N23" s="59">
        <f t="shared" si="3"/>
        <v>279244</v>
      </c>
      <c r="O23" s="57">
        <v>0.463025789008475</v>
      </c>
      <c r="P23" s="59">
        <f t="shared" si="4"/>
        <v>35622</v>
      </c>
      <c r="Q23" s="23">
        <f t="shared" si="5"/>
        <v>0.1275658564</v>
      </c>
      <c r="R23" s="23">
        <v>11578.0</v>
      </c>
      <c r="S23" s="23">
        <v>24211.0</v>
      </c>
      <c r="T23" s="38">
        <v>10283.0</v>
      </c>
      <c r="U23" s="59">
        <f t="shared" si="6"/>
        <v>35789</v>
      </c>
      <c r="V23" s="23"/>
      <c r="W23" s="23">
        <f>'UCI Coho DataOld'!tot_catch+'UCI Coho DataOld'!tot_esc</f>
        <v>315033</v>
      </c>
      <c r="X23" s="23">
        <f>'UCI Coho DataOld'!run-('UCI Coho DataOld'!tot_catch-'UCI Coho DataOld'!EEZ_catch)-'UCI Coho DataOld'!esc_index</f>
        <v>51111</v>
      </c>
      <c r="Y23" s="60">
        <f t="shared" si="7"/>
        <v>0.174691525</v>
      </c>
      <c r="Z23" s="60">
        <f t="shared" si="8"/>
        <v>0.1885528784</v>
      </c>
      <c r="AA23" s="23">
        <f>'UCI Coho DataOld'!esc_index*'UCI Coho DataOld'!gen_time/2</f>
        <v>40600</v>
      </c>
      <c r="AB23" s="23">
        <f t="shared" si="9"/>
        <v>97269</v>
      </c>
      <c r="AC23" s="23">
        <f t="shared" si="10"/>
        <v>218583</v>
      </c>
      <c r="AD23" s="23">
        <f t="shared" si="11"/>
        <v>202514</v>
      </c>
      <c r="AE23" s="61" t="str">
        <f t="shared" si="12"/>
        <v>No</v>
      </c>
      <c r="AF23" s="61" t="str">
        <f t="shared" si="13"/>
        <v>No</v>
      </c>
      <c r="AG23" s="61" t="str">
        <f t="shared" si="14"/>
        <v>No</v>
      </c>
      <c r="AH23" s="61" t="str">
        <f t="shared" si="15"/>
        <v>No</v>
      </c>
      <c r="AL23" s="23"/>
      <c r="AM23" s="23"/>
    </row>
    <row r="24" ht="15.75" customHeight="1">
      <c r="A24" s="28">
        <v>2015.0</v>
      </c>
      <c r="B24" s="23">
        <v>130720.0</v>
      </c>
      <c r="C24" s="23">
        <v>17948.0</v>
      </c>
      <c r="D24" s="23">
        <v>20748.0</v>
      </c>
      <c r="E24" s="23">
        <v>46616.0</v>
      </c>
      <c r="F24" s="59">
        <f t="shared" si="1"/>
        <v>216032</v>
      </c>
      <c r="G24" s="23"/>
      <c r="H24" s="23">
        <v>74982.0</v>
      </c>
      <c r="I24" s="23">
        <v>74328.0</v>
      </c>
      <c r="J24" s="59">
        <f t="shared" si="2"/>
        <v>149310</v>
      </c>
      <c r="K24" s="23"/>
      <c r="L24" s="56">
        <v>10648.0</v>
      </c>
      <c r="M24" s="56"/>
      <c r="N24" s="59">
        <f t="shared" si="3"/>
        <v>375990</v>
      </c>
      <c r="O24" s="57">
        <v>0.4332561964504284</v>
      </c>
      <c r="P24" s="59">
        <f t="shared" si="4"/>
        <v>56635</v>
      </c>
      <c r="Q24" s="23">
        <f t="shared" si="5"/>
        <v>0.1506290061</v>
      </c>
      <c r="R24" s="23">
        <v>10775.0</v>
      </c>
      <c r="S24" s="23">
        <v>12756.0</v>
      </c>
      <c r="T24" s="38">
        <v>7912.0</v>
      </c>
      <c r="U24" s="59">
        <f t="shared" si="6"/>
        <v>23531</v>
      </c>
      <c r="V24" s="23"/>
      <c r="W24" s="23">
        <f>'UCI Coho DataOld'!tot_catch+'UCI Coho DataOld'!tot_esc</f>
        <v>399521</v>
      </c>
      <c r="X24" s="23">
        <f>'UCI Coho DataOld'!run-('UCI Coho DataOld'!tot_catch-'UCI Coho DataOld'!EEZ_catch)-'UCI Coho DataOld'!esc_index</f>
        <v>59866</v>
      </c>
      <c r="Y24" s="60">
        <f t="shared" si="7"/>
        <v>0.1786339418</v>
      </c>
      <c r="Z24" s="60">
        <f t="shared" si="8"/>
        <v>0.1990657534</v>
      </c>
      <c r="AA24" s="23">
        <f>'UCI Coho DataOld'!esc_index*'UCI Coho DataOld'!gen_time/2</f>
        <v>40600</v>
      </c>
      <c r="AB24" s="23">
        <f t="shared" si="9"/>
        <v>108648</v>
      </c>
      <c r="AC24" s="23">
        <f t="shared" si="10"/>
        <v>267424</v>
      </c>
      <c r="AD24" s="23">
        <f t="shared" si="11"/>
        <v>239976</v>
      </c>
      <c r="AE24" s="61" t="str">
        <f t="shared" si="12"/>
        <v>No</v>
      </c>
      <c r="AF24" s="61" t="str">
        <f t="shared" si="13"/>
        <v>No</v>
      </c>
      <c r="AG24" s="61" t="str">
        <f t="shared" si="14"/>
        <v>No</v>
      </c>
      <c r="AH24" s="61" t="str">
        <f t="shared" si="15"/>
        <v>No</v>
      </c>
      <c r="AL24" s="23"/>
      <c r="AM24" s="23"/>
    </row>
    <row r="25" ht="15.75" customHeight="1">
      <c r="A25" s="28">
        <v>2016.0</v>
      </c>
      <c r="B25" s="23">
        <v>90242.0</v>
      </c>
      <c r="C25" s="23">
        <v>11606.0</v>
      </c>
      <c r="D25" s="23">
        <v>15171.0</v>
      </c>
      <c r="E25" s="23">
        <v>30476.0</v>
      </c>
      <c r="F25" s="59">
        <f t="shared" si="1"/>
        <v>147495</v>
      </c>
      <c r="G25" s="23"/>
      <c r="H25" s="23">
        <v>28967.0</v>
      </c>
      <c r="I25" s="23">
        <v>49790.0</v>
      </c>
      <c r="J25" s="59">
        <f t="shared" si="2"/>
        <v>78757</v>
      </c>
      <c r="K25" s="23"/>
      <c r="L25" s="56">
        <v>4590.0</v>
      </c>
      <c r="M25" s="56"/>
      <c r="N25" s="59">
        <f t="shared" si="3"/>
        <v>230842</v>
      </c>
      <c r="O25" s="57">
        <v>0.401162983976419</v>
      </c>
      <c r="P25" s="59">
        <f t="shared" si="4"/>
        <v>36202</v>
      </c>
      <c r="Q25" s="23">
        <f t="shared" si="5"/>
        <v>0.1568258809</v>
      </c>
      <c r="R25" s="58">
        <v>6820.0</v>
      </c>
      <c r="S25" s="58">
        <v>10049.0</v>
      </c>
      <c r="T25" s="38">
        <v>2484.0</v>
      </c>
      <c r="U25" s="59">
        <f t="shared" si="6"/>
        <v>16869</v>
      </c>
      <c r="V25" s="23"/>
      <c r="W25" s="23">
        <f>'UCI Coho DataOld'!tot_catch+'UCI Coho DataOld'!tot_esc</f>
        <v>247711</v>
      </c>
      <c r="X25" s="23">
        <f>'UCI Coho DataOld'!run-('UCI Coho DataOld'!tot_catch-'UCI Coho DataOld'!EEZ_catch)-'UCI Coho DataOld'!esc_index</f>
        <v>32771</v>
      </c>
      <c r="Y25" s="60">
        <f t="shared" si="7"/>
        <v>0.173413973</v>
      </c>
      <c r="Z25" s="60">
        <f t="shared" si="8"/>
        <v>0.1956676576</v>
      </c>
      <c r="AA25" s="23">
        <f>'UCI Coho DataOld'!esc_index*'UCI Coho DataOld'!gen_time/2</f>
        <v>40600</v>
      </c>
      <c r="AB25" s="23">
        <f t="shared" si="9"/>
        <v>111913</v>
      </c>
      <c r="AC25" s="23">
        <f t="shared" si="10"/>
        <v>270047</v>
      </c>
      <c r="AD25" s="23">
        <f t="shared" si="11"/>
        <v>239334</v>
      </c>
      <c r="AE25" s="61" t="str">
        <f t="shared" si="12"/>
        <v>No</v>
      </c>
      <c r="AF25" s="61" t="str">
        <f t="shared" si="13"/>
        <v>No</v>
      </c>
      <c r="AG25" s="61" t="str">
        <f t="shared" si="14"/>
        <v>No</v>
      </c>
      <c r="AH25" s="61" t="str">
        <f t="shared" si="15"/>
        <v>Yes</v>
      </c>
      <c r="AL25" s="23"/>
      <c r="AM25" s="23"/>
    </row>
    <row r="26" ht="15.75" customHeight="1">
      <c r="A26" s="30">
        <v>2017.0</v>
      </c>
      <c r="B26" s="23">
        <v>191490.0</v>
      </c>
      <c r="C26" s="23">
        <v>29916.0</v>
      </c>
      <c r="D26" s="23">
        <v>29535.0</v>
      </c>
      <c r="E26" s="23">
        <v>52701.0</v>
      </c>
      <c r="F26" s="59">
        <f t="shared" si="1"/>
        <v>303642</v>
      </c>
      <c r="G26" s="30"/>
      <c r="H26" s="23">
        <v>47706.0</v>
      </c>
      <c r="I26" s="23">
        <v>62416.0</v>
      </c>
      <c r="J26" s="59">
        <f t="shared" si="2"/>
        <v>110122</v>
      </c>
      <c r="K26" s="30"/>
      <c r="L26" s="56">
        <v>1665.0</v>
      </c>
      <c r="M26" s="56"/>
      <c r="N26" s="59">
        <f t="shared" si="3"/>
        <v>415429</v>
      </c>
      <c r="O26" s="57">
        <v>0.4352342158859471</v>
      </c>
      <c r="P26" s="59">
        <f t="shared" si="4"/>
        <v>83343</v>
      </c>
      <c r="Q26" s="23">
        <f t="shared" si="5"/>
        <v>0.200619119</v>
      </c>
      <c r="R26" s="23">
        <v>36869.0</v>
      </c>
      <c r="S26" s="23">
        <v>17781.0</v>
      </c>
      <c r="T26" s="38">
        <v>8966.0</v>
      </c>
      <c r="U26" s="59">
        <f t="shared" si="6"/>
        <v>54650</v>
      </c>
      <c r="V26" s="23"/>
      <c r="W26" s="23">
        <f>'UCI Coho DataOld'!tot_catch+'UCI Coho DataOld'!tot_esc</f>
        <v>470079</v>
      </c>
      <c r="X26" s="23">
        <f>'UCI Coho DataOld'!run-('UCI Coho DataOld'!tot_catch-'UCI Coho DataOld'!EEZ_catch)-'UCI Coho DataOld'!esc_index</f>
        <v>117693</v>
      </c>
      <c r="Y26" s="60">
        <f t="shared" si="7"/>
        <v>0.1478709025</v>
      </c>
      <c r="Z26" s="60">
        <f t="shared" si="8"/>
        <v>0.1825266835</v>
      </c>
      <c r="AA26" s="23">
        <f>'UCI Coho DataOld'!esc_index*'UCI Coho DataOld'!gen_time/2</f>
        <v>40600</v>
      </c>
      <c r="AB26" s="23">
        <f t="shared" si="9"/>
        <v>130839</v>
      </c>
      <c r="AC26" s="23">
        <f t="shared" si="10"/>
        <v>261441</v>
      </c>
      <c r="AD26" s="23">
        <f t="shared" si="11"/>
        <v>211802</v>
      </c>
      <c r="AE26" s="61" t="str">
        <f t="shared" si="12"/>
        <v>No</v>
      </c>
      <c r="AF26" s="61" t="str">
        <f t="shared" si="13"/>
        <v>No</v>
      </c>
      <c r="AG26" s="61" t="str">
        <f t="shared" si="14"/>
        <v>No</v>
      </c>
      <c r="AH26" s="61" t="str">
        <f t="shared" si="15"/>
        <v>No</v>
      </c>
      <c r="AJ26" s="61"/>
      <c r="AK26" s="30"/>
      <c r="AL26" s="30"/>
      <c r="AM26" s="30"/>
    </row>
    <row r="27" ht="15.75" customHeight="1">
      <c r="A27" s="84">
        <v>2018.0</v>
      </c>
      <c r="B27" s="73">
        <v>108906.0</v>
      </c>
      <c r="C27" s="73">
        <v>4705.0</v>
      </c>
      <c r="D27" s="73">
        <v>51581.0</v>
      </c>
      <c r="E27" s="73">
        <v>67098.0</v>
      </c>
      <c r="F27" s="74">
        <f t="shared" si="1"/>
        <v>232290</v>
      </c>
      <c r="G27" s="75"/>
      <c r="H27" s="73">
        <v>59976.0</v>
      </c>
      <c r="I27" s="73">
        <v>67018.0</v>
      </c>
      <c r="J27" s="74">
        <f t="shared" si="2"/>
        <v>126994</v>
      </c>
      <c r="K27" s="75"/>
      <c r="L27" s="78">
        <v>3003.0</v>
      </c>
      <c r="M27" s="78"/>
      <c r="N27" s="74">
        <f t="shared" si="3"/>
        <v>362287</v>
      </c>
      <c r="O27" s="79">
        <v>0.5826148237929958</v>
      </c>
      <c r="P27" s="74">
        <f t="shared" si="4"/>
        <v>63450</v>
      </c>
      <c r="Q27" s="73">
        <f t="shared" si="5"/>
        <v>0.1751373911</v>
      </c>
      <c r="R27" s="73">
        <v>13072.0</v>
      </c>
      <c r="S27" s="85">
        <v>7583.0</v>
      </c>
      <c r="T27" s="81">
        <v>5022.0</v>
      </c>
      <c r="U27" s="74">
        <f t="shared" si="6"/>
        <v>20655</v>
      </c>
      <c r="V27" s="73"/>
      <c r="W27" s="73">
        <f>'UCI Coho DataOld'!tot_catch+'UCI Coho DataOld'!tot_esc</f>
        <v>382942</v>
      </c>
      <c r="X27" s="73">
        <f>'UCI Coho DataOld'!run-('UCI Coho DataOld'!tot_catch-'UCI Coho DataOld'!EEZ_catch)-'UCI Coho DataOld'!esc_index</f>
        <v>63805</v>
      </c>
      <c r="Y27" s="82">
        <f t="shared" si="7"/>
        <v>0.1597263928</v>
      </c>
      <c r="Z27" s="82">
        <f t="shared" si="8"/>
        <v>0.1827258469</v>
      </c>
      <c r="AA27" s="73">
        <f>'UCI Coho DataOld'!esc_index*'UCI Coho DataOld'!gen_time/2</f>
        <v>40600</v>
      </c>
      <c r="AB27" s="73">
        <f t="shared" si="9"/>
        <v>115705</v>
      </c>
      <c r="AC27" s="73">
        <f t="shared" si="10"/>
        <v>274135</v>
      </c>
      <c r="AD27" s="73">
        <f t="shared" si="11"/>
        <v>239630</v>
      </c>
      <c r="AE27" s="83" t="str">
        <f t="shared" si="12"/>
        <v>No</v>
      </c>
      <c r="AF27" s="83" t="str">
        <f t="shared" si="13"/>
        <v>No</v>
      </c>
      <c r="AG27" s="83" t="str">
        <f t="shared" si="14"/>
        <v>No</v>
      </c>
      <c r="AH27" s="86" t="str">
        <f t="shared" si="15"/>
        <v>No</v>
      </c>
      <c r="AJ27" s="61"/>
    </row>
    <row r="28" ht="15.75" customHeight="1">
      <c r="G28" s="23"/>
      <c r="O28" s="57"/>
      <c r="Q28" s="57"/>
    </row>
    <row r="29" ht="15.75" customHeight="1">
      <c r="A29" s="29" t="s">
        <v>64</v>
      </c>
      <c r="G29" s="23"/>
      <c r="Q29" s="57"/>
    </row>
    <row r="30" ht="15.75" customHeight="1">
      <c r="A30" s="30" t="s">
        <v>65</v>
      </c>
      <c r="B30" s="30"/>
      <c r="C30" s="30"/>
      <c r="D30" s="30"/>
      <c r="E30" s="30"/>
      <c r="F30" s="30"/>
      <c r="G30" s="23"/>
      <c r="Q30" s="57"/>
    </row>
    <row r="31" ht="15.75" customHeight="1">
      <c r="A31" s="30" t="s">
        <v>79</v>
      </c>
      <c r="B31" s="30"/>
      <c r="C31" s="30"/>
      <c r="D31" s="30"/>
      <c r="E31" s="30"/>
      <c r="F31" s="30"/>
      <c r="G31" s="23"/>
    </row>
    <row r="32" ht="15.75" customHeight="1">
      <c r="A32" s="30" t="s">
        <v>67</v>
      </c>
      <c r="B32" s="30"/>
      <c r="C32" s="30"/>
      <c r="D32" s="30"/>
      <c r="E32" s="30"/>
      <c r="F32" s="30"/>
      <c r="G32" s="23"/>
    </row>
    <row r="33" ht="15.75" customHeight="1">
      <c r="A33" s="30" t="s">
        <v>80</v>
      </c>
      <c r="G33" s="23"/>
    </row>
    <row r="34" ht="15.75" customHeight="1">
      <c r="A34" s="28" t="s">
        <v>69</v>
      </c>
      <c r="G34" s="23"/>
    </row>
    <row r="35" ht="15.75" customHeight="1">
      <c r="G35" s="23"/>
    </row>
    <row r="36" ht="15.75" customHeight="1"/>
    <row r="37" ht="15.75" customHeight="1">
      <c r="A37" s="75" t="s">
        <v>81</v>
      </c>
      <c r="B37" s="75"/>
    </row>
    <row r="38" ht="15.75" customHeight="1">
      <c r="A38" s="87"/>
      <c r="B38" s="87"/>
    </row>
    <row r="39" ht="15.75" customHeight="1">
      <c r="A39" s="88" t="s">
        <v>3</v>
      </c>
      <c r="B39" s="88" t="s">
        <v>82</v>
      </c>
      <c r="C39" s="88"/>
      <c r="D39" s="88" t="s">
        <v>83</v>
      </c>
      <c r="E39" s="88"/>
      <c r="F39" s="88" t="s">
        <v>84</v>
      </c>
      <c r="G39" s="88"/>
      <c r="H39" s="88"/>
      <c r="I39" s="88" t="s">
        <v>85</v>
      </c>
      <c r="J39" s="88"/>
      <c r="K39" s="88"/>
      <c r="L39" s="88" t="s">
        <v>86</v>
      </c>
      <c r="M39" s="88"/>
      <c r="N39" s="88" t="s">
        <v>87</v>
      </c>
      <c r="O39" s="88"/>
      <c r="P39" s="88" t="s">
        <v>88</v>
      </c>
    </row>
    <row r="40" ht="15.75" customHeight="1">
      <c r="A40" s="28">
        <v>2016.0</v>
      </c>
      <c r="B40" s="23">
        <f>AVERAGE(W20:W24)</f>
        <v>311757.4625</v>
      </c>
      <c r="D40" s="23">
        <f>'UCI Coho DataOld'!esc_index</f>
        <v>20300</v>
      </c>
      <c r="F40" s="23">
        <f t="shared" ref="F40:F42" si="16">(B40-D40)</f>
        <v>291457.4625</v>
      </c>
      <c r="I40" s="60">
        <f t="shared" ref="I40:I42" si="17">(SUM(X22:X24)+F40)/(SUM(W22:W24)+B40)</f>
        <v>0.3661139134</v>
      </c>
      <c r="L40" s="60">
        <f t="shared" ref="L40:L42" si="18">Z25</f>
        <v>0.1956676576</v>
      </c>
      <c r="N40" s="23">
        <f t="shared" ref="N40:N42" si="19">SUM(X21:X24)+F40</f>
        <v>558881.4625</v>
      </c>
      <c r="P40" s="23">
        <f t="shared" ref="P40:P42" si="20">AC25</f>
        <v>270047</v>
      </c>
    </row>
    <row r="41" ht="15.75" customHeight="1">
      <c r="A41" s="28">
        <v>2017.0</v>
      </c>
      <c r="B41" s="23">
        <f>AVERAGE('Table 3-8'!G18:G22)</f>
        <v>319153.8625</v>
      </c>
      <c r="D41" s="23">
        <f>'Table 3-8'!H23</f>
        <v>20300</v>
      </c>
      <c r="F41" s="23">
        <f t="shared" si="16"/>
        <v>298853.8625</v>
      </c>
      <c r="I41" s="60">
        <f t="shared" si="17"/>
        <v>0.3453998341</v>
      </c>
      <c r="L41" s="60">
        <f t="shared" si="18"/>
        <v>0.1825266835</v>
      </c>
      <c r="N41" s="23">
        <f t="shared" si="19"/>
        <v>568900.8625</v>
      </c>
      <c r="P41" s="23">
        <f t="shared" si="20"/>
        <v>261441</v>
      </c>
    </row>
    <row r="42" ht="15.75" customHeight="1">
      <c r="A42" s="28">
        <v>2018.0</v>
      </c>
      <c r="B42" s="23">
        <f>AVERAGE('Table 3-8'!G19:G23)</f>
        <v>371021.4</v>
      </c>
      <c r="D42" s="23">
        <f>'Table 3-8'!H24</f>
        <v>20300</v>
      </c>
      <c r="F42" s="23">
        <f t="shared" si="16"/>
        <v>350721.4</v>
      </c>
      <c r="I42" s="60">
        <f t="shared" si="17"/>
        <v>0.3769664626</v>
      </c>
      <c r="L42" s="60">
        <f t="shared" si="18"/>
        <v>0.1827258469</v>
      </c>
      <c r="N42" s="23">
        <f t="shared" si="19"/>
        <v>612162.4</v>
      </c>
      <c r="P42" s="23">
        <f t="shared" si="20"/>
        <v>274135</v>
      </c>
    </row>
    <row r="43" ht="15.75" customHeight="1"/>
    <row r="44" ht="15.75" customHeight="1">
      <c r="A44" s="28" t="s">
        <v>89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R2:U2"/>
    <mergeCell ref="H6:J6"/>
    <mergeCell ref="R6:U6"/>
    <mergeCell ref="X6:Z6"/>
    <mergeCell ref="AC6:AD6"/>
    <mergeCell ref="AE6:AF6"/>
  </mergeCells>
  <conditionalFormatting sqref="AE11:AH27">
    <cfRule type="cellIs" dxfId="0" priority="1" operator="equal">
      <formula>"yes"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2018-01-22T19:29:37Z</dcterms:created>
  <dc:creator>raclark</dc:creator>
</cp:coreProperties>
</file>