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mc:AlternateContent xmlns:mc="http://schemas.openxmlformats.org/markup-compatibility/2006">
    <mc:Choice Requires="x15">
      <x15ac:absPath xmlns:x15ac="http://schemas.microsoft.com/office/spreadsheetml/2010/11/ac" url="https://lsumail2-my.sharepoint.com/personal/chaowang_lsu_edu/Documents/LSU-IAC/00-FY 2024/Manufacturing Facility/LS2502 - CORTEC (Houma)/Draft Report/"/>
    </mc:Choice>
  </mc:AlternateContent>
  <xr:revisionPtr revIDLastSave="290" documentId="8_{6F59EF00-AA55-4408-825C-98DB7B144789}" xr6:coauthVersionLast="47" xr6:coauthVersionMax="47" xr10:uidLastSave="{2F9C0FA5-630F-4B56-99C8-315167983767}"/>
  <bookViews>
    <workbookView xWindow="43095" yWindow="975" windowWidth="14610" windowHeight="15585" firstSheet="5" activeTab="5" xr2:uid="{00000000-000D-0000-FFFF-FFFF00000000}"/>
  </bookViews>
  <sheets>
    <sheet name="Energy (2)" sheetId="9" r:id="rId1"/>
    <sheet name="AR summary" sheetId="5" r:id="rId2"/>
    <sheet name="Energy" sheetId="7" r:id="rId3"/>
    <sheet name="Gas" sheetId="8" r:id="rId4"/>
    <sheet name="Propane Bills" sheetId="2" r:id="rId5"/>
    <sheet name="Section 1" sheetId="4" r:id="rId6"/>
    <sheet name="Section 2 (2)" sheetId="3" r:id="rId7"/>
  </sheets>
  <definedNames>
    <definedName name="_Ref105621187" localSheetId="6">'Section 2 (2)'!$D$12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3" i="4" l="1"/>
  <c r="D205" i="4"/>
  <c r="D159" i="4"/>
  <c r="D163" i="4"/>
  <c r="D150" i="4"/>
  <c r="D154" i="4"/>
  <c r="D86" i="4"/>
  <c r="F9" i="4" s="1"/>
  <c r="H29" i="5"/>
  <c r="C41" i="9"/>
  <c r="D41" i="9"/>
  <c r="E41" i="9"/>
  <c r="N41" i="9" s="1"/>
  <c r="D129" i="4" s="1"/>
  <c r="F41" i="9"/>
  <c r="G41" i="9"/>
  <c r="H41" i="9"/>
  <c r="I41" i="9"/>
  <c r="J41" i="9"/>
  <c r="K41" i="9"/>
  <c r="L41" i="9"/>
  <c r="M41" i="9"/>
  <c r="B41" i="9"/>
  <c r="D134" i="4"/>
  <c r="D111" i="4"/>
  <c r="D107" i="4"/>
  <c r="B29" i="8"/>
  <c r="N24" i="8"/>
  <c r="N25" i="8"/>
  <c r="N23" i="8"/>
  <c r="B24" i="8"/>
  <c r="B25" i="8"/>
  <c r="B23" i="8"/>
  <c r="C24" i="8"/>
  <c r="C25" i="8"/>
  <c r="C23" i="8"/>
  <c r="B4" i="8"/>
  <c r="B14" i="8"/>
  <c r="B19" i="8"/>
  <c r="B8" i="8"/>
  <c r="B9" i="8" s="1"/>
  <c r="B7" i="8"/>
  <c r="C4" i="8"/>
  <c r="A52" i="9"/>
  <c r="B42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N39" i="9" s="1"/>
  <c r="A50" i="9" s="1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N38" i="9" s="1"/>
  <c r="B38" i="9"/>
  <c r="M31" i="9"/>
  <c r="L31" i="9"/>
  <c r="K31" i="9"/>
  <c r="J31" i="9"/>
  <c r="I31" i="9"/>
  <c r="H31" i="9"/>
  <c r="G31" i="9"/>
  <c r="F31" i="9"/>
  <c r="E31" i="9"/>
  <c r="D31" i="9"/>
  <c r="C31" i="9"/>
  <c r="B31" i="9"/>
  <c r="M23" i="9"/>
  <c r="L23" i="9"/>
  <c r="K23" i="9"/>
  <c r="J23" i="9"/>
  <c r="I23" i="9"/>
  <c r="H23" i="9"/>
  <c r="G23" i="9"/>
  <c r="F23" i="9"/>
  <c r="E23" i="9"/>
  <c r="D23" i="9"/>
  <c r="C23" i="9"/>
  <c r="C42" i="9" s="1"/>
  <c r="B23" i="9"/>
  <c r="M15" i="9"/>
  <c r="L15" i="9"/>
  <c r="K15" i="9"/>
  <c r="J15" i="9"/>
  <c r="I15" i="9"/>
  <c r="H15" i="9"/>
  <c r="G15" i="9"/>
  <c r="F15" i="9"/>
  <c r="E15" i="9"/>
  <c r="D15" i="9"/>
  <c r="C15" i="9"/>
  <c r="B15" i="9"/>
  <c r="M7" i="9"/>
  <c r="M42" i="9" s="1"/>
  <c r="L7" i="9"/>
  <c r="L42" i="9" s="1"/>
  <c r="K7" i="9"/>
  <c r="K42" i="9" s="1"/>
  <c r="J7" i="9"/>
  <c r="J42" i="9" s="1"/>
  <c r="I7" i="9"/>
  <c r="I42" i="9" s="1"/>
  <c r="H7" i="9"/>
  <c r="H42" i="9" s="1"/>
  <c r="G7" i="9"/>
  <c r="G42" i="9" s="1"/>
  <c r="F7" i="9"/>
  <c r="F42" i="9" s="1"/>
  <c r="E7" i="9"/>
  <c r="E42" i="9" s="1"/>
  <c r="D7" i="9"/>
  <c r="D42" i="9" s="1"/>
  <c r="C7" i="9"/>
  <c r="B7" i="9"/>
  <c r="N6" i="9"/>
  <c r="B7" i="7"/>
  <c r="B42" i="7" s="1"/>
  <c r="B15" i="7"/>
  <c r="B23" i="7"/>
  <c r="B31" i="7"/>
  <c r="B38" i="7"/>
  <c r="B39" i="7"/>
  <c r="B40" i="7"/>
  <c r="B41" i="7"/>
  <c r="N42" i="9" l="1"/>
  <c r="A51" i="9" s="1"/>
  <c r="D7" i="4" l="1"/>
  <c r="K15" i="5"/>
  <c r="G20" i="4" l="1"/>
  <c r="D176" i="4"/>
  <c r="D180" i="4" s="1"/>
  <c r="P6" i="7"/>
  <c r="W14" i="2"/>
  <c r="D171" i="4"/>
  <c r="W8" i="2" l="1"/>
  <c r="A52" i="7"/>
  <c r="F20" i="4" l="1"/>
  <c r="D20" i="4"/>
  <c r="W18" i="2"/>
  <c r="F6" i="5" l="1"/>
  <c r="W15" i="2"/>
  <c r="P4" i="2"/>
  <c r="W9" i="2" s="1"/>
  <c r="P3" i="2"/>
  <c r="J8" i="5" l="1"/>
  <c r="I8" i="5"/>
  <c r="H8" i="5"/>
  <c r="F8" i="5"/>
  <c r="E8" i="5"/>
  <c r="J7" i="5"/>
  <c r="I7" i="5"/>
  <c r="H7" i="5"/>
  <c r="F7" i="5"/>
  <c r="E7" i="5"/>
  <c r="J6" i="5"/>
  <c r="I6" i="5"/>
  <c r="H6" i="5"/>
  <c r="E6" i="5"/>
  <c r="C8" i="5"/>
  <c r="C7" i="5"/>
  <c r="C6" i="5"/>
  <c r="C5" i="5"/>
  <c r="E5" i="5"/>
  <c r="F5" i="5"/>
  <c r="H5" i="5"/>
  <c r="I5" i="5"/>
  <c r="C9" i="5"/>
  <c r="E9" i="5"/>
  <c r="F9" i="5"/>
  <c r="H9" i="5"/>
  <c r="I9" i="5"/>
  <c r="J9" i="5"/>
  <c r="G10" i="5"/>
  <c r="M24" i="8"/>
  <c r="L24" i="8"/>
  <c r="K24" i="8"/>
  <c r="J24" i="8"/>
  <c r="I24" i="8"/>
  <c r="H24" i="8"/>
  <c r="G24" i="8"/>
  <c r="F24" i="8"/>
  <c r="E24" i="8"/>
  <c r="D24" i="8"/>
  <c r="M23" i="8"/>
  <c r="L23" i="8"/>
  <c r="K23" i="8"/>
  <c r="J23" i="8"/>
  <c r="I23" i="8"/>
  <c r="H23" i="8"/>
  <c r="G23" i="8"/>
  <c r="F23" i="8"/>
  <c r="E23" i="8"/>
  <c r="D23" i="8"/>
  <c r="M19" i="8"/>
  <c r="L19" i="8"/>
  <c r="K19" i="8"/>
  <c r="J19" i="8"/>
  <c r="I19" i="8"/>
  <c r="H19" i="8"/>
  <c r="G19" i="8"/>
  <c r="F19" i="8"/>
  <c r="E19" i="8"/>
  <c r="D19" i="8"/>
  <c r="C19" i="8"/>
  <c r="M14" i="8"/>
  <c r="L14" i="8"/>
  <c r="K14" i="8"/>
  <c r="J14" i="8"/>
  <c r="I14" i="8"/>
  <c r="H14" i="8"/>
  <c r="G14" i="8"/>
  <c r="F14" i="8"/>
  <c r="E14" i="8"/>
  <c r="D14" i="8"/>
  <c r="C14" i="8"/>
  <c r="M9" i="8"/>
  <c r="L9" i="8"/>
  <c r="K9" i="8"/>
  <c r="J9" i="8"/>
  <c r="I9" i="8"/>
  <c r="H9" i="8"/>
  <c r="G9" i="8"/>
  <c r="F9" i="8"/>
  <c r="F25" i="8" s="1"/>
  <c r="E9" i="8"/>
  <c r="D9" i="8"/>
  <c r="C9" i="8"/>
  <c r="M4" i="8"/>
  <c r="L4" i="8"/>
  <c r="K4" i="8"/>
  <c r="J4" i="8"/>
  <c r="I4" i="8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O7" i="7"/>
  <c r="N7" i="7"/>
  <c r="M7" i="7"/>
  <c r="L7" i="7"/>
  <c r="K7" i="7"/>
  <c r="J7" i="7"/>
  <c r="I7" i="7"/>
  <c r="H7" i="7"/>
  <c r="G7" i="7"/>
  <c r="F7" i="7"/>
  <c r="E7" i="7"/>
  <c r="D7" i="7"/>
  <c r="C7" i="7"/>
  <c r="G25" i="8" l="1"/>
  <c r="L25" i="8"/>
  <c r="M25" i="8"/>
  <c r="F18" i="4"/>
  <c r="F23" i="4" s="1"/>
  <c r="J25" i="8"/>
  <c r="D25" i="8"/>
  <c r="E25" i="8"/>
  <c r="K25" i="8"/>
  <c r="H25" i="8"/>
  <c r="I25" i="8"/>
  <c r="P41" i="7"/>
  <c r="D16" i="4" s="1"/>
  <c r="P40" i="7"/>
  <c r="P39" i="7"/>
  <c r="B45" i="7" s="1"/>
  <c r="P38" i="7"/>
  <c r="B44" i="7" s="1"/>
  <c r="K42" i="7"/>
  <c r="F42" i="7"/>
  <c r="I42" i="7"/>
  <c r="J42" i="7"/>
  <c r="H42" i="7"/>
  <c r="N42" i="7"/>
  <c r="O42" i="7"/>
  <c r="G42" i="7"/>
  <c r="M42" i="7"/>
  <c r="E42" i="7"/>
  <c r="L42" i="7"/>
  <c r="C42" i="7"/>
  <c r="D42" i="7"/>
  <c r="D119" i="4"/>
  <c r="D15" i="4" s="1"/>
  <c r="D14" i="4"/>
  <c r="H10" i="5"/>
  <c r="K8" i="5"/>
  <c r="I10" i="5"/>
  <c r="E10" i="5"/>
  <c r="F10" i="5"/>
  <c r="J10" i="5"/>
  <c r="K6" i="5"/>
  <c r="K9" i="5"/>
  <c r="K7" i="5"/>
  <c r="K5" i="5"/>
  <c r="P42" i="7" l="1"/>
  <c r="A51" i="7" s="1"/>
  <c r="A50" i="7"/>
  <c r="K10" i="5"/>
  <c r="D138" i="4"/>
  <c r="F16" i="4"/>
  <c r="D128" i="4"/>
  <c r="D146" i="4"/>
  <c r="G17" i="4" s="1"/>
  <c r="D220" i="4"/>
  <c r="D225" i="4" s="1"/>
  <c r="D214" i="4" s="1"/>
  <c r="D26" i="4" s="1"/>
  <c r="D4" i="4"/>
  <c r="F4" i="4"/>
  <c r="D5" i="4"/>
  <c r="F5" i="4"/>
  <c r="D6" i="4"/>
  <c r="F6" i="4"/>
  <c r="D8" i="4"/>
  <c r="D9" i="4"/>
  <c r="D10" i="4"/>
  <c r="F10" i="4"/>
  <c r="J10" i="4"/>
  <c r="J11" i="4" s="1"/>
  <c r="K11" i="4" s="1"/>
  <c r="K10" i="4"/>
  <c r="F17" i="4"/>
  <c r="F19" i="4"/>
  <c r="G21" i="4"/>
  <c r="K51" i="4"/>
  <c r="D66" i="4"/>
  <c r="L82" i="4"/>
  <c r="M82" i="4"/>
  <c r="L83" i="4"/>
  <c r="M83" i="4"/>
  <c r="D120" i="4"/>
  <c r="L178" i="4"/>
  <c r="M178" i="4"/>
  <c r="D185" i="4"/>
  <c r="D192" i="4"/>
  <c r="D191" i="4" s="1"/>
  <c r="D221" i="4"/>
  <c r="D222" i="4"/>
  <c r="D215" i="4" s="1"/>
  <c r="D27" i="4" s="1"/>
  <c r="D18" i="4" l="1"/>
  <c r="D23" i="4" s="1"/>
  <c r="G18" i="4"/>
  <c r="D103" i="4"/>
  <c r="D124" i="4"/>
  <c r="G14" i="4" s="1"/>
  <c r="G16" i="4"/>
  <c r="D209" i="4"/>
  <c r="F14" i="4"/>
  <c r="F7" i="4"/>
  <c r="D200" i="4"/>
  <c r="G19" i="4" s="1"/>
  <c r="D19" i="4"/>
  <c r="D223" i="4"/>
  <c r="D216" i="4" s="1"/>
  <c r="D224" i="4"/>
  <c r="D217" i="4" s="1"/>
  <c r="D28" i="4" s="1"/>
  <c r="D29" i="4" s="1"/>
  <c r="I12" i="5" s="1"/>
  <c r="F24" i="4" l="1"/>
  <c r="H12" i="5" s="1"/>
  <c r="G26" i="4"/>
  <c r="D76" i="4" l="1"/>
  <c r="F8" i="4" s="1"/>
</calcChain>
</file>

<file path=xl/sharedStrings.xml><?xml version="1.0" encoding="utf-8"?>
<sst xmlns="http://schemas.openxmlformats.org/spreadsheetml/2006/main" count="927" uniqueCount="341">
  <si>
    <t>Account # 27518398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</si>
  <si>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</si>
  <si>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</si>
  <si>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</si>
  <si>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</si>
  <si>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</si>
  <si>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</si>
  <si>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</si>
  <si>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</si>
  <si>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</si>
  <si>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</si>
  <si>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</si>
  <si>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</si>
  <si>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Total Charge ($)</t>
  </si>
  <si>
    <t>Demand Charge ($)</t>
  </si>
  <si>
    <t>kWh Usage (Metered)</t>
  </si>
  <si>
    <t>kWh Billed</t>
  </si>
  <si>
    <t>Demand usage (Billed kW)</t>
  </si>
  <si>
    <t>Monthly Energy Charge ($)</t>
  </si>
  <si>
    <t>Account # 155636640</t>
  </si>
  <si>
    <t>Account # 122589427</t>
  </si>
  <si>
    <t>Account #27020296</t>
  </si>
  <si>
    <t>Totals</t>
  </si>
  <si>
    <t>Total</t>
  </si>
  <si>
    <t>Demand usage (kW Metered)</t>
  </si>
  <si>
    <t>Unit Rate $/kWh</t>
  </si>
  <si>
    <t>Demand Rate $/kW</t>
  </si>
  <si>
    <t>Corrected Demand Rate $/kW</t>
  </si>
  <si>
    <t>Correced Monthly Energy Usage $/kW</t>
  </si>
  <si>
    <t>#</t>
  </si>
  <si>
    <t>Category</t>
  </si>
  <si>
    <t>Description</t>
  </si>
  <si>
    <t>Energy savings</t>
  </si>
  <si>
    <t>Electrical Energy cost savings</t>
  </si>
  <si>
    <t>Increased Productivity</t>
  </si>
  <si>
    <t>Total cost savings</t>
  </si>
  <si>
    <t>CO_2 Savings</t>
  </si>
  <si>
    <t>Implementation cost</t>
  </si>
  <si>
    <t>Payback period</t>
  </si>
  <si>
    <t>kWh/yr</t>
  </si>
  <si>
    <t>$/yr</t>
  </si>
  <si>
    <t>(lbs/yr)</t>
  </si>
  <si>
    <t>Tons/yr</t>
  </si>
  <si>
    <t>$</t>
  </si>
  <si>
    <t>yr</t>
  </si>
  <si>
    <t>cost %</t>
  </si>
  <si>
    <t>co2</t>
  </si>
  <si>
    <t>Hvac Tuneup</t>
  </si>
  <si>
    <t>Energy Savings (kWh/yr)</t>
  </si>
  <si>
    <t>Energy Cost Savings ($/yr)</t>
  </si>
  <si>
    <t>Total Cost Savings ($/yr)</t>
  </si>
  <si>
    <r>
      <t>CO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 xml:space="preserve"> Reduction (Tons/yr)</t>
    </r>
    <r>
      <rPr>
        <sz val="12"/>
        <color theme="1"/>
        <rFont val="Times New Roman"/>
        <family val="1"/>
      </rPr>
      <t> </t>
    </r>
  </si>
  <si>
    <t>Imp. Cost ($)</t>
  </si>
  <si>
    <t>Payback Period</t>
  </si>
  <si>
    <t>(yr)</t>
  </si>
  <si>
    <t>Higher Efficiency Lamps</t>
  </si>
  <si>
    <t>Energy Cost Savings</t>
  </si>
  <si>
    <t xml:space="preserve">Demand Savings </t>
  </si>
  <si>
    <t>Demand Cost</t>
  </si>
  <si>
    <r>
      <t>CO</t>
    </r>
    <r>
      <rPr>
        <b/>
        <vertAlign val="subscript"/>
        <sz val="12"/>
        <color theme="1"/>
        <rFont val="Times New Roman"/>
        <family val="1"/>
      </rPr>
      <t>2</t>
    </r>
  </si>
  <si>
    <t>($/yr)</t>
  </si>
  <si>
    <t>(kW/yr)</t>
  </si>
  <si>
    <t>Reduction (tons/yr)</t>
  </si>
  <si>
    <t>(yrs)</t>
  </si>
  <si>
    <t>Occupancy Sensor</t>
  </si>
  <si>
    <t>0.04 </t>
  </si>
  <si>
    <t>Discharge pressure of Air Compressor</t>
  </si>
  <si>
    <r>
      <t>CO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 xml:space="preserve"> Reduction (Tons/yr)</t>
    </r>
  </si>
  <si>
    <t>Imp. Cost</t>
  </si>
  <si>
    <t>($)</t>
  </si>
  <si>
    <t>Eliminate Leaks</t>
  </si>
  <si>
    <r>
      <t>CO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Reduction (Tons/yr)</t>
    </r>
  </si>
  <si>
    <t>Jun-23</t>
  </si>
  <si>
    <t>Jul-23</t>
  </si>
  <si>
    <t>Account # 0033872</t>
  </si>
  <si>
    <t>Total Gas Charges ($)</t>
  </si>
  <si>
    <t>CCF</t>
  </si>
  <si>
    <t>MMBTU</t>
  </si>
  <si>
    <t>Account # 0019580</t>
  </si>
  <si>
    <t>Account # 0061727</t>
  </si>
  <si>
    <t>Account # 0068877</t>
  </si>
  <si>
    <t>Account #Total</t>
  </si>
  <si>
    <t>Total Gas Charges $</t>
  </si>
  <si>
    <t>$/MMBTU</t>
  </si>
  <si>
    <t>Total Gallons</t>
  </si>
  <si>
    <t>Total MMBTU</t>
  </si>
  <si>
    <t>Total CCF</t>
  </si>
  <si>
    <t>$/CCF</t>
  </si>
  <si>
    <t>MMBTU/CCF</t>
  </si>
  <si>
    <t>1.1 General Information</t>
  </si>
  <si>
    <t>https://en.wikipedia.org/wiki/Standard_Industrial_Classification</t>
  </si>
  <si>
    <t>SIC No</t>
  </si>
  <si>
    <t>NAICS</t>
  </si>
  <si>
    <t>https://www.census.gov/eos/www/naics/2017NAICS/2017_NAICS_Manual.pdf</t>
  </si>
  <si>
    <t>p.116</t>
  </si>
  <si>
    <t>Assessment Day</t>
  </si>
  <si>
    <t>Annual Production</t>
  </si>
  <si>
    <t>parts/yr</t>
  </si>
  <si>
    <t>Location</t>
  </si>
  <si>
    <t>Annual Sales</t>
  </si>
  <si>
    <t>No of Emp</t>
  </si>
  <si>
    <t>Value / Finished product</t>
  </si>
  <si>
    <t>$/unti</t>
  </si>
  <si>
    <t>Total Facility Area</t>
  </si>
  <si>
    <t>Total Energy Usage</t>
  </si>
  <si>
    <t>MMbtu/yr</t>
  </si>
  <si>
    <t>Principal Product</t>
  </si>
  <si>
    <t>Total Energy Cost</t>
  </si>
  <si>
    <t>Operation Hours</t>
  </si>
  <si>
    <t>No of Ars</t>
  </si>
  <si>
    <t>Table 1-1</t>
  </si>
  <si>
    <t>Energy Type</t>
  </si>
  <si>
    <t>Usage</t>
  </si>
  <si>
    <t>Cost</t>
  </si>
  <si>
    <t>Unit Cost</t>
  </si>
  <si>
    <t>Electricity Energy</t>
  </si>
  <si>
    <t>kWh/year</t>
  </si>
  <si>
    <t>$/kWh</t>
  </si>
  <si>
    <t>MMBTU/year</t>
  </si>
  <si>
    <t>Electricity Demand</t>
  </si>
  <si>
    <t>kW/yr</t>
  </si>
  <si>
    <t>$/kW</t>
  </si>
  <si>
    <t>Other Energy Fees</t>
  </si>
  <si>
    <t>N/A</t>
  </si>
  <si>
    <t>Natural Gas</t>
  </si>
  <si>
    <t>$/MMbtu</t>
  </si>
  <si>
    <t>Landfill Gas</t>
  </si>
  <si>
    <t>Propane Gas</t>
  </si>
  <si>
    <t>http://weldfabulous.com/80-cu-ft-75-argon-25-co2-welding-gas-cylinder-tank-cga-580-full/?CAWELAID=320010420000433722&amp;CATARGETID=320010420059820221&amp;cadevice=c&amp;gclid=CjwKCAiA_ZTfBRBjEiwAN6YG4R4gbq6-c-_9p6vOZ-snF5SztrtqjdjCTdMDHhD-HtPP6oOIFY5MOxoCrIYQAvD_BwE</t>
  </si>
  <si>
    <t>Water</t>
  </si>
  <si>
    <t>Tgal/yr</t>
  </si>
  <si>
    <t>$/Tgal</t>
  </si>
  <si>
    <t>Sewage</t>
  </si>
  <si>
    <t>MMBtu Totals</t>
  </si>
  <si>
    <t>Table 1-2</t>
  </si>
  <si>
    <t>Electricity</t>
  </si>
  <si>
    <t>Tons CO2/year</t>
  </si>
  <si>
    <t>SIC Code</t>
  </si>
  <si>
    <t>Parameter</t>
  </si>
  <si>
    <t>Value</t>
  </si>
  <si>
    <t>Unit</t>
  </si>
  <si>
    <t>Justification for Value</t>
  </si>
  <si>
    <t>Reference</t>
  </si>
  <si>
    <t>ok</t>
  </si>
  <si>
    <t xml:space="preserve">SIC </t>
  </si>
  <si>
    <t>SIC Code for Facility</t>
  </si>
  <si>
    <t>https://iac.university/assessment/SF0460</t>
  </si>
  <si>
    <t>NAIC Code</t>
  </si>
  <si>
    <t>NAIC</t>
  </si>
  <si>
    <t>NAIC Code for Facility</t>
  </si>
  <si>
    <t>Assessment Date</t>
  </si>
  <si>
    <t>Date</t>
  </si>
  <si>
    <t>Date of Assessment</t>
  </si>
  <si>
    <t>Documented the day of assessment</t>
  </si>
  <si>
    <t>Ann Pro</t>
  </si>
  <si>
    <t>unit</t>
  </si>
  <si>
    <t>Facility Annual Production</t>
  </si>
  <si>
    <t>35 unit/wk</t>
  </si>
  <si>
    <t>#1</t>
  </si>
  <si>
    <t>Houma,LA</t>
  </si>
  <si>
    <t>Facility Location</t>
  </si>
  <si>
    <t># Employees</t>
  </si>
  <si>
    <t>Empl #</t>
  </si>
  <si>
    <t>Number of People Employed</t>
  </si>
  <si>
    <t>Ann Sales</t>
  </si>
  <si>
    <t>USD</t>
  </si>
  <si>
    <t>Facility Annual Sales</t>
  </si>
  <si>
    <t>Value Per Product</t>
  </si>
  <si>
    <t>V/P</t>
  </si>
  <si>
    <t>Value Per Finished Product</t>
  </si>
  <si>
    <t>Annual Sales/ Annual Production</t>
  </si>
  <si>
    <t>#4</t>
  </si>
  <si>
    <t>Facility Area</t>
  </si>
  <si>
    <t>total ft2</t>
  </si>
  <si>
    <t>ft^2</t>
  </si>
  <si>
    <t>1086*700</t>
  </si>
  <si>
    <t>acres</t>
  </si>
  <si>
    <t>ft2/acre</t>
  </si>
  <si>
    <t>Amount of square feet in one acre</t>
  </si>
  <si>
    <t>Total Energy Use</t>
  </si>
  <si>
    <t>Total MMBTU Use</t>
  </si>
  <si>
    <t>Total Energy use in facility</t>
  </si>
  <si>
    <t>Electricity + Diesel + Natural Gas Usage</t>
  </si>
  <si>
    <t>Principle Prod</t>
  </si>
  <si>
    <t>Princ Prod</t>
  </si>
  <si>
    <t>Industrial Valves</t>
  </si>
  <si>
    <t>Facility Principle Product</t>
  </si>
  <si>
    <t>Total E Cost</t>
  </si>
  <si>
    <t>$/year</t>
  </si>
  <si>
    <t>Total Energy cost in facility</t>
  </si>
  <si>
    <t>Electricity + Diesel + Gas Cost</t>
  </si>
  <si>
    <t>Op H</t>
  </si>
  <si>
    <t>Annual Operation Hours</t>
  </si>
  <si>
    <t>#Hours*#days*#Annual Weeks</t>
  </si>
  <si>
    <r>
      <t>H</t>
    </r>
    <r>
      <rPr>
        <sz val="8"/>
        <color theme="1"/>
        <rFont val="Aptos Narrow"/>
        <family val="2"/>
        <scheme val="minor"/>
      </rPr>
      <t>wD</t>
    </r>
  </si>
  <si>
    <t>Hours in one work day</t>
  </si>
  <si>
    <t>Two 10 Hour Shifts</t>
  </si>
  <si>
    <r>
      <t>D</t>
    </r>
    <r>
      <rPr>
        <sz val="10"/>
        <color theme="1"/>
        <rFont val="Aptos Narrow"/>
        <family val="2"/>
        <scheme val="minor"/>
      </rPr>
      <t>wD</t>
    </r>
  </si>
  <si>
    <t>Days In work week</t>
  </si>
  <si>
    <t>Everyday</t>
  </si>
  <si>
    <r>
      <t>W</t>
    </r>
    <r>
      <rPr>
        <sz val="8"/>
        <color theme="1"/>
        <rFont val="Aptos Narrow"/>
        <family val="2"/>
        <scheme val="minor"/>
      </rPr>
      <t>y</t>
    </r>
  </si>
  <si>
    <t>Week in one year</t>
  </si>
  <si>
    <t xml:space="preserve">Common Knowledge </t>
  </si>
  <si>
    <t>DwY</t>
  </si>
  <si>
    <t>-</t>
  </si>
  <si>
    <t>Days In work year</t>
  </si>
  <si>
    <t># ARs</t>
  </si>
  <si>
    <t>AR#</t>
  </si>
  <si>
    <t>Number of Assessment Recommendations</t>
  </si>
  <si>
    <t>Total Recommendations in Report</t>
  </si>
  <si>
    <t>Total Elec Cost</t>
  </si>
  <si>
    <t>total cost</t>
  </si>
  <si>
    <t>See Elec Spreadsheet</t>
  </si>
  <si>
    <t>Elec Energy Use</t>
  </si>
  <si>
    <t>EKwh</t>
  </si>
  <si>
    <t>kWH</t>
  </si>
  <si>
    <t>Elec Energy Charge</t>
  </si>
  <si>
    <t>ECost</t>
  </si>
  <si>
    <t>Late Payment</t>
  </si>
  <si>
    <t>CCost</t>
  </si>
  <si>
    <t>Elec Use In MMBTU</t>
  </si>
  <si>
    <t>EBTU</t>
  </si>
  <si>
    <t>Total Electricity Use In MMBTU</t>
  </si>
  <si>
    <t>Conversion Factor</t>
  </si>
  <si>
    <t>MMBTU/kWh</t>
  </si>
  <si>
    <t>mmbtu = btu *10^6</t>
  </si>
  <si>
    <t>https://www.google.com/webhp?sourceid=chrome-instant&amp;ion=1&amp;espv=2&amp;ie=UTF-8#q=1+kwh+to+mmbtu&amp;*</t>
  </si>
  <si>
    <t>1kwh = 3412.14 btu &amp; 1kwh = 0.00341214 MMbtu</t>
  </si>
  <si>
    <t>Eunit</t>
  </si>
  <si>
    <t>Unit Cost Of Electricity</t>
  </si>
  <si>
    <t>$/KWH same formula was used DOE report. Colorado and Alabama Report</t>
  </si>
  <si>
    <t>#2  #6 #7</t>
  </si>
  <si>
    <t>Elec Demand</t>
  </si>
  <si>
    <t>Avg Demand / month</t>
  </si>
  <si>
    <t>kW</t>
  </si>
  <si>
    <t>Avg Demand</t>
  </si>
  <si>
    <t>Total Demand / yr</t>
  </si>
  <si>
    <t>sum for a year</t>
  </si>
  <si>
    <t>Months</t>
  </si>
  <si>
    <t>Demand Charge</t>
  </si>
  <si>
    <t>DC</t>
  </si>
  <si>
    <t>Other Elec Fees (tax)</t>
  </si>
  <si>
    <t>TOTAL</t>
  </si>
  <si>
    <t>Total State Tax</t>
  </si>
  <si>
    <t>TSI Rate</t>
  </si>
  <si>
    <t xml:space="preserve"> Average TSI Rate</t>
  </si>
  <si>
    <t>#2</t>
  </si>
  <si>
    <t>N Gas Use</t>
  </si>
  <si>
    <t>GCCF</t>
  </si>
  <si>
    <t>Total Gas Usage</t>
  </si>
  <si>
    <t>N Gas in MMBTU</t>
  </si>
  <si>
    <t>GBTU</t>
  </si>
  <si>
    <t>Total Natural Gas USE In MMBTU</t>
  </si>
  <si>
    <t>Estimated from similar facility (Lula)</t>
  </si>
  <si>
    <t>G2B</t>
  </si>
  <si>
    <t>Amount of MMBTU in one ccf</t>
  </si>
  <si>
    <t>one Ccf = 103,200 Btu = 0.1032 mmbtu</t>
  </si>
  <si>
    <t>https://www.eia.gov/tools/faqs/faq.cfm?id=45&amp;t=8</t>
  </si>
  <si>
    <t>Gas Cost</t>
  </si>
  <si>
    <t>GCost</t>
  </si>
  <si>
    <t>Total Natural Gas Cost</t>
  </si>
  <si>
    <t>Unit Cost of gas</t>
  </si>
  <si>
    <t>Gunit</t>
  </si>
  <si>
    <t>Unit cost of Natural Gas</t>
  </si>
  <si>
    <t>Nitrogen Gas Use</t>
  </si>
  <si>
    <t>Propane Gas in MMBTU</t>
  </si>
  <si>
    <t>Total Welding Gas Cost</t>
  </si>
  <si>
    <t>Dgal</t>
  </si>
  <si>
    <t>Email from client</t>
  </si>
  <si>
    <t xml:space="preserve">diesel usage in gallons (per year or per month)? 12,000 gallons per month </t>
  </si>
  <si>
    <t>$/Gal</t>
  </si>
  <si>
    <t>Dcost/yr</t>
  </si>
  <si>
    <t>Pre-assessment form</t>
  </si>
  <si>
    <t>Landfill Gas Use</t>
  </si>
  <si>
    <t>LGMMBTU</t>
  </si>
  <si>
    <t>Total Diesel USE In MMBTU</t>
  </si>
  <si>
    <t>1 mmbtu =1,000,000 btu</t>
  </si>
  <si>
    <t>D2B</t>
  </si>
  <si>
    <t>Amount of diesel in one Btu</t>
  </si>
  <si>
    <t>https://www.eia.gov/energyexplained/index.cfm/index.cfm?page=about_btu</t>
  </si>
  <si>
    <t>Landfill Cost</t>
  </si>
  <si>
    <t>LGCost</t>
  </si>
  <si>
    <t>Total Diesel Cost</t>
  </si>
  <si>
    <t>Client gave us this monthly cost</t>
  </si>
  <si>
    <t>Unit Cost of LG</t>
  </si>
  <si>
    <t>LGunit</t>
  </si>
  <si>
    <t>Unit cost of Diesel</t>
  </si>
  <si>
    <t>#2 #6</t>
  </si>
  <si>
    <t>Energy Use in MMbtu</t>
  </si>
  <si>
    <t>NRGU</t>
  </si>
  <si>
    <t>Total Energy Use In MMBTU</t>
  </si>
  <si>
    <t>EBTU+GBTU+DMMBTU</t>
  </si>
  <si>
    <t>Energy Cost</t>
  </si>
  <si>
    <t>NRGC</t>
  </si>
  <si>
    <t>ECOST+GCOST+DCOST</t>
  </si>
  <si>
    <t>Carbon Print</t>
  </si>
  <si>
    <t>Total CO2</t>
  </si>
  <si>
    <t>Total Carbon Footprint</t>
  </si>
  <si>
    <t>E_CO2</t>
  </si>
  <si>
    <t>Electrical Carbon Footprint TON CO2/yr</t>
  </si>
  <si>
    <t>lb to Ton conversion</t>
  </si>
  <si>
    <t>NG_CO2</t>
  </si>
  <si>
    <t>Natural Gas Carbon Footprint TON CO2/yr</t>
  </si>
  <si>
    <t>Diesel_CO2</t>
  </si>
  <si>
    <t>Diesel Carbon Footprint TON CO2/yr</t>
  </si>
  <si>
    <t>PR_CO2</t>
  </si>
  <si>
    <t>Propane co2 emission ton /yr</t>
  </si>
  <si>
    <t>lb2Ton</t>
  </si>
  <si>
    <t>Ton =lb*0.0005</t>
  </si>
  <si>
    <t>https://www.google.com/webhp?sourceid=chrome-instant&amp;rlz=1C1CAFA_enUS654US654&amp;ion=1&amp;espv=2&amp;ie=UTF-8#q=lbs+to+ton&amp;*</t>
  </si>
  <si>
    <t>lbs/Mwh</t>
  </si>
  <si>
    <t>SRMV Area</t>
  </si>
  <si>
    <t>CO2 emission lb/mwh in SRMV area (electricity)</t>
  </si>
  <si>
    <t>https://www.epa.gov/sites/production/files/2015-10/documents/egrid2012_ghgoutputrates_0.pdf</t>
  </si>
  <si>
    <t>EMWH</t>
  </si>
  <si>
    <t>Electricity in MWH</t>
  </si>
  <si>
    <t>mmbtu2MWH</t>
  </si>
  <si>
    <t>MMBTU to MWH Conversion rate</t>
  </si>
  <si>
    <t>MWH=MMBT*.293</t>
  </si>
  <si>
    <t>https://www.google.com/webhp?sourceid=chrome-instant&amp;rlz=1C1CAFA_enUS654US654&amp;ion=1&amp;espv=2&amp;ie=UTF-8#q=mmbtu+to+mwh&amp;*</t>
  </si>
  <si>
    <t>ng_co2_lbs</t>
  </si>
  <si>
    <t>co2 lbs / mmbtu (natural gas)</t>
  </si>
  <si>
    <t>https://www.eia.gov/environment/emissions/co2_vol_mass.cfm</t>
  </si>
  <si>
    <t>diesel_co2_lbs</t>
  </si>
  <si>
    <t>co2 lbs / mmbtu (diesel)</t>
  </si>
  <si>
    <t>pr_co2_lbs</t>
  </si>
  <si>
    <t>co2 lbs / mmbtu (propane gas)</t>
  </si>
  <si>
    <t>Elb</t>
  </si>
  <si>
    <t>Electric Carbon Footprint lb CO2/yr</t>
  </si>
  <si>
    <t>#8</t>
  </si>
  <si>
    <t>gallon2ton</t>
  </si>
  <si>
    <t>Ton =gallon*0.03149</t>
  </si>
  <si>
    <t>https://www.convertunits.com/from/gallon/to/ton</t>
  </si>
  <si>
    <t>Energy Application</t>
  </si>
  <si>
    <t>Power (hp)</t>
  </si>
  <si>
    <t>Quantity</t>
  </si>
  <si>
    <t>Total Power (hp)</t>
  </si>
  <si>
    <t>Percentage</t>
  </si>
  <si>
    <t>Welding Machines</t>
  </si>
  <si>
    <t>Chillers</t>
  </si>
  <si>
    <t>Air 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</si>
</sst>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000"/>
    <numFmt numFmtId="166" formatCode="_(&quot;$&quot;* #,##0_);_(&quot;$&quot;* \(#,##0\);_(&quot;$&quot;* &quot;-&quot;??_);_(@_)"/>
    <numFmt numFmtId="167" formatCode="_(* #,##0_);_(* \(#,##0\);_(* &quot;-&quot;??_);_(@_)"/>
    <numFmt numFmtId="168" formatCode="0.0000"/>
    <numFmt numFmtId="169" formatCode="&quot;$&quot;#,##0"/>
    <numFmt numFmtId="170" formatCode="0.0%"/>
    <numFmt numFmtId="171" formatCode="_-* #,##0.00_-;\-* #,##0.00_-;_-* &quot;-&quot;??_-;_-@_-"/>
    <numFmt numFmtId="172" formatCode="&quot;$&quot;#,##0.000_);[Red]\(&quot;$&quot;#,##0.000\)"/>
    <numFmt numFmtId="173" formatCode="[$-409]mmm\-yy;@"/>
  </numFmts>
  <fonts count="27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3F3F3F"/>
      <name val="Aptos Narrow"/>
      <family val="2"/>
      <scheme val="minor"/>
    </font>
    <font>
      <sz val="12"/>
      <color theme="1"/>
      <name val="Palatino Linotype"/>
      <family val="1"/>
    </font>
    <font>
      <sz val="11"/>
      <color rgb="FF323130"/>
      <name val="Aptos Narrow"/>
      <family val="2"/>
      <scheme val="minor"/>
    </font>
    <font>
      <sz val="11"/>
      <color rgb="FFFF0000"/>
      <name val="Calibri (Body)_x0000_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3" borderId="2" applyNumberFormat="0" applyAlignment="0" applyProtection="0"/>
    <xf numFmtId="0" fontId="3" fillId="0" borderId="0"/>
    <xf numFmtId="0" fontId="6" fillId="0" borderId="0"/>
    <xf numFmtId="0" fontId="11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</cellStyleXfs>
  <cellXfs count="201">
    <xf numFmtId="0" fontId="0" fillId="0" borderId="0" xfId="0"/>
    <xf numFmtId="0" fontId="3" fillId="0" borderId="0" xfId="2"/>
    <xf numFmtId="0" fontId="7" fillId="0" borderId="0" xfId="3" applyFont="1"/>
    <xf numFmtId="10" fontId="7" fillId="0" borderId="0" xfId="3" applyNumberFormat="1" applyFont="1"/>
    <xf numFmtId="0" fontId="10" fillId="0" borderId="0" xfId="3" applyFont="1"/>
    <xf numFmtId="0" fontId="3" fillId="0" borderId="0" xfId="2" applyAlignment="1">
      <alignment horizontal="left"/>
    </xf>
    <xf numFmtId="0" fontId="11" fillId="0" borderId="0" xfId="4"/>
    <xf numFmtId="2" fontId="3" fillId="0" borderId="0" xfId="2" applyNumberFormat="1"/>
    <xf numFmtId="0" fontId="3" fillId="0" borderId="3" xfId="2" applyBorder="1" applyAlignment="1">
      <alignment horizontal="center"/>
    </xf>
    <xf numFmtId="0" fontId="3" fillId="0" borderId="4" xfId="2" applyBorder="1"/>
    <xf numFmtId="0" fontId="3" fillId="0" borderId="4" xfId="2" applyBorder="1" applyAlignment="1">
      <alignment horizontal="center"/>
    </xf>
    <xf numFmtId="0" fontId="3" fillId="0" borderId="5" xfId="2" applyBorder="1" applyAlignment="1">
      <alignment horizontal="left"/>
    </xf>
    <xf numFmtId="0" fontId="3" fillId="0" borderId="0" xfId="2" applyAlignment="1">
      <alignment horizontal="center"/>
    </xf>
    <xf numFmtId="2" fontId="3" fillId="0" borderId="0" xfId="2" applyNumberFormat="1" applyAlignment="1">
      <alignment horizontal="center"/>
    </xf>
    <xf numFmtId="0" fontId="3" fillId="0" borderId="6" xfId="2" applyBorder="1" applyAlignment="1">
      <alignment horizontal="left"/>
    </xf>
    <xf numFmtId="0" fontId="12" fillId="0" borderId="7" xfId="2" applyFont="1" applyBorder="1" applyAlignment="1">
      <alignment horizontal="center"/>
    </xf>
    <xf numFmtId="0" fontId="11" fillId="0" borderId="7" xfId="4" applyBorder="1" applyAlignment="1">
      <alignment horizontal="left"/>
    </xf>
    <xf numFmtId="2" fontId="13" fillId="0" borderId="0" xfId="2" applyNumberFormat="1" applyFont="1" applyAlignment="1">
      <alignment horizontal="center"/>
    </xf>
    <xf numFmtId="0" fontId="13" fillId="0" borderId="6" xfId="2" applyFont="1" applyBorder="1" applyAlignment="1">
      <alignment horizontal="left"/>
    </xf>
    <xf numFmtId="164" fontId="13" fillId="0" borderId="0" xfId="2" applyNumberFormat="1" applyFont="1" applyAlignment="1">
      <alignment horizontal="center"/>
    </xf>
    <xf numFmtId="0" fontId="3" fillId="0" borderId="7" xfId="2" applyBorder="1" applyAlignment="1">
      <alignment horizontal="center"/>
    </xf>
    <xf numFmtId="1" fontId="13" fillId="0" borderId="0" xfId="2" applyNumberFormat="1" applyFont="1" applyAlignment="1">
      <alignment horizontal="center"/>
    </xf>
    <xf numFmtId="165" fontId="3" fillId="0" borderId="0" xfId="2" applyNumberFormat="1" applyAlignment="1">
      <alignment horizontal="center"/>
    </xf>
    <xf numFmtId="165" fontId="13" fillId="0" borderId="0" xfId="2" applyNumberFormat="1" applyFont="1" applyAlignment="1">
      <alignment horizontal="center"/>
    </xf>
    <xf numFmtId="3" fontId="3" fillId="0" borderId="0" xfId="2" applyNumberFormat="1" applyAlignment="1">
      <alignment horizontal="center"/>
    </xf>
    <xf numFmtId="3" fontId="13" fillId="0" borderId="0" xfId="2" applyNumberFormat="1" applyFont="1" applyAlignment="1">
      <alignment horizontal="center"/>
    </xf>
    <xf numFmtId="0" fontId="3" fillId="4" borderId="7" xfId="2" applyFill="1" applyBorder="1" applyAlignment="1">
      <alignment horizontal="center"/>
    </xf>
    <xf numFmtId="0" fontId="3" fillId="4" borderId="0" xfId="2" applyFill="1" applyAlignment="1">
      <alignment horizontal="center"/>
    </xf>
    <xf numFmtId="2" fontId="3" fillId="4" borderId="0" xfId="2" applyNumberFormat="1" applyFill="1" applyAlignment="1">
      <alignment horizontal="center"/>
    </xf>
    <xf numFmtId="2" fontId="13" fillId="4" borderId="0" xfId="2" applyNumberFormat="1" applyFont="1" applyFill="1" applyAlignment="1">
      <alignment horizontal="center"/>
    </xf>
    <xf numFmtId="0" fontId="3" fillId="4" borderId="6" xfId="2" applyFill="1" applyBorder="1" applyAlignment="1">
      <alignment horizontal="left"/>
    </xf>
    <xf numFmtId="0" fontId="3" fillId="0" borderId="8" xfId="2" applyBorder="1" applyAlignment="1">
      <alignment horizontal="center"/>
    </xf>
    <xf numFmtId="0" fontId="3" fillId="0" borderId="9" xfId="2" applyBorder="1"/>
    <xf numFmtId="2" fontId="3" fillId="0" borderId="9" xfId="2" applyNumberFormat="1" applyBorder="1" applyAlignment="1">
      <alignment horizontal="center"/>
    </xf>
    <xf numFmtId="2" fontId="13" fillId="0" borderId="9" xfId="2" applyNumberFormat="1" applyFont="1" applyBorder="1" applyAlignment="1">
      <alignment horizontal="center"/>
    </xf>
    <xf numFmtId="0" fontId="5" fillId="0" borderId="10" xfId="2" applyFont="1" applyBorder="1" applyAlignment="1">
      <alignment horizontal="left"/>
    </xf>
    <xf numFmtId="0" fontId="12" fillId="0" borderId="0" xfId="2" applyFont="1" applyAlignment="1">
      <alignment horizontal="center"/>
    </xf>
    <xf numFmtId="0" fontId="13" fillId="0" borderId="0" xfId="2" applyFont="1" applyAlignment="1">
      <alignment horizontal="left"/>
    </xf>
    <xf numFmtId="0" fontId="12" fillId="0" borderId="3" xfId="2" applyFont="1" applyBorder="1" applyAlignment="1">
      <alignment horizontal="center"/>
    </xf>
    <xf numFmtId="2" fontId="3" fillId="0" borderId="4" xfId="2" applyNumberFormat="1" applyBorder="1" applyAlignment="1">
      <alignment horizontal="center"/>
    </xf>
    <xf numFmtId="1" fontId="13" fillId="0" borderId="4" xfId="2" applyNumberFormat="1" applyFont="1" applyBorder="1" applyAlignment="1">
      <alignment horizontal="center"/>
    </xf>
    <xf numFmtId="0" fontId="5" fillId="0" borderId="6" xfId="2" applyFont="1" applyBorder="1" applyAlignment="1">
      <alignment horizontal="left"/>
    </xf>
    <xf numFmtId="0" fontId="3" fillId="0" borderId="7" xfId="2" applyBorder="1"/>
    <xf numFmtId="0" fontId="13" fillId="0" borderId="0" xfId="2" applyFont="1"/>
    <xf numFmtId="0" fontId="12" fillId="0" borderId="8" xfId="2" applyFont="1" applyBorder="1" applyAlignment="1">
      <alignment horizontal="center"/>
    </xf>
    <xf numFmtId="2" fontId="13" fillId="0" borderId="0" xfId="1" applyNumberFormat="1" applyFont="1" applyFill="1" applyBorder="1" applyAlignment="1">
      <alignment horizontal="center"/>
    </xf>
    <xf numFmtId="2" fontId="13" fillId="0" borderId="4" xfId="1" applyNumberFormat="1" applyFont="1" applyFill="1" applyBorder="1" applyAlignment="1">
      <alignment horizontal="center"/>
    </xf>
    <xf numFmtId="166" fontId="13" fillId="5" borderId="0" xfId="5" applyNumberFormat="1" applyFont="1" applyFill="1" applyAlignment="1">
      <alignment horizontal="center"/>
    </xf>
    <xf numFmtId="1" fontId="13" fillId="0" borderId="0" xfId="1" applyNumberFormat="1" applyFont="1" applyFill="1" applyBorder="1" applyAlignment="1">
      <alignment horizontal="center"/>
    </xf>
    <xf numFmtId="167" fontId="13" fillId="0" borderId="0" xfId="6" applyNumberFormat="1" applyFont="1" applyAlignment="1">
      <alignment horizontal="center"/>
    </xf>
    <xf numFmtId="0" fontId="3" fillId="0" borderId="7" xfId="2" applyBorder="1" applyAlignment="1">
      <alignment horizontal="left"/>
    </xf>
    <xf numFmtId="1" fontId="13" fillId="5" borderId="0" xfId="2" applyNumberFormat="1" applyFont="1" applyFill="1" applyAlignment="1">
      <alignment horizontal="center"/>
    </xf>
    <xf numFmtId="0" fontId="5" fillId="0" borderId="9" xfId="2" applyFont="1" applyBorder="1" applyAlignment="1">
      <alignment horizontal="center"/>
    </xf>
    <xf numFmtId="2" fontId="13" fillId="0" borderId="2" xfId="1" applyNumberFormat="1" applyFont="1" applyFill="1" applyAlignment="1">
      <alignment horizontal="center"/>
    </xf>
    <xf numFmtId="168" fontId="13" fillId="0" borderId="0" xfId="2" applyNumberFormat="1" applyFont="1" applyAlignment="1">
      <alignment horizontal="center"/>
    </xf>
    <xf numFmtId="1" fontId="13" fillId="5" borderId="0" xfId="1" applyNumberFormat="1" applyFont="1" applyFill="1" applyBorder="1"/>
    <xf numFmtId="164" fontId="13" fillId="0" borderId="2" xfId="1" applyNumberFormat="1" applyFont="1" applyFill="1" applyAlignment="1">
      <alignment horizontal="center"/>
    </xf>
    <xf numFmtId="164" fontId="3" fillId="0" borderId="4" xfId="2" applyNumberFormat="1" applyBorder="1"/>
    <xf numFmtId="164" fontId="3" fillId="0" borderId="4" xfId="2" applyNumberFormat="1" applyBorder="1" applyAlignment="1">
      <alignment horizontal="center"/>
    </xf>
    <xf numFmtId="164" fontId="13" fillId="5" borderId="2" xfId="1" applyNumberFormat="1" applyFont="1" applyFill="1" applyAlignment="1">
      <alignment horizontal="center"/>
    </xf>
    <xf numFmtId="44" fontId="13" fillId="0" borderId="0" xfId="5" applyFont="1" applyAlignment="1">
      <alignment horizontal="center"/>
    </xf>
    <xf numFmtId="0" fontId="3" fillId="0" borderId="6" xfId="2" applyBorder="1"/>
    <xf numFmtId="168" fontId="13" fillId="0" borderId="0" xfId="1" applyNumberFormat="1" applyFont="1" applyFill="1" applyBorder="1" applyAlignment="1">
      <alignment horizontal="center"/>
    </xf>
    <xf numFmtId="167" fontId="13" fillId="5" borderId="0" xfId="6" applyNumberFormat="1" applyFont="1" applyFill="1"/>
    <xf numFmtId="0" fontId="13" fillId="0" borderId="0" xfId="1" applyFont="1" applyFill="1" applyBorder="1"/>
    <xf numFmtId="43" fontId="13" fillId="0" borderId="0" xfId="6" applyFont="1" applyAlignment="1">
      <alignment horizontal="center"/>
    </xf>
    <xf numFmtId="166" fontId="13" fillId="5" borderId="0" xfId="1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/>
    </xf>
    <xf numFmtId="166" fontId="13" fillId="0" borderId="0" xfId="1" applyNumberFormat="1" applyFont="1" applyFill="1" applyBorder="1" applyAlignment="1">
      <alignment horizontal="center" vertical="center"/>
    </xf>
    <xf numFmtId="167" fontId="13" fillId="5" borderId="0" xfId="6" applyNumberFormat="1" applyFont="1" applyFill="1" applyAlignment="1">
      <alignment horizontal="center"/>
    </xf>
    <xf numFmtId="0" fontId="3" fillId="0" borderId="3" xfId="2" applyBorder="1"/>
    <xf numFmtId="1" fontId="14" fillId="5" borderId="4" xfId="2" applyNumberFormat="1" applyFont="1" applyFill="1" applyBorder="1" applyAlignment="1">
      <alignment horizontal="center"/>
    </xf>
    <xf numFmtId="0" fontId="5" fillId="0" borderId="0" xfId="2" applyFont="1"/>
    <xf numFmtId="0" fontId="13" fillId="0" borderId="0" xfId="2" applyFont="1" applyAlignment="1">
      <alignment horizontal="center"/>
    </xf>
    <xf numFmtId="1" fontId="13" fillId="5" borderId="0" xfId="1" applyNumberFormat="1" applyFont="1" applyFill="1" applyBorder="1" applyAlignment="1">
      <alignment horizontal="center"/>
    </xf>
    <xf numFmtId="166" fontId="17" fillId="5" borderId="0" xfId="1" applyNumberFormat="1" applyFont="1" applyFill="1" applyBorder="1" applyAlignment="1">
      <alignment horizontal="center"/>
    </xf>
    <xf numFmtId="0" fontId="18" fillId="0" borderId="0" xfId="0" applyFont="1"/>
    <xf numFmtId="1" fontId="3" fillId="0" borderId="0" xfId="2" applyNumberFormat="1" applyAlignment="1">
      <alignment horizontal="center"/>
    </xf>
    <xf numFmtId="11" fontId="3" fillId="0" borderId="6" xfId="2" applyNumberFormat="1" applyBorder="1" applyAlignment="1">
      <alignment horizontal="left"/>
    </xf>
    <xf numFmtId="3" fontId="19" fillId="6" borderId="0" xfId="2" applyNumberFormat="1" applyFont="1" applyFill="1"/>
    <xf numFmtId="44" fontId="0" fillId="0" borderId="0" xfId="5" applyFont="1" applyAlignment="1">
      <alignment horizontal="center"/>
    </xf>
    <xf numFmtId="166" fontId="14" fillId="5" borderId="0" xfId="5" applyNumberFormat="1" applyFont="1" applyFill="1" applyAlignment="1">
      <alignment vertical="center"/>
    </xf>
    <xf numFmtId="0" fontId="13" fillId="5" borderId="0" xfId="2" applyFont="1" applyFill="1" applyAlignment="1">
      <alignment horizontal="center"/>
    </xf>
    <xf numFmtId="0" fontId="3" fillId="5" borderId="0" xfId="2" applyFill="1" applyAlignment="1">
      <alignment horizontal="center"/>
    </xf>
    <xf numFmtId="167" fontId="14" fillId="5" borderId="0" xfId="6" applyNumberFormat="1" applyFont="1" applyFill="1" applyAlignment="1">
      <alignment horizontal="center"/>
    </xf>
    <xf numFmtId="14" fontId="3" fillId="0" borderId="0" xfId="2" applyNumberFormat="1" applyAlignment="1">
      <alignment horizontal="center"/>
    </xf>
    <xf numFmtId="14" fontId="3" fillId="5" borderId="0" xfId="2" applyNumberFormat="1" applyFill="1" applyAlignment="1">
      <alignment horizontal="center"/>
    </xf>
    <xf numFmtId="0" fontId="11" fillId="0" borderId="7" xfId="4" applyBorder="1"/>
    <xf numFmtId="1" fontId="3" fillId="5" borderId="0" xfId="2" applyNumberFormat="1" applyFill="1" applyAlignment="1">
      <alignment horizontal="center"/>
    </xf>
    <xf numFmtId="0" fontId="3" fillId="0" borderId="8" xfId="2" applyBorder="1"/>
    <xf numFmtId="14" fontId="3" fillId="0" borderId="0" xfId="2" applyNumberFormat="1"/>
    <xf numFmtId="0" fontId="3" fillId="0" borderId="1" xfId="2" applyBorder="1"/>
    <xf numFmtId="167" fontId="0" fillId="2" borderId="1" xfId="6" applyNumberFormat="1" applyFont="1" applyFill="1" applyBorder="1"/>
    <xf numFmtId="0" fontId="3" fillId="0" borderId="1" xfId="2" applyBorder="1" applyAlignment="1">
      <alignment horizontal="left"/>
    </xf>
    <xf numFmtId="169" fontId="3" fillId="0" borderId="0" xfId="2" applyNumberFormat="1"/>
    <xf numFmtId="0" fontId="3" fillId="2" borderId="0" xfId="2" applyFill="1" applyAlignment="1">
      <alignment horizontal="left"/>
    </xf>
    <xf numFmtId="169" fontId="4" fillId="2" borderId="2" xfId="1" applyNumberFormat="1" applyFill="1"/>
    <xf numFmtId="167" fontId="2" fillId="2" borderId="1" xfId="6" applyNumberFormat="1" applyFont="1" applyFill="1" applyBorder="1"/>
    <xf numFmtId="0" fontId="4" fillId="3" borderId="2" xfId="1"/>
    <xf numFmtId="169" fontId="4" fillId="3" borderId="2" xfId="1" applyNumberFormat="1"/>
    <xf numFmtId="167" fontId="4" fillId="3" borderId="2" xfId="1" applyNumberFormat="1"/>
    <xf numFmtId="2" fontId="4" fillId="3" borderId="2" xfId="1" applyNumberFormat="1"/>
    <xf numFmtId="2" fontId="4" fillId="2" borderId="2" xfId="1" applyNumberFormat="1" applyFill="1"/>
    <xf numFmtId="167" fontId="4" fillId="2" borderId="2" xfId="1" applyNumberFormat="1" applyFill="1"/>
    <xf numFmtId="170" fontId="4" fillId="3" borderId="2" xfId="1" applyNumberFormat="1"/>
    <xf numFmtId="164" fontId="4" fillId="2" borderId="2" xfId="1" applyNumberFormat="1" applyFill="1"/>
    <xf numFmtId="1" fontId="4" fillId="2" borderId="2" xfId="1" applyNumberFormat="1" applyFill="1" applyAlignment="1">
      <alignment horizontal="right"/>
    </xf>
    <xf numFmtId="167" fontId="4" fillId="2" borderId="2" xfId="1" applyNumberFormat="1" applyFill="1" applyAlignment="1">
      <alignment horizontal="center"/>
    </xf>
    <xf numFmtId="167" fontId="4" fillId="2" borderId="2" xfId="1" applyNumberFormat="1" applyFill="1" applyAlignment="1">
      <alignment horizontal="right"/>
    </xf>
    <xf numFmtId="0" fontId="4" fillId="2" borderId="2" xfId="1" applyFill="1" applyAlignment="1">
      <alignment horizontal="center"/>
    </xf>
    <xf numFmtId="0" fontId="20" fillId="0" borderId="0" xfId="2" applyFont="1"/>
    <xf numFmtId="167" fontId="4" fillId="2" borderId="2" xfId="6" applyNumberFormat="1" applyFont="1" applyFill="1" applyBorder="1" applyAlignment="1">
      <alignment horizontal="center"/>
    </xf>
    <xf numFmtId="2" fontId="4" fillId="2" borderId="2" xfId="1" applyNumberFormat="1" applyFill="1" applyAlignment="1">
      <alignment horizontal="right"/>
    </xf>
    <xf numFmtId="166" fontId="4" fillId="2" borderId="2" xfId="1" applyNumberFormat="1" applyFill="1" applyAlignment="1">
      <alignment horizontal="right"/>
    </xf>
    <xf numFmtId="14" fontId="4" fillId="2" borderId="2" xfId="1" applyNumberFormat="1" applyFill="1" applyAlignment="1">
      <alignment horizontal="center"/>
    </xf>
    <xf numFmtId="1" fontId="4" fillId="2" borderId="2" xfId="1" applyNumberFormat="1" applyFill="1" applyAlignment="1">
      <alignment horizontal="center"/>
    </xf>
    <xf numFmtId="0" fontId="21" fillId="0" borderId="10" xfId="2" applyFont="1" applyBorder="1" applyAlignment="1">
      <alignment horizontal="center"/>
    </xf>
    <xf numFmtId="0" fontId="21" fillId="0" borderId="9" xfId="2" applyFont="1" applyBorder="1" applyAlignment="1">
      <alignment horizontal="center" wrapText="1"/>
    </xf>
    <xf numFmtId="0" fontId="21" fillId="0" borderId="9" xfId="2" applyFont="1" applyBorder="1" applyAlignment="1">
      <alignment horizontal="center"/>
    </xf>
    <xf numFmtId="1" fontId="21" fillId="0" borderId="9" xfId="2" applyNumberFormat="1" applyFont="1" applyBorder="1" applyAlignment="1">
      <alignment horizontal="center"/>
    </xf>
    <xf numFmtId="1" fontId="21" fillId="2" borderId="9" xfId="2" applyNumberFormat="1" applyFont="1" applyFill="1" applyBorder="1" applyAlignment="1">
      <alignment horizontal="center"/>
    </xf>
    <xf numFmtId="2" fontId="21" fillId="0" borderId="8" xfId="2" applyNumberFormat="1" applyFont="1" applyBorder="1" applyAlignment="1">
      <alignment horizontal="center"/>
    </xf>
    <xf numFmtId="0" fontId="21" fillId="0" borderId="4" xfId="2" applyFont="1" applyBorder="1" applyAlignment="1">
      <alignment horizontal="center" wrapText="1"/>
    </xf>
    <xf numFmtId="0" fontId="21" fillId="0" borderId="4" xfId="2" applyFont="1" applyBorder="1" applyAlignment="1">
      <alignment horizontal="center"/>
    </xf>
    <xf numFmtId="1" fontId="21" fillId="0" borderId="4" xfId="2" applyNumberFormat="1" applyFont="1" applyBorder="1" applyAlignment="1">
      <alignment horizontal="center"/>
    </xf>
    <xf numFmtId="2" fontId="21" fillId="0" borderId="3" xfId="2" applyNumberFormat="1" applyFont="1" applyBorder="1" applyAlignment="1">
      <alignment horizontal="center"/>
    </xf>
    <xf numFmtId="0" fontId="21" fillId="0" borderId="0" xfId="2" applyFont="1" applyAlignment="1">
      <alignment horizontal="center" wrapText="1"/>
    </xf>
    <xf numFmtId="0" fontId="21" fillId="2" borderId="5" xfId="2" applyFont="1" applyFill="1" applyBorder="1" applyAlignment="1">
      <alignment horizontal="center"/>
    </xf>
    <xf numFmtId="3" fontId="22" fillId="0" borderId="12" xfId="0" applyNumberFormat="1" applyFont="1" applyBorder="1" applyAlignment="1">
      <alignment horizontal="center" vertical="center" wrapText="1"/>
    </xf>
    <xf numFmtId="3" fontId="22" fillId="0" borderId="3" xfId="0" applyNumberFormat="1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3" fontId="8" fillId="0" borderId="12" xfId="0" applyNumberFormat="1" applyFont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justify" vertical="center"/>
    </xf>
    <xf numFmtId="49" fontId="1" fillId="7" borderId="1" xfId="8" applyNumberFormat="1" applyFill="1" applyBorder="1" applyAlignment="1">
      <alignment horizontal="left" vertical="center"/>
    </xf>
    <xf numFmtId="49" fontId="1" fillId="7" borderId="1" xfId="8" applyNumberFormat="1" applyFill="1" applyBorder="1" applyAlignment="1">
      <alignment horizontal="center"/>
    </xf>
    <xf numFmtId="49" fontId="1" fillId="0" borderId="1" xfId="8" applyNumberFormat="1" applyBorder="1" applyAlignment="1">
      <alignment horizontal="center"/>
    </xf>
    <xf numFmtId="49" fontId="1" fillId="0" borderId="1" xfId="8" applyNumberFormat="1" applyBorder="1"/>
    <xf numFmtId="49" fontId="1" fillId="7" borderId="1" xfId="8" applyNumberFormat="1" applyFill="1" applyBorder="1"/>
    <xf numFmtId="0" fontId="1" fillId="0" borderId="1" xfId="8" applyBorder="1" applyAlignment="1">
      <alignment horizontal="left" vertical="center"/>
    </xf>
    <xf numFmtId="8" fontId="1" fillId="0" borderId="1" xfId="8" applyNumberFormat="1" applyBorder="1" applyAlignment="1">
      <alignment horizontal="center"/>
    </xf>
    <xf numFmtId="0" fontId="1" fillId="0" borderId="1" xfId="8" applyBorder="1" applyAlignment="1">
      <alignment horizontal="center"/>
    </xf>
    <xf numFmtId="0" fontId="1" fillId="0" borderId="1" xfId="8" applyBorder="1"/>
    <xf numFmtId="6" fontId="1" fillId="0" borderId="1" xfId="8" applyNumberFormat="1" applyBorder="1" applyAlignment="1">
      <alignment horizontal="center"/>
    </xf>
    <xf numFmtId="0" fontId="1" fillId="0" borderId="0" xfId="8" applyAlignment="1">
      <alignment horizontal="left" vertical="center"/>
    </xf>
    <xf numFmtId="0" fontId="1" fillId="0" borderId="0" xfId="8" applyAlignment="1">
      <alignment horizontal="center"/>
    </xf>
    <xf numFmtId="0" fontId="1" fillId="0" borderId="0" xfId="8"/>
    <xf numFmtId="8" fontId="1" fillId="0" borderId="0" xfId="8" applyNumberFormat="1" applyAlignment="1">
      <alignment horizontal="center"/>
    </xf>
    <xf numFmtId="16" fontId="1" fillId="7" borderId="1" xfId="8" applyNumberFormat="1" applyFill="1" applyBorder="1" applyAlignment="1">
      <alignment horizontal="center" vertical="center"/>
    </xf>
    <xf numFmtId="16" fontId="1" fillId="7" borderId="15" xfId="8" applyNumberFormat="1" applyFill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7" borderId="1" xfId="8" applyFill="1" applyBorder="1"/>
    <xf numFmtId="0" fontId="1" fillId="0" borderId="1" xfId="8" applyBorder="1" applyAlignment="1">
      <alignment horizontal="center" vertical="center"/>
    </xf>
    <xf numFmtId="0" fontId="1" fillId="0" borderId="15" xfId="8" applyBorder="1" applyAlignment="1">
      <alignment horizontal="center" vertical="center"/>
    </xf>
    <xf numFmtId="49" fontId="1" fillId="7" borderId="1" xfId="8" applyNumberFormat="1" applyFill="1" applyBorder="1" applyAlignment="1">
      <alignment horizontal="center" vertical="center"/>
    </xf>
    <xf numFmtId="49" fontId="1" fillId="7" borderId="15" xfId="8" applyNumberFormat="1" applyFill="1" applyBorder="1" applyAlignment="1">
      <alignment horizontal="center" vertical="center"/>
    </xf>
    <xf numFmtId="0" fontId="1" fillId="0" borderId="15" xfId="8" applyBorder="1" applyAlignment="1">
      <alignment horizontal="center"/>
    </xf>
    <xf numFmtId="0" fontId="24" fillId="0" borderId="3" xfId="0" applyFont="1" applyBorder="1" applyAlignment="1">
      <alignment vertical="center"/>
    </xf>
    <xf numFmtId="9" fontId="24" fillId="0" borderId="3" xfId="0" applyNumberFormat="1" applyFont="1" applyBorder="1" applyAlignment="1">
      <alignment vertical="center"/>
    </xf>
    <xf numFmtId="0" fontId="25" fillId="0" borderId="8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4" fontId="0" fillId="0" borderId="0" xfId="0" applyNumberFormat="1"/>
    <xf numFmtId="0" fontId="0" fillId="0" borderId="1" xfId="2" applyFont="1" applyBorder="1" applyAlignment="1">
      <alignment horizontal="left"/>
    </xf>
    <xf numFmtId="172" fontId="1" fillId="0" borderId="0" xfId="8" applyNumberFormat="1" applyAlignment="1">
      <alignment horizontal="center"/>
    </xf>
    <xf numFmtId="0" fontId="21" fillId="0" borderId="0" xfId="8" applyFont="1"/>
    <xf numFmtId="172" fontId="21" fillId="0" borderId="0" xfId="8" applyNumberFormat="1" applyFont="1" applyAlignment="1">
      <alignment horizontal="center"/>
    </xf>
    <xf numFmtId="164" fontId="0" fillId="0" borderId="0" xfId="0" applyNumberFormat="1"/>
    <xf numFmtId="168" fontId="4" fillId="2" borderId="2" xfId="1" applyNumberFormat="1" applyFill="1"/>
    <xf numFmtId="168" fontId="0" fillId="0" borderId="0" xfId="2" applyNumberFormat="1" applyFont="1"/>
    <xf numFmtId="173" fontId="1" fillId="7" borderId="1" xfId="8" applyNumberForma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9" fontId="24" fillId="0" borderId="11" xfId="0" applyNumberFormat="1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1" fillId="0" borderId="0" xfId="2" applyFont="1" applyAlignment="1">
      <alignment horizontal="center"/>
    </xf>
    <xf numFmtId="1" fontId="1" fillId="0" borderId="0" xfId="2" applyNumberFormat="1" applyFont="1" applyAlignment="1">
      <alignment horizontal="center"/>
    </xf>
    <xf numFmtId="2" fontId="1" fillId="0" borderId="0" xfId="2" applyNumberFormat="1" applyFont="1" applyAlignment="1">
      <alignment horizontal="center"/>
    </xf>
    <xf numFmtId="0" fontId="1" fillId="0" borderId="5" xfId="2" applyFont="1" applyBorder="1" applyAlignment="1">
      <alignment horizontal="center"/>
    </xf>
    <xf numFmtId="0" fontId="1" fillId="0" borderId="6" xfId="2" applyFont="1" applyBorder="1" applyAlignment="1">
      <alignment horizontal="center"/>
    </xf>
    <xf numFmtId="3" fontId="1" fillId="0" borderId="0" xfId="2" applyNumberFormat="1" applyFont="1" applyAlignment="1">
      <alignment horizontal="center"/>
    </xf>
    <xf numFmtId="167" fontId="1" fillId="0" borderId="0" xfId="6" applyNumberFormat="1" applyFont="1" applyBorder="1" applyAlignment="1">
      <alignment horizontal="center"/>
    </xf>
    <xf numFmtId="4" fontId="1" fillId="0" borderId="7" xfId="2" applyNumberFormat="1" applyFont="1" applyBorder="1" applyAlignment="1">
      <alignment horizontal="center"/>
    </xf>
    <xf numFmtId="0" fontId="1" fillId="0" borderId="0" xfId="2" applyFont="1" applyAlignment="1">
      <alignment horizontal="center" wrapText="1"/>
    </xf>
    <xf numFmtId="3" fontId="1" fillId="0" borderId="0" xfId="2" applyNumberFormat="1" applyFont="1" applyAlignment="1">
      <alignment horizontal="right"/>
    </xf>
    <xf numFmtId="0" fontId="1" fillId="2" borderId="4" xfId="2" applyFont="1" applyFill="1" applyBorder="1" applyAlignment="1">
      <alignment horizontal="center"/>
    </xf>
    <xf numFmtId="167" fontId="1" fillId="2" borderId="4" xfId="7" applyNumberFormat="1" applyFont="1" applyFill="1" applyBorder="1" applyAlignment="1">
      <alignment horizontal="center"/>
    </xf>
    <xf numFmtId="4" fontId="1" fillId="2" borderId="3" xfId="2" applyNumberFormat="1" applyFont="1" applyFill="1" applyBorder="1" applyAlignment="1">
      <alignment horizontal="center"/>
    </xf>
    <xf numFmtId="10" fontId="1" fillId="2" borderId="0" xfId="2" applyNumberFormat="1" applyFont="1" applyFill="1" applyAlignment="1">
      <alignment horizontal="center"/>
    </xf>
  </cellXfs>
  <cellStyles count="9">
    <cellStyle name="Comma 2" xfId="6" xr:uid="{8242C5E5-8C50-4F92-9EDB-123C9491067D}"/>
    <cellStyle name="Comma 2 2" xfId="7" xr:uid="{27ED0F53-8BDB-4C30-9894-16131B000544}"/>
    <cellStyle name="Currency 2" xfId="5" xr:uid="{8FA46096-2547-4DBA-AAF1-E019A8407C97}"/>
    <cellStyle name="Hyperlink 2" xfId="4" xr:uid="{0A15A7AF-2D76-4F96-B8F4-604016A305AE}"/>
    <cellStyle name="Normal" xfId="0" builtinId="0"/>
    <cellStyle name="Normal 2" xfId="3" xr:uid="{729C9B74-8868-47CD-86D8-3F76E4C8D1B5}"/>
    <cellStyle name="Normal 3" xfId="2" xr:uid="{B34FBD6F-DCDD-412C-A7DA-99B05C2FCDBA}"/>
    <cellStyle name="Normal 4" xfId="8" xr:uid="{D6B2AFC1-8D2C-0E45-A1C1-51EA5EA11D1F}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Electricity Cost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'Energy (2)'!$B$37:$M$37</c:f>
              <c:strCache>
                <c:ptCount val="12"/>
                <c:pt idx="0">
                  <c:v>Aug-23</c:v>
                </c:pt>
                <c:pt idx="1">
                  <c:v>Sep-23</c:v>
                </c:pt>
                <c:pt idx="2">
                  <c:v>Oct-23</c:v>
                </c:pt>
                <c:pt idx="3">
                  <c:v>Nov-23</c:v>
                </c:pt>
                <c:pt idx="4">
                  <c:v>Dec-23</c:v>
                </c:pt>
                <c:pt idx="5">
                  <c:v>Jan-24</c:v>
                </c:pt>
                <c:pt idx="6">
                  <c:v>Feb-24</c:v>
                </c:pt>
                <c:pt idx="7">
                  <c:v>Mar-24</c:v>
                </c:pt>
                <c:pt idx="8">
                  <c:v>Apr-24</c:v>
                </c:pt>
                <c:pt idx="9">
                  <c:v>May-24</c:v>
                </c:pt>
                <c:pt idx="10">
                  <c:v>Jun-24</c:v>
                </c:pt>
                <c:pt idx="11">
                  <c:v>Jul-24</c:v>
                </c:pt>
              </c:strCache>
            </c:strRef>
          </c:cat>
          <c:val>
            <c:numRef>
              <c:f>'Energy (2)'!$B$42:$M$42</c:f>
              <c:numCache>
                <c:formatCode>"$"#,##0.00_);[Red]\("$"#,##0.00\)</c:formatCode>
                <c:ptCount val="12"/>
                <c:pt idx="0">
                  <c:v>34111.1</c:v>
                </c:pt>
                <c:pt idx="1">
                  <c:v>31416.230000000003</c:v>
                </c:pt>
                <c:pt idx="2">
                  <c:v>26793.07</c:v>
                </c:pt>
                <c:pt idx="3">
                  <c:v>21193.27</c:v>
                </c:pt>
                <c:pt idx="4">
                  <c:v>20531.89</c:v>
                </c:pt>
                <c:pt idx="5">
                  <c:v>23412.28</c:v>
                </c:pt>
                <c:pt idx="6">
                  <c:v>19265.810000000001</c:v>
                </c:pt>
                <c:pt idx="7">
                  <c:v>22121.63</c:v>
                </c:pt>
                <c:pt idx="8">
                  <c:v>24063.989999999998</c:v>
                </c:pt>
                <c:pt idx="9">
                  <c:v>26481.379999999997</c:v>
                </c:pt>
                <c:pt idx="10">
                  <c:v>28137.37</c:v>
                </c:pt>
                <c:pt idx="11">
                  <c:v>31300.29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1-4522-B020-FAA5018E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6514055"/>
        <c:axId val="656532487"/>
      </c:barChart>
      <c:lineChart>
        <c:grouping val="standard"/>
        <c:varyColors val="0"/>
        <c:ser>
          <c:idx val="1"/>
          <c:order val="1"/>
          <c:tx>
            <c:strRef>
              <c:f>'Energy (2)'!$A$42</c:f>
              <c:strCache>
                <c:ptCount val="1"/>
                <c:pt idx="0">
                  <c:v>Monthly Energy Charge ($)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'Energy (2)'!$B$42:$M$42</c:f>
              <c:numCache>
                <c:formatCode>"$"#,##0.00_);[Red]\("$"#,##0.00\)</c:formatCode>
                <c:ptCount val="12"/>
                <c:pt idx="0">
                  <c:v>34111.1</c:v>
                </c:pt>
                <c:pt idx="1">
                  <c:v>31416.230000000003</c:v>
                </c:pt>
                <c:pt idx="2">
                  <c:v>26793.07</c:v>
                </c:pt>
                <c:pt idx="3">
                  <c:v>21193.27</c:v>
                </c:pt>
                <c:pt idx="4">
                  <c:v>20531.89</c:v>
                </c:pt>
                <c:pt idx="5">
                  <c:v>23412.28</c:v>
                </c:pt>
                <c:pt idx="6">
                  <c:v>19265.810000000001</c:v>
                </c:pt>
                <c:pt idx="7">
                  <c:v>22121.63</c:v>
                </c:pt>
                <c:pt idx="8">
                  <c:v>24063.989999999998</c:v>
                </c:pt>
                <c:pt idx="9">
                  <c:v>26481.379999999997</c:v>
                </c:pt>
                <c:pt idx="10">
                  <c:v>28137.37</c:v>
                </c:pt>
                <c:pt idx="11">
                  <c:v>31300.29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1-4522-B020-FAA5018E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514055"/>
        <c:axId val="656532487"/>
      </c:lineChart>
      <c:catAx>
        <c:axId val="656514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32487"/>
        <c:crosses val="autoZero"/>
        <c:auto val="1"/>
        <c:lblAlgn val="ctr"/>
        <c:lblOffset val="100"/>
        <c:noMultiLvlLbl val="0"/>
      </c:catAx>
      <c:valAx>
        <c:axId val="656532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14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Gas Cost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Gas!$B$22:$M$22</c:f>
              <c:strCache>
                <c:ptCount val="12"/>
                <c:pt idx="0">
                  <c:v>May-24</c:v>
                </c:pt>
                <c:pt idx="1">
                  <c:v>Jun-23</c:v>
                </c:pt>
                <c:pt idx="2">
                  <c:v>Jul-23</c:v>
                </c:pt>
                <c:pt idx="3">
                  <c:v>Aug-23</c:v>
                </c:pt>
                <c:pt idx="4">
                  <c:v>Sep-23</c:v>
                </c:pt>
                <c:pt idx="5">
                  <c:v>Oct-23</c:v>
                </c:pt>
                <c:pt idx="6">
                  <c:v>Nov-23</c:v>
                </c:pt>
                <c:pt idx="7">
                  <c:v>Dec-23</c:v>
                </c:pt>
                <c:pt idx="8">
                  <c:v>Jan-24</c:v>
                </c:pt>
                <c:pt idx="9">
                  <c:v>Feb-24</c:v>
                </c:pt>
                <c:pt idx="10">
                  <c:v>Mar-24</c:v>
                </c:pt>
                <c:pt idx="11">
                  <c:v>Apr-24</c:v>
                </c:pt>
              </c:strCache>
            </c:strRef>
          </c:cat>
          <c:val>
            <c:numRef>
              <c:f>Gas!$B$23:$M$23</c:f>
              <c:numCache>
                <c:formatCode>General</c:formatCode>
                <c:ptCount val="12"/>
                <c:pt idx="0">
                  <c:v>1263.0900000000001</c:v>
                </c:pt>
                <c:pt idx="1">
                  <c:v>1353.45</c:v>
                </c:pt>
                <c:pt idx="2">
                  <c:v>1014.86</c:v>
                </c:pt>
                <c:pt idx="3">
                  <c:v>859.44</c:v>
                </c:pt>
                <c:pt idx="4">
                  <c:v>868.18000000000006</c:v>
                </c:pt>
                <c:pt idx="5">
                  <c:v>678.46</c:v>
                </c:pt>
                <c:pt idx="6">
                  <c:v>848.83999999999992</c:v>
                </c:pt>
                <c:pt idx="7">
                  <c:v>990.57</c:v>
                </c:pt>
                <c:pt idx="8">
                  <c:v>978.61999999999989</c:v>
                </c:pt>
                <c:pt idx="9">
                  <c:v>1273.5999999999999</c:v>
                </c:pt>
                <c:pt idx="10">
                  <c:v>1312.2099999999998</c:v>
                </c:pt>
                <c:pt idx="11">
                  <c:v>1470.1200000000001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B-4DFF-AB77-89345CCB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9944336"/>
        <c:axId val="204994481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Gas!$B$23:$M$23</c:f>
              <c:numCache>
                <c:formatCode>General</c:formatCode>
                <c:ptCount val="12"/>
                <c:pt idx="0">
                  <c:v>1263.0900000000001</c:v>
                </c:pt>
                <c:pt idx="1">
                  <c:v>1353.45</c:v>
                </c:pt>
                <c:pt idx="2">
                  <c:v>1014.86</c:v>
                </c:pt>
                <c:pt idx="3">
                  <c:v>859.44</c:v>
                </c:pt>
                <c:pt idx="4">
                  <c:v>868.18000000000006</c:v>
                </c:pt>
                <c:pt idx="5">
                  <c:v>678.46</c:v>
                </c:pt>
                <c:pt idx="6">
                  <c:v>848.83999999999992</c:v>
                </c:pt>
                <c:pt idx="7">
                  <c:v>990.57</c:v>
                </c:pt>
                <c:pt idx="8">
                  <c:v>978.61999999999989</c:v>
                </c:pt>
                <c:pt idx="9">
                  <c:v>1273.5999999999999</c:v>
                </c:pt>
                <c:pt idx="10">
                  <c:v>1312.2099999999998</c:v>
                </c:pt>
                <c:pt idx="11">
                  <c:v>1470.1200000000001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B-4DFF-AB77-89345CCB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944336"/>
        <c:axId val="2049944816"/>
      </c:lineChart>
      <c:catAx>
        <c:axId val="20499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44816"/>
        <c:crosses val="autoZero"/>
        <c:auto val="1"/>
        <c:lblAlgn val="ctr"/>
        <c:lblOffset val="100"/>
        <c:noMultiLvlLbl val="0"/>
      </c:catAx>
      <c:valAx>
        <c:axId val="20499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5F5E-9944-A069-44B3BD3FA2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5F5E-9944-A069-44B3BD3FA2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5F5E-9944-A069-44B3BD3FA2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5F5E-9944-A069-44B3BD3FA26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Welding</a:t>
                    </a:r>
                    <a:r>
                      <a:rPr lang="en-US" baseline="0"/>
                      <a:t> Machines</a:t>
                    </a:r>
                  </a:p>
                  <a:p>
                    <a:fld id="{1E64C62D-ECA3-A049-902A-2D1E9C87C3F5}" type="PERCENTA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F-5F5E-9944-A069-44B3BD3FA2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Chillers</a:t>
                    </a:r>
                  </a:p>
                  <a:p>
                    <a:fld id="{01376A93-9B83-FC48-AD5D-1543D57B25F1}" type="PERCENTA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5F5E-9944-A069-44B3BD3FA2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Air Compressor</a:t>
                    </a:r>
                  </a:p>
                  <a:p>
                    <a:fld id="{3CD6EDB3-BF0E-4243-9749-32427E43A4CA}" type="PERCENTA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2-5F5E-9944-A069-44B3BD3FA26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'Section 2 (2)'!$H$4:$H$7</c:f>
              <c:numCache>
                <c:formatCode>General</c:formatCode>
                <c:ptCount val="4"/>
                <c:pt idx="0">
                  <c:v>577</c:v>
                </c:pt>
                <c:pt idx="2">
                  <c:v>175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F5E-9944-A069-44B3BD3FA26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5F5E-9944-A069-44B3BD3FA2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5F5E-9944-A069-44B3BD3FA2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5F5E-9944-A069-44B3BD3FA2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5F5E-9944-A069-44B3BD3FA267}"/>
              </c:ext>
            </c:extLst>
          </c:dPt>
          <c:dLbls>
            <c:dLbl>
              <c:idx val="0"/>
              <c:layout>
                <c:manualLayout>
                  <c:x val="-0.18624639574524007"/>
                  <c:y val="9.6592010311644855E-2"/>
                </c:manualLayout>
              </c:layout>
              <c:tx>
                <c:rich>
                  <a:bodyPr rot="0" spcFirstLastPara="1" vertOverflow="ellipsis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Headrich Equipment
38%</a:t>
                    </a:r>
                    <a:endParaRPr lang="en-US"/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6-5F5E-9944-A069-44B3BD3FA267}"/>
                </c:ext>
              </c:extLst>
            </c:dLbl>
            <c:dLbl>
              <c:idx val="1"/>
              <c:layout>
                <c:manualLayout>
                  <c:x val="6.5509697667766945E-2"/>
                  <c:y val="-0.234836841894978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Sprinklers</a:t>
                    </a:r>
                    <a:r>
                      <a:rPr lang="en-US" baseline="0"/>
                      <a:t> Pump</a:t>
                    </a:r>
                    <a:endParaRPr lang="en-US"/>
                  </a:p>
                  <a:p>
                    <a:pPr>
                      <a:defRPr/>
                    </a:pPr>
                    <a:r>
                      <a:rPr lang="en-US"/>
                      <a:t>15%</a:t>
                    </a:r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5F5E-9944-A069-44B3BD3FA267}"/>
                </c:ext>
              </c:extLst>
            </c:dLbl>
            <c:dLbl>
              <c:idx val="2"/>
              <c:layout>
                <c:manualLayout>
                  <c:x val="0.17343820780606212"/>
                  <c:y val="-9.6661495789056043E-2"/>
                </c:manualLayout>
              </c:layout>
              <c:tx>
                <c:rich>
                  <a:bodyPr/>
                  <a:lstStyle/>
                  <a:p>
                    <a:fld id="{607BF8C5-57D0-4E37-8637-2F2F81331D3E}" type="CATEGORYNAME">
                      <a:rPr lang="en-US"/>
                      <a:pPr/>
                      <a:t>[]</a:t>
                    </a:fld>
                    <a:r>
                      <a:rPr lang="en-US"/>
                      <a:t> Air Compressor</a:t>
                    </a:r>
                    <a:r>
                      <a:rPr lang="en-US" baseline="0"/>
                      <a:t>
18%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5F5E-9944-A069-44B3BD3FA2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Packaging Machine </a:t>
                    </a:r>
                    <a:fld id="{03C9E9AA-CFA6-4172-A010-8513C2B1953D}" type="PERCENTAGE">
                      <a:rPr lang="en-US"/>
                      <a:pPr/>
                      <a:t>[]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5F5E-9944-A069-44B3BD3FA26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'Section 2 (2)'!$H$4:$H$7</c:f>
              <c:numCache>
                <c:formatCode>General</c:formatCode>
                <c:ptCount val="4"/>
                <c:pt idx="0">
                  <c:v>577</c:v>
                </c:pt>
                <c:pt idx="2">
                  <c:v>175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F5E-9944-A069-44B3BD3FA2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Demand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'Energy (2)'!$B$37:$M$37</c:f>
              <c:strCache>
                <c:ptCount val="12"/>
                <c:pt idx="0">
                  <c:v>Aug-23</c:v>
                </c:pt>
                <c:pt idx="1">
                  <c:v>Sep-23</c:v>
                </c:pt>
                <c:pt idx="2">
                  <c:v>Oct-23</c:v>
                </c:pt>
                <c:pt idx="3">
                  <c:v>Nov-23</c:v>
                </c:pt>
                <c:pt idx="4">
                  <c:v>Dec-23</c:v>
                </c:pt>
                <c:pt idx="5">
                  <c:v>Jan-24</c:v>
                </c:pt>
                <c:pt idx="6">
                  <c:v>Feb-24</c:v>
                </c:pt>
                <c:pt idx="7">
                  <c:v>Mar-24</c:v>
                </c:pt>
                <c:pt idx="8">
                  <c:v>Apr-24</c:v>
                </c:pt>
                <c:pt idx="9">
                  <c:v>May-24</c:v>
                </c:pt>
                <c:pt idx="10">
                  <c:v>Jun-24</c:v>
                </c:pt>
                <c:pt idx="11">
                  <c:v>Jul-24</c:v>
                </c:pt>
              </c:strCache>
            </c:strRef>
          </c:cat>
          <c:val>
            <c:numRef>
              <c:f>'Energy (2)'!$B$39:$M$39</c:f>
              <c:numCache>
                <c:formatCode>"$"#,##0.00_);[Red]\("$"#,##0.00\)</c:formatCode>
                <c:ptCount val="12"/>
                <c:pt idx="0">
                  <c:v>774.14</c:v>
                </c:pt>
                <c:pt idx="1">
                  <c:v>871.04</c:v>
                </c:pt>
                <c:pt idx="2">
                  <c:v>816.89</c:v>
                </c:pt>
                <c:pt idx="3">
                  <c:v>621</c:v>
                </c:pt>
                <c:pt idx="4">
                  <c:v>584.62</c:v>
                </c:pt>
                <c:pt idx="5">
                  <c:v>560.39</c:v>
                </c:pt>
                <c:pt idx="6">
                  <c:v>614.54</c:v>
                </c:pt>
                <c:pt idx="7">
                  <c:v>664.42</c:v>
                </c:pt>
                <c:pt idx="8">
                  <c:v>694.34</c:v>
                </c:pt>
                <c:pt idx="9">
                  <c:v>719.99</c:v>
                </c:pt>
                <c:pt idx="10">
                  <c:v>735.67</c:v>
                </c:pt>
                <c:pt idx="11">
                  <c:v>751.34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2-4400-99B2-5C4524F9C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91351072"/>
        <c:axId val="909739568"/>
      </c:barChart>
      <c:lineChart>
        <c:grouping val="standard"/>
        <c:varyColors val="0"/>
        <c:ser>
          <c:idx val="1"/>
          <c:order val="1"/>
          <c:tx>
            <c:strRef>
              <c:f>'Energy (2)'!$A$39</c:f>
              <c:strCache>
                <c:ptCount val="1"/>
                <c:pt idx="0">
                  <c:v>Demand Charge ($)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'Energy (2)'!$B$39:$M$39</c:f>
              <c:numCache>
                <c:formatCode>"$"#,##0.00_);[Red]\("$"#,##0.00\)</c:formatCode>
                <c:ptCount val="12"/>
                <c:pt idx="0">
                  <c:v>774.14</c:v>
                </c:pt>
                <c:pt idx="1">
                  <c:v>871.04</c:v>
                </c:pt>
                <c:pt idx="2">
                  <c:v>816.89</c:v>
                </c:pt>
                <c:pt idx="3">
                  <c:v>621</c:v>
                </c:pt>
                <c:pt idx="4">
                  <c:v>584.62</c:v>
                </c:pt>
                <c:pt idx="5">
                  <c:v>560.39</c:v>
                </c:pt>
                <c:pt idx="6">
                  <c:v>614.54</c:v>
                </c:pt>
                <c:pt idx="7">
                  <c:v>664.42</c:v>
                </c:pt>
                <c:pt idx="8">
                  <c:v>694.34</c:v>
                </c:pt>
                <c:pt idx="9">
                  <c:v>719.99</c:v>
                </c:pt>
                <c:pt idx="10">
                  <c:v>735.67</c:v>
                </c:pt>
                <c:pt idx="11">
                  <c:v>751.34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2-4400-99B2-5C4524F9C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51072"/>
        <c:axId val="909739568"/>
      </c:lineChart>
      <c:catAx>
        <c:axId val="159135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39568"/>
        <c:crosses val="autoZero"/>
        <c:auto val="1"/>
        <c:lblAlgn val="ctr"/>
        <c:lblOffset val="100"/>
        <c:noMultiLvlLbl val="0"/>
      </c:catAx>
      <c:valAx>
        <c:axId val="9097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Usage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'Energy (2)'!$B$37:$M$37</c:f>
              <c:strCache>
                <c:ptCount val="12"/>
                <c:pt idx="0">
                  <c:v>Aug-23</c:v>
                </c:pt>
                <c:pt idx="1">
                  <c:v>Sep-23</c:v>
                </c:pt>
                <c:pt idx="2">
                  <c:v>Oct-23</c:v>
                </c:pt>
                <c:pt idx="3">
                  <c:v>Nov-23</c:v>
                </c:pt>
                <c:pt idx="4">
                  <c:v>Dec-23</c:v>
                </c:pt>
                <c:pt idx="5">
                  <c:v>Jan-24</c:v>
                </c:pt>
                <c:pt idx="6">
                  <c:v>Feb-24</c:v>
                </c:pt>
                <c:pt idx="7">
                  <c:v>Mar-24</c:v>
                </c:pt>
                <c:pt idx="8">
                  <c:v>Apr-24</c:v>
                </c:pt>
                <c:pt idx="9">
                  <c:v>May-24</c:v>
                </c:pt>
                <c:pt idx="10">
                  <c:v>Jun-24</c:v>
                </c:pt>
                <c:pt idx="11">
                  <c:v>Jul-24</c:v>
                </c:pt>
              </c:strCache>
            </c:strRef>
          </c:cat>
          <c:val>
            <c:numRef>
              <c:f>'Energy (2)'!$B$40:$M$40</c:f>
              <c:numCache>
                <c:formatCode>General</c:formatCode>
                <c:ptCount val="12"/>
                <c:pt idx="0">
                  <c:v>347528</c:v>
                </c:pt>
                <c:pt idx="1">
                  <c:v>307937</c:v>
                </c:pt>
                <c:pt idx="2">
                  <c:v>226397</c:v>
                </c:pt>
                <c:pt idx="3">
                  <c:v>166861</c:v>
                </c:pt>
                <c:pt idx="4">
                  <c:v>169197</c:v>
                </c:pt>
                <c:pt idx="5">
                  <c:v>203607</c:v>
                </c:pt>
                <c:pt idx="6">
                  <c:v>148169</c:v>
                </c:pt>
                <c:pt idx="7">
                  <c:v>170703</c:v>
                </c:pt>
                <c:pt idx="8">
                  <c:v>192136</c:v>
                </c:pt>
                <c:pt idx="9">
                  <c:v>268754</c:v>
                </c:pt>
                <c:pt idx="10">
                  <c:v>263060</c:v>
                </c:pt>
                <c:pt idx="11">
                  <c:v>299160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4E2C-861A-E5BF59A1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91831616"/>
        <c:axId val="1392158496"/>
      </c:barChart>
      <c:lineChart>
        <c:grouping val="standard"/>
        <c:varyColors val="0"/>
        <c:ser>
          <c:idx val="1"/>
          <c:order val="1"/>
          <c:tx>
            <c:strRef>
              <c:f>'Energy (2)'!$A$40</c:f>
              <c:strCache>
                <c:ptCount val="1"/>
                <c:pt idx="0">
                  <c:v>kWh Usage (Metered)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'Energy (2)'!$B$40:$M$40</c:f>
              <c:numCache>
                <c:formatCode>General</c:formatCode>
                <c:ptCount val="12"/>
                <c:pt idx="0">
                  <c:v>347528</c:v>
                </c:pt>
                <c:pt idx="1">
                  <c:v>307937</c:v>
                </c:pt>
                <c:pt idx="2">
                  <c:v>226397</c:v>
                </c:pt>
                <c:pt idx="3">
                  <c:v>166861</c:v>
                </c:pt>
                <c:pt idx="4">
                  <c:v>169197</c:v>
                </c:pt>
                <c:pt idx="5">
                  <c:v>203607</c:v>
                </c:pt>
                <c:pt idx="6">
                  <c:v>148169</c:v>
                </c:pt>
                <c:pt idx="7">
                  <c:v>170703</c:v>
                </c:pt>
                <c:pt idx="8">
                  <c:v>192136</c:v>
                </c:pt>
                <c:pt idx="9">
                  <c:v>268754</c:v>
                </c:pt>
                <c:pt idx="10">
                  <c:v>263060</c:v>
                </c:pt>
                <c:pt idx="11">
                  <c:v>299160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0-4E2C-861A-E5BF59A1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831616"/>
        <c:axId val="1392158496"/>
      </c:lineChart>
      <c:catAx>
        <c:axId val="13918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58496"/>
        <c:crosses val="autoZero"/>
        <c:auto val="1"/>
        <c:lblAlgn val="ctr"/>
        <c:lblOffset val="100"/>
        <c:noMultiLvlLbl val="0"/>
      </c:catAx>
      <c:valAx>
        <c:axId val="13921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Usage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Demand Usage (kW)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'Energy (2)'!$B$37:$M$37</c:f>
              <c:strCache>
                <c:ptCount val="12"/>
                <c:pt idx="0">
                  <c:v>Aug-23</c:v>
                </c:pt>
                <c:pt idx="1">
                  <c:v>Sep-23</c:v>
                </c:pt>
                <c:pt idx="2">
                  <c:v>Oct-23</c:v>
                </c:pt>
                <c:pt idx="3">
                  <c:v>Nov-23</c:v>
                </c:pt>
                <c:pt idx="4">
                  <c:v>Dec-23</c:v>
                </c:pt>
                <c:pt idx="5">
                  <c:v>Jan-24</c:v>
                </c:pt>
                <c:pt idx="6">
                  <c:v>Feb-24</c:v>
                </c:pt>
                <c:pt idx="7">
                  <c:v>Mar-24</c:v>
                </c:pt>
                <c:pt idx="8">
                  <c:v>Apr-24</c:v>
                </c:pt>
                <c:pt idx="9">
                  <c:v>May-24</c:v>
                </c:pt>
                <c:pt idx="10">
                  <c:v>Jun-24</c:v>
                </c:pt>
                <c:pt idx="11">
                  <c:v>Jul-24</c:v>
                </c:pt>
              </c:strCache>
            </c:strRef>
          </c:cat>
          <c:val>
            <c:numRef>
              <c:f>'Energy (2)'!$B$41:$M$41</c:f>
              <c:numCache>
                <c:formatCode>General</c:formatCode>
                <c:ptCount val="12"/>
                <c:pt idx="0">
                  <c:v>235</c:v>
                </c:pt>
                <c:pt idx="1">
                  <c:v>240</c:v>
                </c:pt>
                <c:pt idx="2">
                  <c:v>250</c:v>
                </c:pt>
                <c:pt idx="3">
                  <c:v>182</c:v>
                </c:pt>
                <c:pt idx="4">
                  <c:v>168.5</c:v>
                </c:pt>
                <c:pt idx="5">
                  <c:v>160</c:v>
                </c:pt>
                <c:pt idx="6">
                  <c:v>179</c:v>
                </c:pt>
                <c:pt idx="7">
                  <c:v>196.5</c:v>
                </c:pt>
                <c:pt idx="8">
                  <c:v>207</c:v>
                </c:pt>
                <c:pt idx="9">
                  <c:v>216</c:v>
                </c:pt>
                <c:pt idx="10">
                  <c:v>221.5</c:v>
                </c:pt>
                <c:pt idx="11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4-4560-9CC5-8930AC87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27539472"/>
        <c:axId val="1727541200"/>
      </c:barChart>
      <c:lineChart>
        <c:grouping val="standard"/>
        <c:varyColors val="0"/>
        <c:ser>
          <c:idx val="1"/>
          <c:order val="1"/>
          <c:tx>
            <c:strRef>
              <c:f>'Energy (2)'!$A$41</c:f>
              <c:strCache>
                <c:ptCount val="1"/>
                <c:pt idx="0">
                  <c:v>Demand usage (kW Metered)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'Energy (2)'!$B$41:$M$41</c:f>
              <c:numCache>
                <c:formatCode>General</c:formatCode>
                <c:ptCount val="12"/>
                <c:pt idx="0">
                  <c:v>235</c:v>
                </c:pt>
                <c:pt idx="1">
                  <c:v>240</c:v>
                </c:pt>
                <c:pt idx="2">
                  <c:v>250</c:v>
                </c:pt>
                <c:pt idx="3">
                  <c:v>182</c:v>
                </c:pt>
                <c:pt idx="4">
                  <c:v>168.5</c:v>
                </c:pt>
                <c:pt idx="5">
                  <c:v>160</c:v>
                </c:pt>
                <c:pt idx="6">
                  <c:v>179</c:v>
                </c:pt>
                <c:pt idx="7">
                  <c:v>196.5</c:v>
                </c:pt>
                <c:pt idx="8">
                  <c:v>207</c:v>
                </c:pt>
                <c:pt idx="9">
                  <c:v>216</c:v>
                </c:pt>
                <c:pt idx="10">
                  <c:v>221.5</c:v>
                </c:pt>
                <c:pt idx="1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560-9CC5-8930AC87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539472"/>
        <c:axId val="1727541200"/>
      </c:lineChart>
      <c:catAx>
        <c:axId val="17275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41200"/>
        <c:crosses val="autoZero"/>
        <c:auto val="1"/>
        <c:lblAlgn val="ctr"/>
        <c:lblOffset val="100"/>
        <c:noMultiLvlLbl val="0"/>
      </c:catAx>
      <c:valAx>
        <c:axId val="17275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Usage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Electricity Cost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Energy!$B$37:$O$37</c:f>
              <c:strCache>
                <c:ptCount val="14"/>
                <c:pt idx="0">
                  <c:v>Jun-23</c:v>
                </c:pt>
                <c:pt idx="1">
                  <c:v>Jul-23</c:v>
                </c:pt>
                <c:pt idx="2">
                  <c:v>Aug-23</c:v>
                </c:pt>
                <c:pt idx="3">
                  <c:v>Sep-23</c:v>
                </c:pt>
                <c:pt idx="4">
                  <c:v>Oct-23</c:v>
                </c:pt>
                <c:pt idx="5">
                  <c:v>Nov-23</c:v>
                </c:pt>
                <c:pt idx="6">
                  <c:v>Dec-23</c:v>
                </c:pt>
                <c:pt idx="7">
                  <c:v>Jan-24</c:v>
                </c:pt>
                <c:pt idx="8">
                  <c:v>Feb-24</c:v>
                </c:pt>
                <c:pt idx="9">
                  <c:v>Mar-24</c:v>
                </c:pt>
                <c:pt idx="10">
                  <c:v>Apr-24</c:v>
                </c:pt>
                <c:pt idx="11">
                  <c:v>May-24</c:v>
                </c:pt>
                <c:pt idx="12">
                  <c:v>Jun-24</c:v>
                </c:pt>
                <c:pt idx="13">
                  <c:v>Jul-24</c:v>
                </c:pt>
              </c:strCache>
            </c:strRef>
          </c:cat>
          <c:val>
            <c:numRef>
              <c:f>Energy!$B$42:$O$42</c:f>
              <c:numCache>
                <c:formatCode>"$"#,##0.00_);[Red]\("$"#,##0.00\)</c:formatCode>
                <c:ptCount val="14"/>
                <c:pt idx="0">
                  <c:v>30141.43</c:v>
                </c:pt>
                <c:pt idx="1">
                  <c:v>32078.659999999996</c:v>
                </c:pt>
                <c:pt idx="2">
                  <c:v>34111.1</c:v>
                </c:pt>
                <c:pt idx="3">
                  <c:v>31416.230000000003</c:v>
                </c:pt>
                <c:pt idx="4">
                  <c:v>26793.07</c:v>
                </c:pt>
                <c:pt idx="5">
                  <c:v>21193.27</c:v>
                </c:pt>
                <c:pt idx="6">
                  <c:v>20531.89</c:v>
                </c:pt>
                <c:pt idx="7">
                  <c:v>23412.28</c:v>
                </c:pt>
                <c:pt idx="8">
                  <c:v>19265.810000000001</c:v>
                </c:pt>
                <c:pt idx="9">
                  <c:v>22121.63</c:v>
                </c:pt>
                <c:pt idx="10">
                  <c:v>24063.989999999998</c:v>
                </c:pt>
                <c:pt idx="11">
                  <c:v>26481.379999999997</c:v>
                </c:pt>
                <c:pt idx="12">
                  <c:v>28137.37</c:v>
                </c:pt>
                <c:pt idx="13">
                  <c:v>31300.29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E-7C41-92FD-A3439625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6514055"/>
        <c:axId val="656532487"/>
      </c:barChart>
      <c:lineChart>
        <c:grouping val="standard"/>
        <c:varyColors val="0"/>
        <c:ser>
          <c:idx val="1"/>
          <c:order val="1"/>
          <c:tx>
            <c:strRef>
              <c:f>Energy!$A$42</c:f>
              <c:strCache>
                <c:ptCount val="1"/>
                <c:pt idx="0">
                  <c:v>Monthly Energy Charge ($)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Energy!$B$42:$O$42</c:f>
              <c:numCache>
                <c:formatCode>"$"#,##0.00_);[Red]\("$"#,##0.00\)</c:formatCode>
                <c:ptCount val="14"/>
                <c:pt idx="0">
                  <c:v>30141.43</c:v>
                </c:pt>
                <c:pt idx="1">
                  <c:v>32078.659999999996</c:v>
                </c:pt>
                <c:pt idx="2">
                  <c:v>34111.1</c:v>
                </c:pt>
                <c:pt idx="3">
                  <c:v>31416.230000000003</c:v>
                </c:pt>
                <c:pt idx="4">
                  <c:v>26793.07</c:v>
                </c:pt>
                <c:pt idx="5">
                  <c:v>21193.27</c:v>
                </c:pt>
                <c:pt idx="6">
                  <c:v>20531.89</c:v>
                </c:pt>
                <c:pt idx="7">
                  <c:v>23412.28</c:v>
                </c:pt>
                <c:pt idx="8">
                  <c:v>19265.810000000001</c:v>
                </c:pt>
                <c:pt idx="9">
                  <c:v>22121.63</c:v>
                </c:pt>
                <c:pt idx="10">
                  <c:v>24063.989999999998</c:v>
                </c:pt>
                <c:pt idx="11">
                  <c:v>26481.379999999997</c:v>
                </c:pt>
                <c:pt idx="12">
                  <c:v>28137.37</c:v>
                </c:pt>
                <c:pt idx="13">
                  <c:v>31300.29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E-7C41-92FD-A3439625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514055"/>
        <c:axId val="656532487"/>
      </c:lineChart>
      <c:catAx>
        <c:axId val="656514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32487"/>
        <c:crosses val="autoZero"/>
        <c:auto val="1"/>
        <c:lblAlgn val="ctr"/>
        <c:lblOffset val="100"/>
        <c:noMultiLvlLbl val="0"/>
      </c:catAx>
      <c:valAx>
        <c:axId val="656532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14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Demand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Energy!$B$37:$O$37</c:f>
              <c:strCache>
                <c:ptCount val="14"/>
                <c:pt idx="0">
                  <c:v>Jun-23</c:v>
                </c:pt>
                <c:pt idx="1">
                  <c:v>Jul-23</c:v>
                </c:pt>
                <c:pt idx="2">
                  <c:v>Aug-23</c:v>
                </c:pt>
                <c:pt idx="3">
                  <c:v>Sep-23</c:v>
                </c:pt>
                <c:pt idx="4">
                  <c:v>Oct-23</c:v>
                </c:pt>
                <c:pt idx="5">
                  <c:v>Nov-23</c:v>
                </c:pt>
                <c:pt idx="6">
                  <c:v>Dec-23</c:v>
                </c:pt>
                <c:pt idx="7">
                  <c:v>Jan-24</c:v>
                </c:pt>
                <c:pt idx="8">
                  <c:v>Feb-24</c:v>
                </c:pt>
                <c:pt idx="9">
                  <c:v>Mar-24</c:v>
                </c:pt>
                <c:pt idx="10">
                  <c:v>Apr-24</c:v>
                </c:pt>
                <c:pt idx="11">
                  <c:v>May-24</c:v>
                </c:pt>
                <c:pt idx="12">
                  <c:v>Jun-24</c:v>
                </c:pt>
                <c:pt idx="13">
                  <c:v>Jul-24</c:v>
                </c:pt>
              </c:strCache>
            </c:strRef>
          </c:cat>
          <c:val>
            <c:numRef>
              <c:f>Energy!$B$39:$O$39</c:f>
              <c:numCache>
                <c:formatCode>"$"#,##0.00_);[Red]\("$"#,##0.00\)</c:formatCode>
                <c:ptCount val="14"/>
                <c:pt idx="0">
                  <c:v>839.69</c:v>
                </c:pt>
                <c:pt idx="1">
                  <c:v>845.39</c:v>
                </c:pt>
                <c:pt idx="2">
                  <c:v>774.14</c:v>
                </c:pt>
                <c:pt idx="3">
                  <c:v>871.04</c:v>
                </c:pt>
                <c:pt idx="4">
                  <c:v>816.89</c:v>
                </c:pt>
                <c:pt idx="5">
                  <c:v>621</c:v>
                </c:pt>
                <c:pt idx="6">
                  <c:v>584.62</c:v>
                </c:pt>
                <c:pt idx="7">
                  <c:v>560.39</c:v>
                </c:pt>
                <c:pt idx="8">
                  <c:v>614.54</c:v>
                </c:pt>
                <c:pt idx="9">
                  <c:v>664.42</c:v>
                </c:pt>
                <c:pt idx="10">
                  <c:v>694.34</c:v>
                </c:pt>
                <c:pt idx="11">
                  <c:v>719.99</c:v>
                </c:pt>
                <c:pt idx="12">
                  <c:v>735.67</c:v>
                </c:pt>
                <c:pt idx="13">
                  <c:v>751.34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F-F849-B1D2-E20F8254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91351072"/>
        <c:axId val="909739568"/>
      </c:barChart>
      <c:lineChart>
        <c:grouping val="standard"/>
        <c:varyColors val="0"/>
        <c:ser>
          <c:idx val="1"/>
          <c:order val="1"/>
          <c:tx>
            <c:strRef>
              <c:f>Energy!$A$39</c:f>
              <c:strCache>
                <c:ptCount val="1"/>
                <c:pt idx="0">
                  <c:v>Demand Charge ($)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Energy!$B$39:$O$39</c:f>
              <c:numCache>
                <c:formatCode>"$"#,##0.00_);[Red]\("$"#,##0.00\)</c:formatCode>
                <c:ptCount val="14"/>
                <c:pt idx="0">
                  <c:v>839.69</c:v>
                </c:pt>
                <c:pt idx="1">
                  <c:v>845.39</c:v>
                </c:pt>
                <c:pt idx="2">
                  <c:v>774.14</c:v>
                </c:pt>
                <c:pt idx="3">
                  <c:v>871.04</c:v>
                </c:pt>
                <c:pt idx="4">
                  <c:v>816.89</c:v>
                </c:pt>
                <c:pt idx="5">
                  <c:v>621</c:v>
                </c:pt>
                <c:pt idx="6">
                  <c:v>584.62</c:v>
                </c:pt>
                <c:pt idx="7">
                  <c:v>560.39</c:v>
                </c:pt>
                <c:pt idx="8">
                  <c:v>614.54</c:v>
                </c:pt>
                <c:pt idx="9">
                  <c:v>664.42</c:v>
                </c:pt>
                <c:pt idx="10">
                  <c:v>694.34</c:v>
                </c:pt>
                <c:pt idx="11">
                  <c:v>719.99</c:v>
                </c:pt>
                <c:pt idx="12">
                  <c:v>735.67</c:v>
                </c:pt>
                <c:pt idx="13">
                  <c:v>751.34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F-F849-B1D2-E20F8254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51072"/>
        <c:axId val="909739568"/>
      </c:lineChart>
      <c:catAx>
        <c:axId val="159135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39568"/>
        <c:crosses val="autoZero"/>
        <c:auto val="1"/>
        <c:lblAlgn val="ctr"/>
        <c:lblOffset val="100"/>
        <c:noMultiLvlLbl val="0"/>
      </c:catAx>
      <c:valAx>
        <c:axId val="9097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Usage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Energy!$B$37:$O$37</c:f>
              <c:strCache>
                <c:ptCount val="14"/>
                <c:pt idx="0">
                  <c:v>Jun-23</c:v>
                </c:pt>
                <c:pt idx="1">
                  <c:v>Jul-23</c:v>
                </c:pt>
                <c:pt idx="2">
                  <c:v>Aug-23</c:v>
                </c:pt>
                <c:pt idx="3">
                  <c:v>Sep-23</c:v>
                </c:pt>
                <c:pt idx="4">
                  <c:v>Oct-23</c:v>
                </c:pt>
                <c:pt idx="5">
                  <c:v>Nov-23</c:v>
                </c:pt>
                <c:pt idx="6">
                  <c:v>Dec-23</c:v>
                </c:pt>
                <c:pt idx="7">
                  <c:v>Jan-24</c:v>
                </c:pt>
                <c:pt idx="8">
                  <c:v>Feb-24</c:v>
                </c:pt>
                <c:pt idx="9">
                  <c:v>Mar-24</c:v>
                </c:pt>
                <c:pt idx="10">
                  <c:v>Apr-24</c:v>
                </c:pt>
                <c:pt idx="11">
                  <c:v>May-24</c:v>
                </c:pt>
                <c:pt idx="12">
                  <c:v>Jun-24</c:v>
                </c:pt>
                <c:pt idx="13">
                  <c:v>Jul-24</c:v>
                </c:pt>
              </c:strCache>
            </c:strRef>
          </c:cat>
          <c:val>
            <c:numRef>
              <c:f>Energy!$B$40:$O$40</c:f>
              <c:numCache>
                <c:formatCode>General</c:formatCode>
                <c:ptCount val="14"/>
                <c:pt idx="0">
                  <c:v>295782</c:v>
                </c:pt>
                <c:pt idx="1">
                  <c:v>315732</c:v>
                </c:pt>
                <c:pt idx="2">
                  <c:v>347528</c:v>
                </c:pt>
                <c:pt idx="3">
                  <c:v>307937</c:v>
                </c:pt>
                <c:pt idx="4">
                  <c:v>226397</c:v>
                </c:pt>
                <c:pt idx="5">
                  <c:v>166861</c:v>
                </c:pt>
                <c:pt idx="6">
                  <c:v>169197</c:v>
                </c:pt>
                <c:pt idx="7">
                  <c:v>203607</c:v>
                </c:pt>
                <c:pt idx="8">
                  <c:v>148169</c:v>
                </c:pt>
                <c:pt idx="9">
                  <c:v>170703</c:v>
                </c:pt>
                <c:pt idx="10">
                  <c:v>192136</c:v>
                </c:pt>
                <c:pt idx="11">
                  <c:v>268754</c:v>
                </c:pt>
                <c:pt idx="12">
                  <c:v>263060</c:v>
                </c:pt>
                <c:pt idx="13">
                  <c:v>299160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A-5442-A4BB-7FAB08B2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91831616"/>
        <c:axId val="1392158496"/>
      </c:barChart>
      <c:lineChart>
        <c:grouping val="standard"/>
        <c:varyColors val="0"/>
        <c:ser>
          <c:idx val="1"/>
          <c:order val="1"/>
          <c:tx>
            <c:strRef>
              <c:f>Energy!$A$40</c:f>
              <c:strCache>
                <c:ptCount val="1"/>
                <c:pt idx="0">
                  <c:v>kWh Usage (Metered)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Energy!$B$40:$O$40</c:f>
              <c:numCache>
                <c:formatCode>General</c:formatCode>
                <c:ptCount val="14"/>
                <c:pt idx="0">
                  <c:v>295782</c:v>
                </c:pt>
                <c:pt idx="1">
                  <c:v>315732</c:v>
                </c:pt>
                <c:pt idx="2">
                  <c:v>347528</c:v>
                </c:pt>
                <c:pt idx="3">
                  <c:v>307937</c:v>
                </c:pt>
                <c:pt idx="4">
                  <c:v>226397</c:v>
                </c:pt>
                <c:pt idx="5">
                  <c:v>166861</c:v>
                </c:pt>
                <c:pt idx="6">
                  <c:v>169197</c:v>
                </c:pt>
                <c:pt idx="7">
                  <c:v>203607</c:v>
                </c:pt>
                <c:pt idx="8">
                  <c:v>148169</c:v>
                </c:pt>
                <c:pt idx="9">
                  <c:v>170703</c:v>
                </c:pt>
                <c:pt idx="10">
                  <c:v>192136</c:v>
                </c:pt>
                <c:pt idx="11">
                  <c:v>268754</c:v>
                </c:pt>
                <c:pt idx="12">
                  <c:v>263060</c:v>
                </c:pt>
                <c:pt idx="13">
                  <c:v>299160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A-5442-A4BB-7FAB08B2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831616"/>
        <c:axId val="1392158496"/>
      </c:lineChart>
      <c:catAx>
        <c:axId val="13918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58496"/>
        <c:crosses val="autoZero"/>
        <c:auto val="1"/>
        <c:lblAlgn val="ctr"/>
        <c:lblOffset val="100"/>
        <c:noMultiLvlLbl val="0"/>
      </c:catAx>
      <c:valAx>
        <c:axId val="13921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Usage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Demand Usage (kW)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Energy!$B$37:$O$37</c:f>
              <c:strCache>
                <c:ptCount val="14"/>
                <c:pt idx="0">
                  <c:v>Jun-23</c:v>
                </c:pt>
                <c:pt idx="1">
                  <c:v>Jul-23</c:v>
                </c:pt>
                <c:pt idx="2">
                  <c:v>Aug-23</c:v>
                </c:pt>
                <c:pt idx="3">
                  <c:v>Sep-23</c:v>
                </c:pt>
                <c:pt idx="4">
                  <c:v>Oct-23</c:v>
                </c:pt>
                <c:pt idx="5">
                  <c:v>Nov-23</c:v>
                </c:pt>
                <c:pt idx="6">
                  <c:v>Dec-23</c:v>
                </c:pt>
                <c:pt idx="7">
                  <c:v>Jan-24</c:v>
                </c:pt>
                <c:pt idx="8">
                  <c:v>Feb-24</c:v>
                </c:pt>
                <c:pt idx="9">
                  <c:v>Mar-24</c:v>
                </c:pt>
                <c:pt idx="10">
                  <c:v>Apr-24</c:v>
                </c:pt>
                <c:pt idx="11">
                  <c:v>May-24</c:v>
                </c:pt>
                <c:pt idx="12">
                  <c:v>Jun-24</c:v>
                </c:pt>
                <c:pt idx="13">
                  <c:v>Jul-24</c:v>
                </c:pt>
              </c:strCache>
            </c:strRef>
          </c:cat>
          <c:val>
            <c:numRef>
              <c:f>Energy!$B$41:$O$41</c:f>
              <c:numCache>
                <c:formatCode>General</c:formatCode>
                <c:ptCount val="14"/>
                <c:pt idx="0">
                  <c:v>962.5</c:v>
                </c:pt>
                <c:pt idx="1">
                  <c:v>940</c:v>
                </c:pt>
                <c:pt idx="2">
                  <c:v>974</c:v>
                </c:pt>
                <c:pt idx="3">
                  <c:v>925.5</c:v>
                </c:pt>
                <c:pt idx="4">
                  <c:v>929.5</c:v>
                </c:pt>
                <c:pt idx="5">
                  <c:v>712</c:v>
                </c:pt>
                <c:pt idx="6">
                  <c:v>727.5</c:v>
                </c:pt>
                <c:pt idx="7">
                  <c:v>785</c:v>
                </c:pt>
                <c:pt idx="8">
                  <c:v>799.5</c:v>
                </c:pt>
                <c:pt idx="9">
                  <c:v>833.5</c:v>
                </c:pt>
                <c:pt idx="10">
                  <c:v>868</c:v>
                </c:pt>
                <c:pt idx="11">
                  <c:v>920</c:v>
                </c:pt>
                <c:pt idx="12">
                  <c:v>931</c:v>
                </c:pt>
                <c:pt idx="13">
                  <c:v>913.5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8-104C-B740-075440CD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27539472"/>
        <c:axId val="1727541200"/>
      </c:barChart>
      <c:lineChart>
        <c:grouping val="standard"/>
        <c:varyColors val="0"/>
        <c:ser>
          <c:idx val="1"/>
          <c:order val="1"/>
          <c:tx>
            <c:strRef>
              <c:f>Energy!$A$41</c:f>
              <c:strCache>
                <c:ptCount val="1"/>
                <c:pt idx="0">
                  <c:v>Demand usage (kW Metered)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Energy!$B$41:$O$41</c:f>
              <c:numCache>
                <c:formatCode>General</c:formatCode>
                <c:ptCount val="14"/>
                <c:pt idx="0">
                  <c:v>962.5</c:v>
                </c:pt>
                <c:pt idx="1">
                  <c:v>940</c:v>
                </c:pt>
                <c:pt idx="2">
                  <c:v>974</c:v>
                </c:pt>
                <c:pt idx="3">
                  <c:v>925.5</c:v>
                </c:pt>
                <c:pt idx="4">
                  <c:v>929.5</c:v>
                </c:pt>
                <c:pt idx="5">
                  <c:v>712</c:v>
                </c:pt>
                <c:pt idx="6">
                  <c:v>727.5</c:v>
                </c:pt>
                <c:pt idx="7">
                  <c:v>785</c:v>
                </c:pt>
                <c:pt idx="8">
                  <c:v>799.5</c:v>
                </c:pt>
                <c:pt idx="9">
                  <c:v>833.5</c:v>
                </c:pt>
                <c:pt idx="10">
                  <c:v>868</c:v>
                </c:pt>
                <c:pt idx="11">
                  <c:v>920</c:v>
                </c:pt>
                <c:pt idx="12">
                  <c:v>931</c:v>
                </c:pt>
                <c:pt idx="13">
                  <c:v>913.5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8-104C-B740-075440CD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539472"/>
        <c:axId val="1727541200"/>
      </c:lineChart>
      <c:catAx>
        <c:axId val="17275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41200"/>
        <c:crosses val="autoZero"/>
        <c:auto val="1"/>
        <c:lblAlgn val="ctr"/>
        <c:lblOffset val="100"/>
        <c:noMultiLvlLbl val="0"/>
      </c:catAx>
      <c:valAx>
        <c:axId val="17275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Usage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Gas Usage (MMBTU)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Gas!$B$22:$M$22</c:f>
              <c:strCache>
                <c:ptCount val="12"/>
                <c:pt idx="0">
                  <c:v>May-24</c:v>
                </c:pt>
                <c:pt idx="1">
                  <c:v>Jun-23</c:v>
                </c:pt>
                <c:pt idx="2">
                  <c:v>Jul-23</c:v>
                </c:pt>
                <c:pt idx="3">
                  <c:v>Aug-23</c:v>
                </c:pt>
                <c:pt idx="4">
                  <c:v>Sep-23</c:v>
                </c:pt>
                <c:pt idx="5">
                  <c:v>Oct-23</c:v>
                </c:pt>
                <c:pt idx="6">
                  <c:v>Nov-23</c:v>
                </c:pt>
                <c:pt idx="7">
                  <c:v>Dec-23</c:v>
                </c:pt>
                <c:pt idx="8">
                  <c:v>Jan-24</c:v>
                </c:pt>
                <c:pt idx="9">
                  <c:v>Feb-24</c:v>
                </c:pt>
                <c:pt idx="10">
                  <c:v>Mar-24</c:v>
                </c:pt>
                <c:pt idx="11">
                  <c:v>Apr-24</c:v>
                </c:pt>
              </c:strCache>
            </c:strRef>
          </c:cat>
          <c:val>
            <c:numRef>
              <c:f>Gas!$B$25:$M$25</c:f>
              <c:numCache>
                <c:formatCode>General</c:formatCode>
                <c:ptCount val="12"/>
                <c:pt idx="0">
                  <c:v>182.9736</c:v>
                </c:pt>
                <c:pt idx="1">
                  <c:v>188.34</c:v>
                </c:pt>
                <c:pt idx="2">
                  <c:v>173.78879999999998</c:v>
                </c:pt>
                <c:pt idx="3">
                  <c:v>150.25919999999999</c:v>
                </c:pt>
                <c:pt idx="4">
                  <c:v>164.60399999999998</c:v>
                </c:pt>
                <c:pt idx="5">
                  <c:v>133.0248</c:v>
                </c:pt>
                <c:pt idx="6">
                  <c:v>171.31200000000001</c:v>
                </c:pt>
                <c:pt idx="7">
                  <c:v>202.99439999999998</c:v>
                </c:pt>
                <c:pt idx="8">
                  <c:v>200.31119999999999</c:v>
                </c:pt>
                <c:pt idx="9">
                  <c:v>266.56559999999996</c:v>
                </c:pt>
                <c:pt idx="10">
                  <c:v>275.23439999999999</c:v>
                </c:pt>
                <c:pt idx="11">
                  <c:v>215.17199999999997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5-4FB3-9D02-E2EB0A5A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254944"/>
        <c:axId val="20382554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Gas!$B$25:$M$25</c:f>
              <c:numCache>
                <c:formatCode>General</c:formatCode>
                <c:ptCount val="12"/>
                <c:pt idx="0">
                  <c:v>182.9736</c:v>
                </c:pt>
                <c:pt idx="1">
                  <c:v>188.34</c:v>
                </c:pt>
                <c:pt idx="2">
                  <c:v>173.78879999999998</c:v>
                </c:pt>
                <c:pt idx="3">
                  <c:v>150.25919999999999</c:v>
                </c:pt>
                <c:pt idx="4">
                  <c:v>164.60399999999998</c:v>
                </c:pt>
                <c:pt idx="5">
                  <c:v>133.0248</c:v>
                </c:pt>
                <c:pt idx="6">
                  <c:v>171.31200000000001</c:v>
                </c:pt>
                <c:pt idx="7">
                  <c:v>202.99439999999998</c:v>
                </c:pt>
                <c:pt idx="8">
                  <c:v>200.31119999999999</c:v>
                </c:pt>
                <c:pt idx="9">
                  <c:v>266.56559999999996</c:v>
                </c:pt>
                <c:pt idx="10">
                  <c:v>275.23439999999999</c:v>
                </c:pt>
                <c:pt idx="11">
                  <c:v>215.17199999999997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5-4FB3-9D02-E2EB0A5A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54944"/>
        <c:axId val="2038255424"/>
      </c:lineChart>
      <c:catAx>
        <c:axId val="203825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55424"/>
        <c:crosses val="autoZero"/>
        <c:auto val="1"/>
        <c:lblAlgn val="ctr"/>
        <c:lblOffset val="100"/>
        <c:noMultiLvlLbl val="0"/>
      </c:catAx>
      <c:valAx>
        <c:axId val="20382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Usage (MMBTU)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44</xdr:row>
      <xdr:rowOff>161925</xdr:rowOff>
    </xdr:from>
    <xdr:to>
      <xdr:col>7</xdr:col>
      <xdr:colOff>361950</xdr:colOff>
      <xdr:row>58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36C9C-BAC7-4DD0-A8EB-9DFED6197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44</xdr:row>
      <xdr:rowOff>171450</xdr:rowOff>
    </xdr:from>
    <xdr:to>
      <xdr:col>15</xdr:col>
      <xdr:colOff>342900</xdr:colOff>
      <xdr:row>61</xdr:row>
      <xdr:rowOff>47625</xdr:rowOff>
    </xdr:to>
    <xdr:graphicFrame macro="">
      <xdr:nvGraphicFramePr>
        <xdr:cNvPr id="3" name="Chart 108">
          <a:extLst>
            <a:ext uri="{FF2B5EF4-FFF2-40B4-BE49-F238E27FC236}">
              <a16:creationId xmlns:a16="http://schemas.microsoft.com/office/drawing/2014/main" id="{C70D90EE-9946-4673-ABE4-4839A9AE0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82550</xdr:rowOff>
    </xdr:from>
    <xdr:to>
      <xdr:col>5</xdr:col>
      <xdr:colOff>438150</xdr:colOff>
      <xdr:row>73</xdr:row>
      <xdr:rowOff>184150</xdr:rowOff>
    </xdr:to>
    <xdr:graphicFrame macro="">
      <xdr:nvGraphicFramePr>
        <xdr:cNvPr id="4" name="Chart 109">
          <a:extLst>
            <a:ext uri="{FF2B5EF4-FFF2-40B4-BE49-F238E27FC236}">
              <a16:creationId xmlns:a16="http://schemas.microsoft.com/office/drawing/2014/main" id="{B81F35F0-7A16-4A5A-ACA2-4A3849141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63499</xdr:colOff>
      <xdr:row>59</xdr:row>
      <xdr:rowOff>193675</xdr:rowOff>
    </xdr:from>
    <xdr:to>
      <xdr:col>13</xdr:col>
      <xdr:colOff>695325</xdr:colOff>
      <xdr:row>75</xdr:row>
      <xdr:rowOff>133350</xdr:rowOff>
    </xdr:to>
    <xdr:graphicFrame macro="">
      <xdr:nvGraphicFramePr>
        <xdr:cNvPr id="5" name="Chart 110">
          <a:extLst>
            <a:ext uri="{FF2B5EF4-FFF2-40B4-BE49-F238E27FC236}">
              <a16:creationId xmlns:a16="http://schemas.microsoft.com/office/drawing/2014/main" id="{B451D18F-AFEA-4FE5-8FF7-8EBB55518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46</xdr:row>
      <xdr:rowOff>9525</xdr:rowOff>
    </xdr:from>
    <xdr:to>
      <xdr:col>8</xdr:col>
      <xdr:colOff>219075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02512-981A-4840-AA8B-E9E9A248C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44</xdr:row>
      <xdr:rowOff>180975</xdr:rowOff>
    </xdr:from>
    <xdr:to>
      <xdr:col>15</xdr:col>
      <xdr:colOff>1114425</xdr:colOff>
      <xdr:row>61</xdr:row>
      <xdr:rowOff>57150</xdr:rowOff>
    </xdr:to>
    <xdr:graphicFrame macro="">
      <xdr:nvGraphicFramePr>
        <xdr:cNvPr id="3" name="Chart 108">
          <a:extLst>
            <a:ext uri="{FF2B5EF4-FFF2-40B4-BE49-F238E27FC236}">
              <a16:creationId xmlns:a16="http://schemas.microsoft.com/office/drawing/2014/main" id="{BAF16B4B-28C7-7C41-992B-D7E00CA3B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819150</xdr:colOff>
      <xdr:row>60</xdr:row>
      <xdr:rowOff>82550</xdr:rowOff>
    </xdr:from>
    <xdr:to>
      <xdr:col>7</xdr:col>
      <xdr:colOff>438150</xdr:colOff>
      <xdr:row>73</xdr:row>
      <xdr:rowOff>184150</xdr:rowOff>
    </xdr:to>
    <xdr:graphicFrame macro="">
      <xdr:nvGraphicFramePr>
        <xdr:cNvPr id="4" name="Chart 109">
          <a:extLst>
            <a:ext uri="{FF2B5EF4-FFF2-40B4-BE49-F238E27FC236}">
              <a16:creationId xmlns:a16="http://schemas.microsoft.com/office/drawing/2014/main" id="{80DA5419-9FAD-FD44-9AD2-9C197BE2E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596899</xdr:colOff>
      <xdr:row>57</xdr:row>
      <xdr:rowOff>165100</xdr:rowOff>
    </xdr:from>
    <xdr:to>
      <xdr:col>13</xdr:col>
      <xdr:colOff>628650</xdr:colOff>
      <xdr:row>73</xdr:row>
      <xdr:rowOff>104775</xdr:rowOff>
    </xdr:to>
    <xdr:graphicFrame macro="">
      <xdr:nvGraphicFramePr>
        <xdr:cNvPr id="5" name="Chart 110">
          <a:extLst>
            <a:ext uri="{FF2B5EF4-FFF2-40B4-BE49-F238E27FC236}">
              <a16:creationId xmlns:a16="http://schemas.microsoft.com/office/drawing/2014/main" id="{D9747F42-EFB9-2B4F-9BF1-7591EF3D5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74543</xdr:colOff>
      <xdr:row>6</xdr:row>
      <xdr:rowOff>13804</xdr:rowOff>
    </xdr:from>
    <xdr:to>
      <xdr:col>24</xdr:col>
      <xdr:colOff>179456</xdr:colOff>
      <xdr:row>24</xdr:row>
      <xdr:rowOff>151847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C0810-DE3D-F487-7C08-14CE59722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240194</xdr:colOff>
      <xdr:row>25</xdr:row>
      <xdr:rowOff>160680</xdr:rowOff>
    </xdr:from>
    <xdr:to>
      <xdr:col>24</xdr:col>
      <xdr:colOff>165652</xdr:colOff>
      <xdr:row>44</xdr:row>
      <xdr:rowOff>27610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F9D252-820F-BCB9-51D8-4E06786D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314838</xdr:colOff>
      <xdr:row>0</xdr:row>
      <xdr:rowOff>171349</xdr:rowOff>
    </xdr:from>
    <xdr:to>
      <xdr:col>18</xdr:col>
      <xdr:colOff>503968</xdr:colOff>
      <xdr:row>20</xdr:row>
      <xdr:rowOff>100793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E118F-320B-4A4A-A29A-B27BB73CE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tools/faqs/faq.cfm?id=45&amp;t=8" TargetMode="External"/><Relationship Id="rId13" Type="http://schemas.openxmlformats.org/officeDocument/2006/relationships/hyperlink" Target="https://www.eia.gov/energyexplained/index.cfm/index.cfm?page=about_btu" TargetMode="External"/><Relationship Id="rId3" Type="http://schemas.openxmlformats.org/officeDocument/2006/relationships/hyperlink" Target="https://www.google.com/webhp?sourceid=chrome-instant&amp;rlz=1C1CAFA_enUS654US654&amp;ion=1&amp;espv=2&amp;ie=UTF-8" TargetMode="External"/><Relationship Id="rId7" Type="http://schemas.openxmlformats.org/officeDocument/2006/relationships/hyperlink" Target="https://en.wikipedia.org/wiki/Standard_Industrial_Classification" TargetMode="External"/><Relationship Id="rId12" Type="http://schemas.openxmlformats.org/officeDocument/2006/relationships/hyperlink" Target="https://www.convertunits.com/from/gallon/to/ton" TargetMode="External"/><Relationship Id="rId2" Type="http://schemas.openxmlformats.org/officeDocument/2006/relationships/hyperlink" Target="https://www.google.com/webhp?sourceid=chrome-instant&amp;rlz=1C1CAFA_enUS654US654&amp;ion=1&amp;espv=2&amp;ie=UTF-8" TargetMode="External"/><Relationship Id="rId1" Type="http://schemas.openxmlformats.org/officeDocument/2006/relationships/hyperlink" Target="https://www.epa.gov/sites/production/files/2015-10/documents/egrid2012_ghgoutputrates_0.pdf" TargetMode="External"/><Relationship Id="rId6" Type="http://schemas.openxmlformats.org/officeDocument/2006/relationships/hyperlink" Target="https://www.eia.gov/environment/emissions/co2_vol_mass.cfm" TargetMode="External"/><Relationship Id="rId11" Type="http://schemas.openxmlformats.org/officeDocument/2006/relationships/hyperlink" Target="https://www.eia.gov/tools/faqs/faq.cfm?id=45&amp;t=8" TargetMode="External"/><Relationship Id="rId5" Type="http://schemas.openxmlformats.org/officeDocument/2006/relationships/hyperlink" Target="https://www.eia.gov/environment/emissions/co2_vol_mass.cfm" TargetMode="External"/><Relationship Id="rId10" Type="http://schemas.openxmlformats.org/officeDocument/2006/relationships/hyperlink" Target="https://www.census.gov/eos/www/naics/2017NAICS/2017_NAICS_Manual.pdf" TargetMode="External"/><Relationship Id="rId4" Type="http://schemas.openxmlformats.org/officeDocument/2006/relationships/hyperlink" Target="https://www.census.gov/eos/www/naics/2017NAICS/2017_NAICS_Manual.pdf" TargetMode="External"/><Relationship Id="rId9" Type="http://schemas.openxmlformats.org/officeDocument/2006/relationships/hyperlink" Target="https://en.wikipedia.org/wiki/Standard_Industrial_Classification" TargetMode="Externa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17DE-5B16-4065-9EAE-ED5708BB19CF}">
  <dimension ref="A1:BU52"/>
  <sheetViews>
    <sheetView topLeftCell="A34" zoomScaleNormal="100" workbookViewId="0">
      <selection activeCell="A50" sqref="A50"/>
    </sheetView>
  </sheetViews>
  <sheetFormatPr defaultColWidth="11" defaultRowHeight="15.75"/>
  <cols>
    <col min="1" max="1" width="36.140625" style="155" customWidth="1"/>
    <col min="2" max="2" width="21.7109375" style="154" customWidth="1"/>
    <col min="3" max="3" width="18.42578125" style="154" customWidth="1"/>
    <col min="4" max="4" width="16.85546875" style="154" customWidth="1"/>
    <col min="5" max="5" width="17.42578125" style="154" customWidth="1"/>
    <col min="6" max="6" width="15" style="154" customWidth="1"/>
    <col min="7" max="7" width="15.42578125" style="154" customWidth="1"/>
    <col min="8" max="8" width="14.28515625" style="154" customWidth="1"/>
    <col min="9" max="9" width="14.42578125" style="154" customWidth="1"/>
    <col min="10" max="12" width="11" style="154"/>
    <col min="13" max="13" width="12.42578125" style="154" customWidth="1"/>
    <col min="14" max="14" width="21.7109375" style="154" customWidth="1"/>
    <col min="15" max="16384" width="11" style="155"/>
  </cols>
  <sheetData>
    <row r="1" spans="1:73" s="147" customFormat="1">
      <c r="A1" s="143" t="s">
        <v>0</v>
      </c>
      <c r="B1" s="144" t="s">
        <v>1</v>
      </c>
      <c r="C1" s="144" t="s">
        <v>2</v>
      </c>
      <c r="D1" s="144" t="s">
        <v>3</v>
      </c>
      <c r="E1" s="144" t="s">
        <v>4</v>
      </c>
      <c r="F1" s="144" t="s">
        <v>5</v>
      </c>
      <c r="G1" s="144" t="s">
        <v>6</v>
      </c>
      <c r="H1" s="144" t="s">
        <v>7</v>
      </c>
      <c r="I1" s="144" t="s">
        <v>8</v>
      </c>
      <c r="J1" s="144" t="s">
        <v>9</v>
      </c>
      <c r="K1" s="144" t="s">
        <v>10</v>
      </c>
      <c r="L1" s="144" t="s">
        <v>11</v>
      </c>
      <c r="M1" s="144" t="s">
        <v>12</v>
      </c>
      <c r="N1" s="145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</row>
    <row r="2" spans="1:73" s="151" customFormat="1">
      <c r="A2" s="148" t="s">
        <v>13</v>
      </c>
      <c r="B2" s="149">
        <v>8840.93</v>
      </c>
      <c r="C2" s="149">
        <v>8529.61</v>
      </c>
      <c r="D2" s="149">
        <v>6848.46</v>
      </c>
      <c r="E2" s="150">
        <v>4975.2</v>
      </c>
      <c r="F2" s="149">
        <v>4711.0600000000004</v>
      </c>
      <c r="G2" s="149">
        <v>5251.77</v>
      </c>
      <c r="H2" s="149">
        <v>4655.51</v>
      </c>
      <c r="I2" s="149">
        <v>5498.32</v>
      </c>
      <c r="J2" s="149">
        <v>5848.22</v>
      </c>
      <c r="K2" s="149">
        <v>7174.56</v>
      </c>
      <c r="L2" s="149">
        <v>6817.92</v>
      </c>
      <c r="M2" s="149">
        <v>8263.49</v>
      </c>
      <c r="N2" s="150"/>
    </row>
    <row r="3" spans="1:73" s="151" customFormat="1">
      <c r="A3" s="148" t="s">
        <v>14</v>
      </c>
      <c r="B3" s="149">
        <v>774.14</v>
      </c>
      <c r="C3" s="149">
        <v>871.04</v>
      </c>
      <c r="D3" s="149">
        <v>816.89</v>
      </c>
      <c r="E3" s="152">
        <v>621</v>
      </c>
      <c r="F3" s="149">
        <v>584.62</v>
      </c>
      <c r="G3" s="149">
        <v>560.39</v>
      </c>
      <c r="H3" s="149">
        <v>614.54</v>
      </c>
      <c r="I3" s="149">
        <v>664.42</v>
      </c>
      <c r="J3" s="149">
        <v>694.34</v>
      </c>
      <c r="K3" s="149">
        <v>719.99</v>
      </c>
      <c r="L3" s="149">
        <v>735.67</v>
      </c>
      <c r="M3" s="149">
        <v>751.34</v>
      </c>
      <c r="N3" s="150"/>
    </row>
    <row r="4" spans="1:73" s="151" customFormat="1">
      <c r="A4" s="148" t="s">
        <v>15</v>
      </c>
      <c r="B4" s="150">
        <v>88200</v>
      </c>
      <c r="C4" s="150">
        <v>80000</v>
      </c>
      <c r="D4" s="150">
        <v>54000</v>
      </c>
      <c r="E4" s="150">
        <v>37263</v>
      </c>
      <c r="F4" s="150">
        <v>33600</v>
      </c>
      <c r="G4" s="150">
        <v>41600</v>
      </c>
      <c r="H4" s="150">
        <v>33400</v>
      </c>
      <c r="I4" s="150">
        <v>39400</v>
      </c>
      <c r="J4" s="150">
        <v>42600</v>
      </c>
      <c r="K4" s="150">
        <v>65600</v>
      </c>
      <c r="L4" s="150">
        <v>60400</v>
      </c>
      <c r="M4" s="150">
        <v>76600</v>
      </c>
      <c r="N4" s="150"/>
    </row>
    <row r="5" spans="1:73" s="151" customFormat="1">
      <c r="A5" s="148" t="s">
        <v>16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</row>
    <row r="6" spans="1:73" s="151" customFormat="1">
      <c r="A6" s="148" t="s">
        <v>17</v>
      </c>
      <c r="B6" s="150">
        <v>235</v>
      </c>
      <c r="C6" s="150">
        <v>240</v>
      </c>
      <c r="D6" s="150">
        <v>250</v>
      </c>
      <c r="E6" s="150">
        <v>182</v>
      </c>
      <c r="F6" s="150">
        <v>168.5</v>
      </c>
      <c r="G6" s="150">
        <v>160</v>
      </c>
      <c r="H6" s="150">
        <v>179</v>
      </c>
      <c r="I6" s="150">
        <v>196.5</v>
      </c>
      <c r="J6" s="150">
        <v>207</v>
      </c>
      <c r="K6" s="150">
        <v>216</v>
      </c>
      <c r="L6" s="150">
        <v>221.5</v>
      </c>
      <c r="M6" s="150">
        <v>227</v>
      </c>
      <c r="N6" s="150">
        <f>SUM(B6:M6)</f>
        <v>2482.5</v>
      </c>
    </row>
    <row r="7" spans="1:73" s="151" customFormat="1">
      <c r="A7" s="148" t="s">
        <v>18</v>
      </c>
      <c r="B7" s="149">
        <f t="shared" ref="B7:M7" si="0">B2-B3</f>
        <v>8066.79</v>
      </c>
      <c r="C7" s="149">
        <f t="shared" si="0"/>
        <v>7658.5700000000006</v>
      </c>
      <c r="D7" s="149">
        <f t="shared" si="0"/>
        <v>6031.57</v>
      </c>
      <c r="E7" s="152">
        <f t="shared" si="0"/>
        <v>4354.2</v>
      </c>
      <c r="F7" s="149">
        <f t="shared" si="0"/>
        <v>4126.4400000000005</v>
      </c>
      <c r="G7" s="149">
        <f t="shared" si="0"/>
        <v>4691.38</v>
      </c>
      <c r="H7" s="149">
        <f t="shared" si="0"/>
        <v>4040.9700000000003</v>
      </c>
      <c r="I7" s="149">
        <f t="shared" si="0"/>
        <v>4833.8999999999996</v>
      </c>
      <c r="J7" s="149">
        <f t="shared" si="0"/>
        <v>5153.88</v>
      </c>
      <c r="K7" s="149">
        <f t="shared" si="0"/>
        <v>6454.5700000000006</v>
      </c>
      <c r="L7" s="149">
        <f t="shared" si="0"/>
        <v>6082.25</v>
      </c>
      <c r="M7" s="149">
        <f t="shared" si="0"/>
        <v>7512.15</v>
      </c>
      <c r="N7" s="150"/>
    </row>
    <row r="8" spans="1:73">
      <c r="A8" s="153"/>
    </row>
    <row r="9" spans="1:73" s="147" customFormat="1">
      <c r="A9" s="143" t="s">
        <v>19</v>
      </c>
      <c r="B9" s="144" t="s">
        <v>1</v>
      </c>
      <c r="C9" s="144" t="s">
        <v>2</v>
      </c>
      <c r="D9" s="144" t="s">
        <v>3</v>
      </c>
      <c r="E9" s="144" t="s">
        <v>4</v>
      </c>
      <c r="F9" s="144" t="s">
        <v>5</v>
      </c>
      <c r="G9" s="144" t="s">
        <v>6</v>
      </c>
      <c r="H9" s="144" t="s">
        <v>7</v>
      </c>
      <c r="I9" s="144" t="s">
        <v>8</v>
      </c>
      <c r="J9" s="144" t="s">
        <v>9</v>
      </c>
      <c r="K9" s="144" t="s">
        <v>10</v>
      </c>
      <c r="L9" s="144" t="s">
        <v>11</v>
      </c>
      <c r="M9" s="144" t="s">
        <v>12</v>
      </c>
      <c r="N9" s="145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</row>
    <row r="10" spans="1:73" s="151" customFormat="1">
      <c r="A10" s="148" t="s">
        <v>13</v>
      </c>
      <c r="B10" s="149">
        <v>2847.59</v>
      </c>
      <c r="C10" s="149">
        <v>2532.42</v>
      </c>
      <c r="D10" s="149">
        <v>2221.62</v>
      </c>
      <c r="E10" s="149">
        <v>1735.48</v>
      </c>
      <c r="F10" s="149">
        <v>2196.84</v>
      </c>
      <c r="G10" s="149">
        <v>2785.6</v>
      </c>
      <c r="H10" s="149">
        <v>1625.12</v>
      </c>
      <c r="I10" s="149">
        <v>1558.26</v>
      </c>
      <c r="J10" s="149">
        <v>1527.08</v>
      </c>
      <c r="K10" s="149">
        <v>232.3</v>
      </c>
      <c r="L10" s="149">
        <v>2192.52</v>
      </c>
      <c r="M10" s="149">
        <v>2133.09</v>
      </c>
      <c r="N10" s="150"/>
    </row>
    <row r="11" spans="1:73" s="151" customFormat="1">
      <c r="A11" s="148" t="s">
        <v>14</v>
      </c>
      <c r="B11" s="150">
        <v>0</v>
      </c>
      <c r="C11" s="150">
        <v>0</v>
      </c>
      <c r="D11" s="150">
        <v>0</v>
      </c>
      <c r="E11" s="150">
        <v>0</v>
      </c>
      <c r="F11" s="150">
        <v>0</v>
      </c>
      <c r="G11" s="150">
        <v>0</v>
      </c>
      <c r="H11" s="150">
        <v>0</v>
      </c>
      <c r="I11" s="150">
        <v>0</v>
      </c>
      <c r="J11" s="150">
        <v>0</v>
      </c>
      <c r="K11" s="150">
        <v>0</v>
      </c>
      <c r="L11" s="150">
        <v>0</v>
      </c>
      <c r="M11" s="150">
        <v>0</v>
      </c>
      <c r="N11" s="150"/>
    </row>
    <row r="12" spans="1:73" s="151" customFormat="1">
      <c r="A12" s="148" t="s">
        <v>15</v>
      </c>
      <c r="B12" s="150">
        <v>22928</v>
      </c>
      <c r="C12" s="150">
        <v>19137</v>
      </c>
      <c r="D12" s="150">
        <v>14997</v>
      </c>
      <c r="E12" s="150">
        <v>11271</v>
      </c>
      <c r="F12" s="150">
        <v>13997</v>
      </c>
      <c r="G12" s="150">
        <v>19207</v>
      </c>
      <c r="H12" s="150">
        <v>9569</v>
      </c>
      <c r="I12" s="150">
        <v>8703</v>
      </c>
      <c r="J12" s="150">
        <v>9136</v>
      </c>
      <c r="K12" s="150">
        <v>16354</v>
      </c>
      <c r="L12" s="150">
        <v>15860</v>
      </c>
      <c r="M12" s="150">
        <v>15160</v>
      </c>
      <c r="N12" s="150"/>
    </row>
    <row r="13" spans="1:73" s="151" customFormat="1">
      <c r="A13" s="148" t="s">
        <v>16</v>
      </c>
      <c r="N13" s="150"/>
    </row>
    <row r="14" spans="1:73" s="151" customFormat="1">
      <c r="A14" s="148" t="s">
        <v>17</v>
      </c>
      <c r="B14" s="150">
        <v>73</v>
      </c>
      <c r="C14" s="150">
        <v>71</v>
      </c>
      <c r="D14" s="150">
        <v>79</v>
      </c>
      <c r="E14" s="150">
        <v>74</v>
      </c>
      <c r="F14" s="150">
        <v>98</v>
      </c>
      <c r="G14" s="150">
        <v>108.5</v>
      </c>
      <c r="H14" s="150">
        <v>81</v>
      </c>
      <c r="I14" s="150">
        <v>76</v>
      </c>
      <c r="J14" s="150">
        <v>60.5</v>
      </c>
      <c r="K14" s="150">
        <v>74.5</v>
      </c>
      <c r="L14" s="150">
        <v>76</v>
      </c>
      <c r="M14" s="150">
        <v>72.5</v>
      </c>
      <c r="N14" s="150"/>
    </row>
    <row r="15" spans="1:73" s="151" customFormat="1">
      <c r="A15" s="148" t="s">
        <v>18</v>
      </c>
      <c r="B15" s="149">
        <f t="shared" ref="B15:M15" si="1">B10-B11</f>
        <v>2847.59</v>
      </c>
      <c r="C15" s="149">
        <f t="shared" si="1"/>
        <v>2532.42</v>
      </c>
      <c r="D15" s="149">
        <f t="shared" si="1"/>
        <v>2221.62</v>
      </c>
      <c r="E15" s="149">
        <f t="shared" si="1"/>
        <v>1735.48</v>
      </c>
      <c r="F15" s="149">
        <f t="shared" si="1"/>
        <v>2196.84</v>
      </c>
      <c r="G15" s="149">
        <f t="shared" si="1"/>
        <v>2785.6</v>
      </c>
      <c r="H15" s="149">
        <f t="shared" si="1"/>
        <v>1625.12</v>
      </c>
      <c r="I15" s="149">
        <f t="shared" si="1"/>
        <v>1558.26</v>
      </c>
      <c r="J15" s="149">
        <f t="shared" si="1"/>
        <v>1527.08</v>
      </c>
      <c r="K15" s="149">
        <f t="shared" si="1"/>
        <v>232.3</v>
      </c>
      <c r="L15" s="149">
        <f t="shared" si="1"/>
        <v>2192.52</v>
      </c>
      <c r="M15" s="149">
        <f t="shared" si="1"/>
        <v>2133.09</v>
      </c>
      <c r="N15" s="150"/>
    </row>
    <row r="16" spans="1:73">
      <c r="A16" s="153"/>
    </row>
    <row r="17" spans="1:73" s="147" customFormat="1">
      <c r="A17" s="143" t="s">
        <v>20</v>
      </c>
      <c r="B17" s="144" t="s">
        <v>1</v>
      </c>
      <c r="C17" s="144" t="s">
        <v>2</v>
      </c>
      <c r="D17" s="144" t="s">
        <v>3</v>
      </c>
      <c r="E17" s="144" t="s">
        <v>4</v>
      </c>
      <c r="F17" s="144" t="s">
        <v>5</v>
      </c>
      <c r="G17" s="144" t="s">
        <v>6</v>
      </c>
      <c r="H17" s="144" t="s">
        <v>7</v>
      </c>
      <c r="I17" s="144" t="s">
        <v>8</v>
      </c>
      <c r="J17" s="144" t="s">
        <v>9</v>
      </c>
      <c r="K17" s="144" t="s">
        <v>10</v>
      </c>
      <c r="L17" s="144" t="s">
        <v>11</v>
      </c>
      <c r="M17" s="144" t="s">
        <v>12</v>
      </c>
      <c r="N17" s="145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</row>
    <row r="18" spans="1:73" s="151" customFormat="1">
      <c r="A18" s="148" t="s">
        <v>13</v>
      </c>
      <c r="B18" s="149">
        <v>9655.5499999999993</v>
      </c>
      <c r="C18" s="149">
        <v>8824.2999999999993</v>
      </c>
      <c r="D18" s="149">
        <v>7455.57</v>
      </c>
      <c r="E18" s="150">
        <v>5931.73</v>
      </c>
      <c r="F18" s="149">
        <v>5888.69</v>
      </c>
      <c r="G18" s="149">
        <v>7439.74</v>
      </c>
      <c r="H18" s="149">
        <v>5657.36</v>
      </c>
      <c r="I18" s="149">
        <v>6081.79</v>
      </c>
      <c r="J18" s="149">
        <v>6567.15</v>
      </c>
      <c r="K18" s="149">
        <v>8228.9599999999991</v>
      </c>
      <c r="L18" s="149">
        <v>8116.96</v>
      </c>
      <c r="M18" s="149">
        <v>8987.17</v>
      </c>
      <c r="N18" s="150"/>
    </row>
    <row r="19" spans="1:73" s="151" customFormat="1">
      <c r="A19" s="148" t="s">
        <v>14</v>
      </c>
      <c r="B19" s="150">
        <v>0</v>
      </c>
      <c r="C19" s="150">
        <v>0</v>
      </c>
      <c r="D19" s="150">
        <v>0</v>
      </c>
      <c r="E19" s="150">
        <v>0</v>
      </c>
      <c r="F19" s="150">
        <v>0</v>
      </c>
      <c r="G19" s="150">
        <v>0</v>
      </c>
      <c r="H19" s="150">
        <v>0</v>
      </c>
      <c r="I19" s="150">
        <v>0</v>
      </c>
      <c r="J19" s="150">
        <v>0</v>
      </c>
      <c r="K19" s="150">
        <v>0</v>
      </c>
      <c r="L19" s="150">
        <v>0</v>
      </c>
      <c r="M19" s="150">
        <v>0</v>
      </c>
      <c r="N19" s="150"/>
    </row>
    <row r="20" spans="1:73" s="151" customFormat="1">
      <c r="A20" s="148" t="s">
        <v>15</v>
      </c>
      <c r="B20" s="150">
        <v>95600</v>
      </c>
      <c r="C20" s="150">
        <v>83600</v>
      </c>
      <c r="D20" s="150">
        <v>59800</v>
      </c>
      <c r="E20" s="150">
        <v>42327</v>
      </c>
      <c r="F20" s="150">
        <v>43600</v>
      </c>
      <c r="G20" s="150">
        <v>60600</v>
      </c>
      <c r="H20" s="150">
        <v>39000</v>
      </c>
      <c r="I20" s="150">
        <v>41800</v>
      </c>
      <c r="J20" s="150">
        <v>47200</v>
      </c>
      <c r="K20" s="150">
        <v>73000</v>
      </c>
      <c r="L20" s="150">
        <v>71800</v>
      </c>
      <c r="M20" s="150">
        <v>82200</v>
      </c>
      <c r="N20" s="150"/>
    </row>
    <row r="21" spans="1:73" s="151" customFormat="1">
      <c r="A21" s="148" t="s">
        <v>16</v>
      </c>
      <c r="N21" s="150"/>
    </row>
    <row r="22" spans="1:73" s="151" customFormat="1">
      <c r="A22" s="148" t="s">
        <v>17</v>
      </c>
      <c r="B22" s="150">
        <v>282.5</v>
      </c>
      <c r="C22" s="150">
        <v>273.5</v>
      </c>
      <c r="D22" s="150">
        <v>255.5</v>
      </c>
      <c r="E22" s="150">
        <v>231</v>
      </c>
      <c r="F22" s="150">
        <v>228</v>
      </c>
      <c r="G22" s="150">
        <v>273.5</v>
      </c>
      <c r="H22" s="150">
        <v>244</v>
      </c>
      <c r="I22" s="150">
        <v>238</v>
      </c>
      <c r="J22" s="150">
        <v>248.5</v>
      </c>
      <c r="K22" s="150">
        <v>287</v>
      </c>
      <c r="L22" s="150">
        <v>281</v>
      </c>
      <c r="M22" s="150">
        <v>272.5</v>
      </c>
      <c r="N22" s="150"/>
    </row>
    <row r="23" spans="1:73" s="151" customFormat="1">
      <c r="A23" s="148" t="s">
        <v>18</v>
      </c>
      <c r="B23" s="149">
        <f t="shared" ref="B23:M23" si="2">B18-B19</f>
        <v>9655.5499999999993</v>
      </c>
      <c r="C23" s="149">
        <f t="shared" si="2"/>
        <v>8824.2999999999993</v>
      </c>
      <c r="D23" s="149">
        <f t="shared" si="2"/>
        <v>7455.57</v>
      </c>
      <c r="E23" s="149">
        <f t="shared" si="2"/>
        <v>5931.73</v>
      </c>
      <c r="F23" s="149">
        <f t="shared" si="2"/>
        <v>5888.69</v>
      </c>
      <c r="G23" s="149">
        <f t="shared" si="2"/>
        <v>7439.74</v>
      </c>
      <c r="H23" s="149">
        <f t="shared" si="2"/>
        <v>5657.36</v>
      </c>
      <c r="I23" s="149">
        <f t="shared" si="2"/>
        <v>6081.79</v>
      </c>
      <c r="J23" s="149">
        <f t="shared" si="2"/>
        <v>6567.15</v>
      </c>
      <c r="K23" s="149">
        <f t="shared" si="2"/>
        <v>8228.9599999999991</v>
      </c>
      <c r="L23" s="149">
        <f t="shared" si="2"/>
        <v>8116.96</v>
      </c>
      <c r="M23" s="149">
        <f t="shared" si="2"/>
        <v>8987.17</v>
      </c>
      <c r="N23" s="150"/>
    </row>
    <row r="25" spans="1:73" s="147" customFormat="1">
      <c r="A25" s="143" t="s">
        <v>21</v>
      </c>
      <c r="B25" s="144" t="s">
        <v>1</v>
      </c>
      <c r="C25" s="144" t="s">
        <v>2</v>
      </c>
      <c r="D25" s="144" t="s">
        <v>3</v>
      </c>
      <c r="E25" s="144" t="s">
        <v>4</v>
      </c>
      <c r="F25" s="144" t="s">
        <v>5</v>
      </c>
      <c r="G25" s="144" t="s">
        <v>6</v>
      </c>
      <c r="H25" s="144" t="s">
        <v>7</v>
      </c>
      <c r="I25" s="144" t="s">
        <v>8</v>
      </c>
      <c r="J25" s="144" t="s">
        <v>9</v>
      </c>
      <c r="K25" s="144" t="s">
        <v>10</v>
      </c>
      <c r="L25" s="144" t="s">
        <v>11</v>
      </c>
      <c r="M25" s="144" t="s">
        <v>12</v>
      </c>
      <c r="N25" s="145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</row>
    <row r="26" spans="1:73" s="151" customFormat="1">
      <c r="A26" s="148" t="s">
        <v>13</v>
      </c>
      <c r="B26" s="149">
        <v>13541.17</v>
      </c>
      <c r="C26" s="149">
        <v>12400.94</v>
      </c>
      <c r="D26" s="149">
        <v>11084.31</v>
      </c>
      <c r="E26" s="149">
        <v>9171.86</v>
      </c>
      <c r="F26" s="149">
        <v>8319.92</v>
      </c>
      <c r="G26" s="149">
        <v>8495.56</v>
      </c>
      <c r="H26" s="149">
        <v>7942.36</v>
      </c>
      <c r="I26" s="149">
        <v>9647.68</v>
      </c>
      <c r="J26" s="149">
        <v>10815.88</v>
      </c>
      <c r="K26" s="149">
        <v>11565.55</v>
      </c>
      <c r="L26" s="152">
        <v>11745.64</v>
      </c>
      <c r="M26" s="149">
        <v>12667.88</v>
      </c>
      <c r="N26" s="150"/>
    </row>
    <row r="27" spans="1:73" s="151" customFormat="1">
      <c r="A27" s="148" t="s">
        <v>14</v>
      </c>
      <c r="B27" s="150">
        <v>0</v>
      </c>
      <c r="C27" s="150">
        <v>0</v>
      </c>
      <c r="D27" s="150">
        <v>0</v>
      </c>
      <c r="E27" s="150">
        <v>0</v>
      </c>
      <c r="F27" s="150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150"/>
    </row>
    <row r="28" spans="1:73" s="151" customFormat="1">
      <c r="A28" s="148" t="s">
        <v>15</v>
      </c>
      <c r="B28" s="150">
        <v>140800</v>
      </c>
      <c r="C28" s="150">
        <v>125200</v>
      </c>
      <c r="D28" s="150">
        <v>97600</v>
      </c>
      <c r="E28" s="151">
        <v>76000</v>
      </c>
      <c r="F28" s="150">
        <v>78000</v>
      </c>
      <c r="G28" s="150">
        <v>82200</v>
      </c>
      <c r="H28" s="150">
        <v>66200</v>
      </c>
      <c r="I28" s="150">
        <v>80800</v>
      </c>
      <c r="J28" s="150">
        <v>93200</v>
      </c>
      <c r="K28" s="150">
        <v>113800</v>
      </c>
      <c r="L28" s="150">
        <v>115000</v>
      </c>
      <c r="M28" s="150">
        <v>125200</v>
      </c>
      <c r="N28" s="150"/>
    </row>
    <row r="29" spans="1:73" s="151" customFormat="1">
      <c r="A29" s="148" t="s">
        <v>16</v>
      </c>
      <c r="N29" s="150"/>
    </row>
    <row r="30" spans="1:73" s="151" customFormat="1">
      <c r="A30" s="148" t="s">
        <v>17</v>
      </c>
      <c r="B30" s="150">
        <v>383.5</v>
      </c>
      <c r="C30" s="150">
        <v>341</v>
      </c>
      <c r="D30" s="150">
        <v>345</v>
      </c>
      <c r="E30" s="151">
        <v>225</v>
      </c>
      <c r="F30" s="150">
        <v>233</v>
      </c>
      <c r="G30" s="150">
        <v>243</v>
      </c>
      <c r="H30" s="150">
        <v>295.5</v>
      </c>
      <c r="I30" s="150">
        <v>323</v>
      </c>
      <c r="J30" s="150">
        <v>352</v>
      </c>
      <c r="K30" s="150">
        <v>342.5</v>
      </c>
      <c r="L30" s="150">
        <v>352.5</v>
      </c>
      <c r="M30" s="150">
        <v>341.5</v>
      </c>
      <c r="N30" s="150"/>
    </row>
    <row r="31" spans="1:73" s="151" customFormat="1">
      <c r="A31" s="148" t="s">
        <v>18</v>
      </c>
      <c r="B31" s="149">
        <f t="shared" ref="B31:M31" si="3">B26-B27</f>
        <v>13541.17</v>
      </c>
      <c r="C31" s="149">
        <f t="shared" si="3"/>
        <v>12400.94</v>
      </c>
      <c r="D31" s="149">
        <f t="shared" si="3"/>
        <v>11084.31</v>
      </c>
      <c r="E31" s="149">
        <f t="shared" si="3"/>
        <v>9171.86</v>
      </c>
      <c r="F31" s="149">
        <f t="shared" si="3"/>
        <v>8319.92</v>
      </c>
      <c r="G31" s="149">
        <f t="shared" si="3"/>
        <v>8495.56</v>
      </c>
      <c r="H31" s="149">
        <f t="shared" si="3"/>
        <v>7942.36</v>
      </c>
      <c r="I31" s="149">
        <f t="shared" si="3"/>
        <v>9647.68</v>
      </c>
      <c r="J31" s="149">
        <f t="shared" si="3"/>
        <v>10815.88</v>
      </c>
      <c r="K31" s="149">
        <f t="shared" si="3"/>
        <v>11565.55</v>
      </c>
      <c r="L31" s="149">
        <f t="shared" si="3"/>
        <v>11745.64</v>
      </c>
      <c r="M31" s="149">
        <f t="shared" si="3"/>
        <v>12667.88</v>
      </c>
      <c r="N31" s="150"/>
    </row>
    <row r="37" spans="1:14">
      <c r="A37" s="153" t="s">
        <v>22</v>
      </c>
      <c r="B37" s="144" t="s">
        <v>1</v>
      </c>
      <c r="C37" s="144" t="s">
        <v>2</v>
      </c>
      <c r="D37" s="144" t="s">
        <v>3</v>
      </c>
      <c r="E37" s="144" t="s">
        <v>4</v>
      </c>
      <c r="F37" s="144" t="s">
        <v>5</v>
      </c>
      <c r="G37" s="144" t="s">
        <v>6</v>
      </c>
      <c r="H37" s="144" t="s">
        <v>7</v>
      </c>
      <c r="I37" s="144" t="s">
        <v>8</v>
      </c>
      <c r="J37" s="144" t="s">
        <v>9</v>
      </c>
      <c r="K37" s="144" t="s">
        <v>10</v>
      </c>
      <c r="L37" s="144" t="s">
        <v>11</v>
      </c>
      <c r="M37" s="144" t="s">
        <v>12</v>
      </c>
      <c r="N37" s="144" t="s">
        <v>23</v>
      </c>
    </row>
    <row r="38" spans="1:14">
      <c r="A38" s="153" t="s">
        <v>13</v>
      </c>
      <c r="B38" s="156">
        <f t="shared" ref="B38:M38" si="4">SUM(B2,B10,B18,B26)</f>
        <v>34885.24</v>
      </c>
      <c r="C38" s="156">
        <f t="shared" si="4"/>
        <v>32287.270000000004</v>
      </c>
      <c r="D38" s="156">
        <f t="shared" si="4"/>
        <v>27609.96</v>
      </c>
      <c r="E38" s="156">
        <f t="shared" si="4"/>
        <v>21814.27</v>
      </c>
      <c r="F38" s="156">
        <f t="shared" si="4"/>
        <v>21116.510000000002</v>
      </c>
      <c r="G38" s="156">
        <f t="shared" si="4"/>
        <v>23972.67</v>
      </c>
      <c r="H38" s="156">
        <f t="shared" si="4"/>
        <v>19880.349999999999</v>
      </c>
      <c r="I38" s="156">
        <f t="shared" si="4"/>
        <v>22786.05</v>
      </c>
      <c r="J38" s="156">
        <f t="shared" si="4"/>
        <v>24758.33</v>
      </c>
      <c r="K38" s="156">
        <f t="shared" si="4"/>
        <v>27201.37</v>
      </c>
      <c r="L38" s="156">
        <f t="shared" si="4"/>
        <v>28873.040000000001</v>
      </c>
      <c r="M38" s="156">
        <f t="shared" si="4"/>
        <v>32051.629999999997</v>
      </c>
      <c r="N38" s="156">
        <f>SUM(B38:M38)</f>
        <v>317236.68999999994</v>
      </c>
    </row>
    <row r="39" spans="1:14">
      <c r="A39" s="153" t="s">
        <v>14</v>
      </c>
      <c r="B39" s="156">
        <f t="shared" ref="B39:M39" si="5">B3</f>
        <v>774.14</v>
      </c>
      <c r="C39" s="156">
        <f t="shared" si="5"/>
        <v>871.04</v>
      </c>
      <c r="D39" s="156">
        <f t="shared" si="5"/>
        <v>816.89</v>
      </c>
      <c r="E39" s="156">
        <f t="shared" si="5"/>
        <v>621</v>
      </c>
      <c r="F39" s="156">
        <f t="shared" si="5"/>
        <v>584.62</v>
      </c>
      <c r="G39" s="156">
        <f t="shared" si="5"/>
        <v>560.39</v>
      </c>
      <c r="H39" s="156">
        <f t="shared" si="5"/>
        <v>614.54</v>
      </c>
      <c r="I39" s="156">
        <f t="shared" si="5"/>
        <v>664.42</v>
      </c>
      <c r="J39" s="156">
        <f t="shared" si="5"/>
        <v>694.34</v>
      </c>
      <c r="K39" s="156">
        <f t="shared" si="5"/>
        <v>719.99</v>
      </c>
      <c r="L39" s="156">
        <f t="shared" si="5"/>
        <v>735.67</v>
      </c>
      <c r="M39" s="156">
        <f t="shared" si="5"/>
        <v>751.34</v>
      </c>
      <c r="N39" s="156">
        <f>SUM(B39:M39)</f>
        <v>8408.3799999999992</v>
      </c>
    </row>
    <row r="40" spans="1:14">
      <c r="A40" s="153" t="s">
        <v>15</v>
      </c>
      <c r="B40" s="154">
        <f t="shared" ref="B40:M40" si="6">SUM(B4,B12,B20,B28)</f>
        <v>347528</v>
      </c>
      <c r="C40" s="154">
        <f t="shared" si="6"/>
        <v>307937</v>
      </c>
      <c r="D40" s="154">
        <f t="shared" si="6"/>
        <v>226397</v>
      </c>
      <c r="E40" s="154">
        <f t="shared" si="6"/>
        <v>166861</v>
      </c>
      <c r="F40" s="154">
        <f t="shared" si="6"/>
        <v>169197</v>
      </c>
      <c r="G40" s="154">
        <f t="shared" si="6"/>
        <v>203607</v>
      </c>
      <c r="H40" s="154">
        <f t="shared" si="6"/>
        <v>148169</v>
      </c>
      <c r="I40" s="154">
        <f t="shared" si="6"/>
        <v>170703</v>
      </c>
      <c r="J40" s="154">
        <f t="shared" si="6"/>
        <v>192136</v>
      </c>
      <c r="K40" s="154">
        <f t="shared" si="6"/>
        <v>268754</v>
      </c>
      <c r="L40" s="154">
        <f t="shared" si="6"/>
        <v>263060</v>
      </c>
      <c r="M40" s="154">
        <f t="shared" si="6"/>
        <v>299160</v>
      </c>
      <c r="N40" s="154">
        <f>SUM(B40:M40)</f>
        <v>2763509</v>
      </c>
    </row>
    <row r="41" spans="1:14">
      <c r="A41" s="153" t="s">
        <v>24</v>
      </c>
      <c r="B41" s="154">
        <f>B6</f>
        <v>235</v>
      </c>
      <c r="C41" s="154">
        <f t="shared" ref="C41:M41" si="7">C6</f>
        <v>240</v>
      </c>
      <c r="D41" s="154">
        <f t="shared" si="7"/>
        <v>250</v>
      </c>
      <c r="E41" s="154">
        <f t="shared" si="7"/>
        <v>182</v>
      </c>
      <c r="F41" s="154">
        <f t="shared" si="7"/>
        <v>168.5</v>
      </c>
      <c r="G41" s="154">
        <f t="shared" si="7"/>
        <v>160</v>
      </c>
      <c r="H41" s="154">
        <f t="shared" si="7"/>
        <v>179</v>
      </c>
      <c r="I41" s="154">
        <f t="shared" si="7"/>
        <v>196.5</v>
      </c>
      <c r="J41" s="154">
        <f t="shared" si="7"/>
        <v>207</v>
      </c>
      <c r="K41" s="154">
        <f t="shared" si="7"/>
        <v>216</v>
      </c>
      <c r="L41" s="154">
        <f t="shared" si="7"/>
        <v>221.5</v>
      </c>
      <c r="M41" s="154">
        <f t="shared" si="7"/>
        <v>227</v>
      </c>
      <c r="N41" s="154">
        <f>SUM(B41:M41)</f>
        <v>2482.5</v>
      </c>
    </row>
    <row r="42" spans="1:14">
      <c r="A42" s="153" t="s">
        <v>18</v>
      </c>
      <c r="B42" s="156">
        <f t="shared" ref="B41:M42" si="8">SUM(B7,B15,B23,B31)</f>
        <v>34111.1</v>
      </c>
      <c r="C42" s="156">
        <f t="shared" si="8"/>
        <v>31416.230000000003</v>
      </c>
      <c r="D42" s="156">
        <f t="shared" si="8"/>
        <v>26793.07</v>
      </c>
      <c r="E42" s="156">
        <f t="shared" si="8"/>
        <v>21193.27</v>
      </c>
      <c r="F42" s="156">
        <f t="shared" si="8"/>
        <v>20531.89</v>
      </c>
      <c r="G42" s="156">
        <f t="shared" si="8"/>
        <v>23412.28</v>
      </c>
      <c r="H42" s="156">
        <f t="shared" si="8"/>
        <v>19265.810000000001</v>
      </c>
      <c r="I42" s="156">
        <f>SUM(I7,I15,I23,I31)</f>
        <v>22121.63</v>
      </c>
      <c r="J42" s="156">
        <f t="shared" si="8"/>
        <v>24063.989999999998</v>
      </c>
      <c r="K42" s="156">
        <f t="shared" si="8"/>
        <v>26481.379999999997</v>
      </c>
      <c r="L42" s="156">
        <f t="shared" si="8"/>
        <v>28137.37</v>
      </c>
      <c r="M42" s="156">
        <f t="shared" si="8"/>
        <v>31300.29</v>
      </c>
      <c r="N42" s="156">
        <f>SUM(B42:M42)</f>
        <v>308828.31</v>
      </c>
    </row>
    <row r="44" spans="1:14">
      <c r="A44" s="153" t="s">
        <v>25</v>
      </c>
    </row>
    <row r="45" spans="1:14">
      <c r="A45" s="153" t="s">
        <v>26</v>
      </c>
    </row>
    <row r="46" spans="1:14">
      <c r="A46" s="153"/>
    </row>
    <row r="47" spans="1:14">
      <c r="A47" s="173" t="s">
        <v>27</v>
      </c>
    </row>
    <row r="48" spans="1:14">
      <c r="A48" s="173" t="s">
        <v>28</v>
      </c>
    </row>
    <row r="50" spans="1:1">
      <c r="A50" s="174">
        <f>N39/SUM(B6:M6)</f>
        <v>3.3870614300100703</v>
      </c>
    </row>
    <row r="51" spans="1:1">
      <c r="A51" s="174">
        <f>N42/N40</f>
        <v>0.11175223601587692</v>
      </c>
    </row>
    <row r="52" spans="1:1">
      <c r="A52" s="155">
        <f>35000000/6200</f>
        <v>5645.1612903225805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4EC0-3411-4B37-95A8-4E09EB9C689F}">
  <dimension ref="A2:W41"/>
  <sheetViews>
    <sheetView topLeftCell="C1" zoomScale="70" zoomScaleNormal="70" workbookViewId="0">
      <selection activeCell="L21" sqref="L21"/>
    </sheetView>
  </sheetViews>
  <sheetFormatPr defaultColWidth="9.140625" defaultRowHeight="15"/>
  <cols>
    <col min="1" max="1" width="95.85546875" style="1" customWidth="1"/>
    <col min="2" max="2" width="9.7109375" style="1" customWidth="1"/>
    <col min="3" max="3" width="34" style="1" customWidth="1"/>
    <col min="4" max="4" width="15.140625" style="1" customWidth="1"/>
    <col min="5" max="5" width="14.7109375" style="1" customWidth="1"/>
    <col min="6" max="6" width="23.28515625" style="1" customWidth="1"/>
    <col min="7" max="7" width="15.28515625" style="1" customWidth="1"/>
    <col min="8" max="8" width="19.28515625" style="1" customWidth="1"/>
    <col min="9" max="9" width="17.28515625" style="1" customWidth="1"/>
    <col min="10" max="10" width="16.7109375" style="1" customWidth="1"/>
    <col min="11" max="11" width="18.7109375" style="1" customWidth="1"/>
    <col min="12" max="21" width="9.140625" style="1"/>
    <col min="22" max="22" width="2.140625" style="1" customWidth="1"/>
    <col min="23" max="23" width="9.140625" style="1"/>
    <col min="24" max="24" width="19.85546875" style="1" customWidth="1"/>
    <col min="25" max="25" width="10.28515625" style="1" customWidth="1"/>
    <col min="26" max="26" width="21.28515625" style="1" customWidth="1"/>
    <col min="27" max="27" width="9.140625" style="1"/>
    <col min="28" max="28" width="20.140625" style="1" customWidth="1"/>
    <col min="29" max="31" width="9.140625" style="1"/>
    <col min="32" max="32" width="37" style="1" customWidth="1"/>
    <col min="33" max="16384" width="9.140625" style="1"/>
  </cols>
  <sheetData>
    <row r="2" spans="1:23" ht="16.5" thickBot="1">
      <c r="A2" s="187"/>
      <c r="B2" s="187"/>
      <c r="C2" s="187"/>
      <c r="D2" s="187"/>
      <c r="E2" s="188"/>
      <c r="F2" s="188"/>
      <c r="G2" s="188"/>
      <c r="H2" s="188"/>
      <c r="I2" s="188"/>
      <c r="J2" s="189"/>
      <c r="K2" s="187"/>
      <c r="L2" s="187"/>
    </row>
    <row r="3" spans="1:23" ht="15.75">
      <c r="A3" s="187"/>
      <c r="B3" s="116" t="s">
        <v>29</v>
      </c>
      <c r="C3" s="117" t="s">
        <v>30</v>
      </c>
      <c r="D3" s="117" t="s">
        <v>31</v>
      </c>
      <c r="E3" s="118" t="s">
        <v>32</v>
      </c>
      <c r="F3" s="119" t="s">
        <v>33</v>
      </c>
      <c r="G3" s="119" t="s">
        <v>34</v>
      </c>
      <c r="H3" s="120" t="s">
        <v>35</v>
      </c>
      <c r="I3" s="119" t="s">
        <v>36</v>
      </c>
      <c r="J3" s="120" t="s">
        <v>37</v>
      </c>
      <c r="K3" s="121" t="s">
        <v>38</v>
      </c>
      <c r="L3" s="187"/>
    </row>
    <row r="4" spans="1:23" ht="16.5" thickBot="1">
      <c r="A4" s="187"/>
      <c r="B4" s="190"/>
      <c r="C4" s="122"/>
      <c r="D4" s="122"/>
      <c r="E4" s="123" t="s">
        <v>39</v>
      </c>
      <c r="F4" s="124" t="s">
        <v>40</v>
      </c>
      <c r="G4" s="124" t="s">
        <v>41</v>
      </c>
      <c r="H4" s="124" t="s">
        <v>40</v>
      </c>
      <c r="I4" s="124" t="s">
        <v>42</v>
      </c>
      <c r="J4" s="124" t="s">
        <v>43</v>
      </c>
      <c r="K4" s="125" t="s">
        <v>44</v>
      </c>
      <c r="L4" s="187"/>
    </row>
    <row r="5" spans="1:23" ht="15.75">
      <c r="A5" s="187"/>
      <c r="B5" s="191">
        <v>1</v>
      </c>
      <c r="C5" s="187" t="str">
        <f>B14</f>
        <v>Hvac Tuneup</v>
      </c>
      <c r="D5" s="126"/>
      <c r="E5" s="192">
        <f>B17</f>
        <v>72020</v>
      </c>
      <c r="F5" s="192">
        <f>D17</f>
        <v>8066</v>
      </c>
      <c r="G5" s="192">
        <v>0</v>
      </c>
      <c r="H5" s="193">
        <f>D17</f>
        <v>8066</v>
      </c>
      <c r="I5" s="193">
        <f>E17</f>
        <v>27</v>
      </c>
      <c r="J5" s="193">
        <v>0</v>
      </c>
      <c r="K5" s="194">
        <f>ROUND(J5/H5,2)</f>
        <v>0</v>
      </c>
      <c r="L5" s="187"/>
    </row>
    <row r="6" spans="1:23" ht="15.75">
      <c r="A6" s="187"/>
      <c r="B6" s="191">
        <v>2</v>
      </c>
      <c r="C6" s="187" t="str">
        <f>B33</f>
        <v>Discharge pressure of Air Compressor</v>
      </c>
      <c r="D6" s="126"/>
      <c r="E6" s="192">
        <f>B36</f>
        <v>24928</v>
      </c>
      <c r="F6" s="192">
        <f>C36</f>
        <v>2792</v>
      </c>
      <c r="G6" s="187">
        <v>0</v>
      </c>
      <c r="H6" s="193">
        <f>D36</f>
        <v>2792</v>
      </c>
      <c r="I6" s="193">
        <f>E36</f>
        <v>10</v>
      </c>
      <c r="J6" s="193">
        <f>F36</f>
        <v>100</v>
      </c>
      <c r="K6" s="194">
        <f>ROUND(J6/H6,2)</f>
        <v>0.04</v>
      </c>
      <c r="L6" s="187"/>
    </row>
    <row r="7" spans="1:23" ht="15.75">
      <c r="A7" s="187"/>
      <c r="B7" s="191">
        <v>3</v>
      </c>
      <c r="C7" s="187" t="str">
        <f>B26</f>
        <v>Occupancy Sensor</v>
      </c>
      <c r="D7" s="126"/>
      <c r="E7" s="192">
        <f>B29</f>
        <v>56313</v>
      </c>
      <c r="F7" s="192">
        <f>C29</f>
        <v>6307</v>
      </c>
      <c r="G7" s="187">
        <v>0</v>
      </c>
      <c r="H7" s="193">
        <f>D29</f>
        <v>6307</v>
      </c>
      <c r="I7" s="193">
        <f>E29</f>
        <v>21</v>
      </c>
      <c r="J7" s="193">
        <f>F29</f>
        <v>300</v>
      </c>
      <c r="K7" s="194">
        <f>ROUND(J7/H7,2)</f>
        <v>0.05</v>
      </c>
      <c r="L7" s="187"/>
      <c r="W7" s="187"/>
    </row>
    <row r="8" spans="1:23" ht="15.75">
      <c r="A8" s="187"/>
      <c r="B8" s="191">
        <v>4</v>
      </c>
      <c r="C8" s="187" t="str">
        <f>B38</f>
        <v>Eliminate Leaks</v>
      </c>
      <c r="D8" s="126"/>
      <c r="E8" s="192">
        <f>B41</f>
        <v>8083</v>
      </c>
      <c r="F8" s="192">
        <f>C41</f>
        <v>905</v>
      </c>
      <c r="G8" s="187">
        <v>0</v>
      </c>
      <c r="H8" s="193">
        <f>D41</f>
        <v>905</v>
      </c>
      <c r="I8" s="193">
        <f>E41</f>
        <v>3</v>
      </c>
      <c r="J8" s="193">
        <f>F41</f>
        <v>45</v>
      </c>
      <c r="K8" s="194">
        <f>ROUND(J8/H8,2)</f>
        <v>0.05</v>
      </c>
      <c r="L8" s="187"/>
      <c r="W8" s="187"/>
    </row>
    <row r="9" spans="1:23" ht="15.75">
      <c r="A9" s="187"/>
      <c r="B9" s="191">
        <v>5</v>
      </c>
      <c r="C9" s="195" t="str">
        <f>C20</f>
        <v>Higher Efficiency Lamps</v>
      </c>
      <c r="D9" s="126"/>
      <c r="E9" s="192">
        <f>B23</f>
        <v>82050</v>
      </c>
      <c r="F9" s="192">
        <f>C23</f>
        <v>9190</v>
      </c>
      <c r="G9" s="187">
        <v>0</v>
      </c>
      <c r="H9" s="196">
        <f>F23</f>
        <v>9783</v>
      </c>
      <c r="I9" s="196">
        <f>G23</f>
        <v>31</v>
      </c>
      <c r="J9" s="196">
        <f>H23</f>
        <v>6965</v>
      </c>
      <c r="K9" s="194">
        <f>ROUND(J9/H9,2)</f>
        <v>0.71</v>
      </c>
      <c r="L9" s="187"/>
    </row>
    <row r="10" spans="1:23" ht="16.5" thickBot="1">
      <c r="A10" s="187"/>
      <c r="B10" s="127" t="s">
        <v>23</v>
      </c>
      <c r="C10" s="197"/>
      <c r="D10" s="197"/>
      <c r="E10" s="198">
        <f t="shared" ref="E10:J10" si="0">SUM(E5:E9)</f>
        <v>243394</v>
      </c>
      <c r="F10" s="198">
        <f t="shared" si="0"/>
        <v>27260</v>
      </c>
      <c r="G10" s="198">
        <f t="shared" si="0"/>
        <v>0</v>
      </c>
      <c r="H10" s="198">
        <f t="shared" si="0"/>
        <v>27853</v>
      </c>
      <c r="I10" s="198">
        <f t="shared" si="0"/>
        <v>92</v>
      </c>
      <c r="J10" s="198">
        <f t="shared" si="0"/>
        <v>7410</v>
      </c>
      <c r="K10" s="199">
        <f>J10/H10</f>
        <v>0.26603956485836355</v>
      </c>
      <c r="L10" s="187"/>
    </row>
    <row r="11" spans="1:23" ht="15.75">
      <c r="A11" s="187"/>
      <c r="B11" s="187"/>
      <c r="C11" s="187"/>
      <c r="D11" s="187"/>
      <c r="E11" s="188"/>
      <c r="F11" s="188"/>
      <c r="G11" s="188"/>
      <c r="H11" s="188" t="s">
        <v>45</v>
      </c>
      <c r="I11" s="188" t="s">
        <v>46</v>
      </c>
      <c r="J11" s="188"/>
      <c r="K11" s="189"/>
      <c r="L11" s="187"/>
    </row>
    <row r="12" spans="1:23" ht="15.75">
      <c r="A12" s="187"/>
      <c r="B12" s="187"/>
      <c r="C12" s="187"/>
      <c r="D12" s="187"/>
      <c r="E12" s="188"/>
      <c r="F12" s="188"/>
      <c r="G12" s="188"/>
      <c r="H12" s="200">
        <f>H10/'Section 1'!F24</f>
        <v>8.1772587067929434E-2</v>
      </c>
      <c r="I12" s="200">
        <f>I10/'Section 1'!D29</f>
        <v>7.6511682530341796E-2</v>
      </c>
      <c r="J12" s="188"/>
      <c r="K12" s="189"/>
      <c r="L12" s="187"/>
    </row>
    <row r="13" spans="1:23" ht="15.75">
      <c r="A13" s="187"/>
      <c r="B13" s="187"/>
      <c r="C13" s="187"/>
      <c r="D13" s="187"/>
      <c r="E13" s="188"/>
      <c r="F13" s="188"/>
      <c r="G13" s="188"/>
      <c r="H13" s="188"/>
      <c r="I13" s="188"/>
      <c r="J13" s="189"/>
      <c r="K13" s="187"/>
      <c r="L13" s="187"/>
    </row>
    <row r="14" spans="1:23" ht="15.75" thickBot="1">
      <c r="B14" s="1" t="s">
        <v>47</v>
      </c>
    </row>
    <row r="15" spans="1:23" ht="78" customHeight="1">
      <c r="B15" s="181" t="s">
        <v>48</v>
      </c>
      <c r="C15" s="181" t="s">
        <v>49</v>
      </c>
      <c r="D15" s="181" t="s">
        <v>50</v>
      </c>
      <c r="E15" s="181" t="s">
        <v>51</v>
      </c>
      <c r="F15" s="181" t="s">
        <v>52</v>
      </c>
      <c r="G15" s="131" t="s">
        <v>53</v>
      </c>
      <c r="K15" s="177">
        <f>45/889</f>
        <v>5.0618672665916763E-2</v>
      </c>
    </row>
    <row r="16" spans="1:23" ht="16.5" thickBot="1">
      <c r="B16" s="182"/>
      <c r="C16" s="182"/>
      <c r="D16" s="182"/>
      <c r="E16" s="182"/>
      <c r="F16" s="182"/>
      <c r="G16" s="132" t="s">
        <v>54</v>
      </c>
    </row>
    <row r="17" spans="2:9" ht="16.5" thickBot="1">
      <c r="B17" s="128">
        <v>72020</v>
      </c>
      <c r="C17" s="134">
        <v>8066</v>
      </c>
      <c r="D17" s="134">
        <v>8066</v>
      </c>
      <c r="E17" s="135">
        <v>27</v>
      </c>
      <c r="F17" s="135">
        <v>0</v>
      </c>
      <c r="G17" s="130">
        <v>0</v>
      </c>
    </row>
    <row r="20" spans="2:9" ht="15.75" thickBot="1">
      <c r="C20" s="1" t="s">
        <v>55</v>
      </c>
    </row>
    <row r="21" spans="2:9" ht="31.5">
      <c r="B21" s="179" t="s">
        <v>48</v>
      </c>
      <c r="C21" s="168" t="s">
        <v>56</v>
      </c>
      <c r="D21" s="168" t="s">
        <v>57</v>
      </c>
      <c r="E21" s="168" t="s">
        <v>58</v>
      </c>
      <c r="F21" s="179" t="s">
        <v>50</v>
      </c>
      <c r="G21" s="168" t="s">
        <v>59</v>
      </c>
      <c r="H21" s="179" t="s">
        <v>52</v>
      </c>
      <c r="I21" s="168" t="s">
        <v>53</v>
      </c>
    </row>
    <row r="22" spans="2:9" ht="32.25" thickBot="1">
      <c r="B22" s="180"/>
      <c r="C22" s="169" t="s">
        <v>60</v>
      </c>
      <c r="D22" s="169" t="s">
        <v>61</v>
      </c>
      <c r="E22" s="169" t="s">
        <v>60</v>
      </c>
      <c r="F22" s="180"/>
      <c r="G22" s="169" t="s">
        <v>62</v>
      </c>
      <c r="H22" s="180"/>
      <c r="I22" s="169" t="s">
        <v>63</v>
      </c>
    </row>
    <row r="23" spans="2:9" ht="16.5" thickBot="1">
      <c r="B23" s="128">
        <v>82050</v>
      </c>
      <c r="C23" s="129">
        <v>9190</v>
      </c>
      <c r="D23" s="130">
        <v>175</v>
      </c>
      <c r="E23" s="130">
        <v>593</v>
      </c>
      <c r="F23" s="129">
        <v>9783</v>
      </c>
      <c r="G23" s="130">
        <v>31</v>
      </c>
      <c r="H23" s="129">
        <v>6965</v>
      </c>
      <c r="I23" s="130">
        <v>0.71</v>
      </c>
    </row>
    <row r="26" spans="2:9" ht="15.75" thickBot="1">
      <c r="B26" s="1" t="s">
        <v>64</v>
      </c>
    </row>
    <row r="27" spans="2:9" ht="30" customHeight="1">
      <c r="B27" s="181" t="s">
        <v>48</v>
      </c>
      <c r="C27" s="181" t="s">
        <v>49</v>
      </c>
      <c r="D27" s="181" t="s">
        <v>50</v>
      </c>
      <c r="E27" s="181" t="s">
        <v>51</v>
      </c>
      <c r="F27" s="181" t="s">
        <v>52</v>
      </c>
      <c r="G27" s="131" t="s">
        <v>53</v>
      </c>
    </row>
    <row r="28" spans="2:9" ht="16.5" thickBot="1">
      <c r="B28" s="182"/>
      <c r="C28" s="182"/>
      <c r="D28" s="182"/>
      <c r="E28" s="182"/>
      <c r="F28" s="182"/>
      <c r="G28" s="132" t="s">
        <v>54</v>
      </c>
    </row>
    <row r="29" spans="2:9" ht="16.5" thickBot="1">
      <c r="B29" s="133">
        <v>56313</v>
      </c>
      <c r="C29" s="134">
        <v>6307</v>
      </c>
      <c r="D29" s="134">
        <v>6307</v>
      </c>
      <c r="E29" s="135">
        <v>21</v>
      </c>
      <c r="F29" s="130">
        <v>300</v>
      </c>
      <c r="G29" s="130" t="s">
        <v>65</v>
      </c>
      <c r="H29" s="1">
        <f>F29/D29</f>
        <v>4.7566196289836687E-2</v>
      </c>
    </row>
    <row r="33" spans="2:7" ht="15.75" thickBot="1">
      <c r="B33" s="1" t="s">
        <v>66</v>
      </c>
    </row>
    <row r="34" spans="2:7" ht="30" customHeight="1">
      <c r="B34" s="181" t="s">
        <v>48</v>
      </c>
      <c r="C34" s="181" t="s">
        <v>49</v>
      </c>
      <c r="D34" s="181" t="s">
        <v>50</v>
      </c>
      <c r="E34" s="181" t="s">
        <v>67</v>
      </c>
      <c r="F34" s="131" t="s">
        <v>68</v>
      </c>
      <c r="G34" s="131" t="s">
        <v>53</v>
      </c>
    </row>
    <row r="35" spans="2:7" ht="16.5" thickBot="1">
      <c r="B35" s="182"/>
      <c r="C35" s="182"/>
      <c r="D35" s="182"/>
      <c r="E35" s="182"/>
      <c r="F35" s="132" t="s">
        <v>69</v>
      </c>
      <c r="G35" s="132" t="s">
        <v>63</v>
      </c>
    </row>
    <row r="36" spans="2:7" ht="16.5" thickBot="1">
      <c r="B36" s="128">
        <v>24928</v>
      </c>
      <c r="C36" s="129">
        <v>2792</v>
      </c>
      <c r="D36" s="129">
        <v>2792</v>
      </c>
      <c r="E36" s="130">
        <v>10</v>
      </c>
      <c r="F36" s="130">
        <v>100</v>
      </c>
      <c r="G36" s="130">
        <v>0.04</v>
      </c>
    </row>
    <row r="38" spans="2:7" ht="15.75" thickBot="1">
      <c r="B38" s="1" t="s">
        <v>70</v>
      </c>
    </row>
    <row r="39" spans="2:7" ht="30" customHeight="1">
      <c r="B39" s="179" t="s">
        <v>48</v>
      </c>
      <c r="C39" s="179" t="s">
        <v>49</v>
      </c>
      <c r="D39" s="179" t="s">
        <v>50</v>
      </c>
      <c r="E39" s="179" t="s">
        <v>71</v>
      </c>
      <c r="F39" s="168" t="s">
        <v>68</v>
      </c>
      <c r="G39" s="168" t="s">
        <v>53</v>
      </c>
    </row>
    <row r="40" spans="2:7" ht="16.5" thickBot="1">
      <c r="B40" s="180"/>
      <c r="C40" s="180"/>
      <c r="D40" s="180"/>
      <c r="E40" s="180"/>
      <c r="F40" s="169" t="s">
        <v>69</v>
      </c>
      <c r="G40" s="169" t="s">
        <v>63</v>
      </c>
    </row>
    <row r="41" spans="2:7" ht="16.5" thickBot="1">
      <c r="B41" s="128">
        <v>8083</v>
      </c>
      <c r="C41" s="135">
        <v>905</v>
      </c>
      <c r="D41" s="135">
        <v>905</v>
      </c>
      <c r="E41" s="130">
        <v>3</v>
      </c>
      <c r="F41" s="130">
        <v>45</v>
      </c>
      <c r="G41" s="135">
        <v>0.05</v>
      </c>
    </row>
  </sheetData>
  <mergeCells count="21">
    <mergeCell ref="B39:B40"/>
    <mergeCell ref="C39:C40"/>
    <mergeCell ref="D39:D40"/>
    <mergeCell ref="E39:E40"/>
    <mergeCell ref="F15:F16"/>
    <mergeCell ref="B21:B22"/>
    <mergeCell ref="F21:F22"/>
    <mergeCell ref="B27:B28"/>
    <mergeCell ref="C27:C28"/>
    <mergeCell ref="D27:D28"/>
    <mergeCell ref="E27:E28"/>
    <mergeCell ref="F27:F28"/>
    <mergeCell ref="C34:C35"/>
    <mergeCell ref="D34:D35"/>
    <mergeCell ref="E34:E35"/>
    <mergeCell ref="B34:B35"/>
    <mergeCell ref="H21:H22"/>
    <mergeCell ref="B15:B16"/>
    <mergeCell ref="C15:C16"/>
    <mergeCell ref="D15:D16"/>
    <mergeCell ref="E15:E16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2839-2327-1444-8095-9A220D5CE926}">
  <dimension ref="A1:BW52"/>
  <sheetViews>
    <sheetView zoomScaleNormal="100" workbookViewId="0">
      <selection activeCell="A50" sqref="A50"/>
    </sheetView>
  </sheetViews>
  <sheetFormatPr defaultColWidth="11" defaultRowHeight="15.75"/>
  <cols>
    <col min="1" max="1" width="36.140625" style="155" customWidth="1"/>
    <col min="2" max="2" width="14.7109375" style="154" customWidth="1"/>
    <col min="3" max="3" width="19" style="154" customWidth="1"/>
    <col min="4" max="4" width="21.7109375" style="154" customWidth="1"/>
    <col min="5" max="5" width="18.42578125" style="154" customWidth="1"/>
    <col min="6" max="6" width="16.85546875" style="154" customWidth="1"/>
    <col min="7" max="7" width="17.42578125" style="154" customWidth="1"/>
    <col min="8" max="8" width="15" style="154" customWidth="1"/>
    <col min="9" max="9" width="15.42578125" style="154" customWidth="1"/>
    <col min="10" max="14" width="11" style="154"/>
    <col min="15" max="15" width="12.42578125" style="154" customWidth="1"/>
    <col min="16" max="16" width="21.7109375" style="154" customWidth="1"/>
    <col min="17" max="16384" width="11" style="155"/>
  </cols>
  <sheetData>
    <row r="1" spans="1:75" s="147" customFormat="1">
      <c r="A1" s="143" t="s">
        <v>0</v>
      </c>
      <c r="B1" s="144" t="s">
        <v>72</v>
      </c>
      <c r="C1" s="144" t="s">
        <v>73</v>
      </c>
      <c r="D1" s="144" t="s">
        <v>1</v>
      </c>
      <c r="E1" s="144" t="s">
        <v>2</v>
      </c>
      <c r="F1" s="144" t="s">
        <v>3</v>
      </c>
      <c r="G1" s="144" t="s">
        <v>4</v>
      </c>
      <c r="H1" s="144" t="s">
        <v>5</v>
      </c>
      <c r="I1" s="144" t="s">
        <v>6</v>
      </c>
      <c r="J1" s="144" t="s">
        <v>7</v>
      </c>
      <c r="K1" s="144" t="s">
        <v>8</v>
      </c>
      <c r="L1" s="144" t="s">
        <v>9</v>
      </c>
      <c r="M1" s="144" t="s">
        <v>10</v>
      </c>
      <c r="N1" s="144" t="s">
        <v>11</v>
      </c>
      <c r="O1" s="144" t="s">
        <v>12</v>
      </c>
      <c r="P1" s="145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</row>
    <row r="2" spans="1:75" s="151" customFormat="1">
      <c r="A2" s="148" t="s">
        <v>13</v>
      </c>
      <c r="B2" s="149">
        <v>8059.78</v>
      </c>
      <c r="C2" s="149">
        <v>8337.7999999999993</v>
      </c>
      <c r="D2" s="149">
        <v>8840.93</v>
      </c>
      <c r="E2" s="149">
        <v>8529.61</v>
      </c>
      <c r="F2" s="149">
        <v>6848.46</v>
      </c>
      <c r="G2" s="150">
        <v>4975.2</v>
      </c>
      <c r="H2" s="149">
        <v>4711.0600000000004</v>
      </c>
      <c r="I2" s="149">
        <v>5251.77</v>
      </c>
      <c r="J2" s="149">
        <v>4655.51</v>
      </c>
      <c r="K2" s="149">
        <v>5498.32</v>
      </c>
      <c r="L2" s="149">
        <v>5848.22</v>
      </c>
      <c r="M2" s="149">
        <v>7174.56</v>
      </c>
      <c r="N2" s="149">
        <v>6817.92</v>
      </c>
      <c r="O2" s="149">
        <v>8263.49</v>
      </c>
      <c r="P2" s="150"/>
    </row>
    <row r="3" spans="1:75" s="151" customFormat="1">
      <c r="A3" s="148" t="s">
        <v>14</v>
      </c>
      <c r="B3" s="149">
        <v>839.69</v>
      </c>
      <c r="C3" s="149">
        <v>845.39</v>
      </c>
      <c r="D3" s="149">
        <v>774.14</v>
      </c>
      <c r="E3" s="149">
        <v>871.04</v>
      </c>
      <c r="F3" s="149">
        <v>816.89</v>
      </c>
      <c r="G3" s="152">
        <v>621</v>
      </c>
      <c r="H3" s="149">
        <v>584.62</v>
      </c>
      <c r="I3" s="149">
        <v>560.39</v>
      </c>
      <c r="J3" s="149">
        <v>614.54</v>
      </c>
      <c r="K3" s="149">
        <v>664.42</v>
      </c>
      <c r="L3" s="149">
        <v>694.34</v>
      </c>
      <c r="M3" s="149">
        <v>719.99</v>
      </c>
      <c r="N3" s="149">
        <v>735.67</v>
      </c>
      <c r="O3" s="149">
        <v>751.34</v>
      </c>
      <c r="P3" s="150"/>
    </row>
    <row r="4" spans="1:75" s="151" customFormat="1">
      <c r="A4" s="148" t="s">
        <v>15</v>
      </c>
      <c r="B4" s="150">
        <v>75800</v>
      </c>
      <c r="C4" s="150">
        <v>77600</v>
      </c>
      <c r="D4" s="150">
        <v>88200</v>
      </c>
      <c r="E4" s="150">
        <v>80000</v>
      </c>
      <c r="F4" s="150">
        <v>54000</v>
      </c>
      <c r="G4" s="150">
        <v>37263</v>
      </c>
      <c r="H4" s="150">
        <v>33600</v>
      </c>
      <c r="I4" s="150">
        <v>41600</v>
      </c>
      <c r="J4" s="150">
        <v>33400</v>
      </c>
      <c r="K4" s="150">
        <v>39400</v>
      </c>
      <c r="L4" s="150">
        <v>42600</v>
      </c>
      <c r="M4" s="150">
        <v>65600</v>
      </c>
      <c r="N4" s="150">
        <v>60400</v>
      </c>
      <c r="O4" s="150">
        <v>76600</v>
      </c>
      <c r="P4" s="150"/>
    </row>
    <row r="5" spans="1:75" s="151" customFormat="1">
      <c r="A5" s="148" t="s">
        <v>16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</row>
    <row r="6" spans="1:75" s="151" customFormat="1">
      <c r="A6" s="148" t="s">
        <v>17</v>
      </c>
      <c r="B6" s="150">
        <v>258</v>
      </c>
      <c r="C6" s="150">
        <v>260</v>
      </c>
      <c r="D6" s="150">
        <v>235</v>
      </c>
      <c r="E6" s="150">
        <v>240</v>
      </c>
      <c r="F6" s="150">
        <v>250</v>
      </c>
      <c r="G6" s="150">
        <v>182</v>
      </c>
      <c r="H6" s="150">
        <v>168.5</v>
      </c>
      <c r="I6" s="150">
        <v>160</v>
      </c>
      <c r="J6" s="150">
        <v>179</v>
      </c>
      <c r="K6" s="150">
        <v>196.5</v>
      </c>
      <c r="L6" s="150">
        <v>207</v>
      </c>
      <c r="M6" s="150">
        <v>216</v>
      </c>
      <c r="N6" s="150">
        <v>221.5</v>
      </c>
      <c r="O6" s="150">
        <v>227</v>
      </c>
      <c r="P6" s="150">
        <f>SUM(B6:O6)</f>
        <v>3000.5</v>
      </c>
    </row>
    <row r="7" spans="1:75" s="151" customFormat="1">
      <c r="A7" s="148" t="s">
        <v>18</v>
      </c>
      <c r="B7" s="149">
        <f>B2-B3</f>
        <v>7220.09</v>
      </c>
      <c r="C7" s="149">
        <f t="shared" ref="C7:O7" si="0">C2-C3</f>
        <v>7492.4099999999989</v>
      </c>
      <c r="D7" s="149">
        <f t="shared" si="0"/>
        <v>8066.79</v>
      </c>
      <c r="E7" s="149">
        <f t="shared" si="0"/>
        <v>7658.5700000000006</v>
      </c>
      <c r="F7" s="149">
        <f t="shared" si="0"/>
        <v>6031.57</v>
      </c>
      <c r="G7" s="152">
        <f t="shared" si="0"/>
        <v>4354.2</v>
      </c>
      <c r="H7" s="149">
        <f t="shared" si="0"/>
        <v>4126.4400000000005</v>
      </c>
      <c r="I7" s="149">
        <f t="shared" si="0"/>
        <v>4691.38</v>
      </c>
      <c r="J7" s="149">
        <f t="shared" si="0"/>
        <v>4040.9700000000003</v>
      </c>
      <c r="K7" s="149">
        <f t="shared" si="0"/>
        <v>4833.8999999999996</v>
      </c>
      <c r="L7" s="149">
        <f t="shared" si="0"/>
        <v>5153.88</v>
      </c>
      <c r="M7" s="149">
        <f t="shared" si="0"/>
        <v>6454.5700000000006</v>
      </c>
      <c r="N7" s="149">
        <f t="shared" si="0"/>
        <v>6082.25</v>
      </c>
      <c r="O7" s="149">
        <f t="shared" si="0"/>
        <v>7512.15</v>
      </c>
      <c r="P7" s="150"/>
    </row>
    <row r="8" spans="1:75">
      <c r="A8" s="153"/>
    </row>
    <row r="9" spans="1:75" s="147" customFormat="1">
      <c r="A9" s="143" t="s">
        <v>19</v>
      </c>
      <c r="B9" s="144" t="s">
        <v>72</v>
      </c>
      <c r="C9" s="144" t="s">
        <v>73</v>
      </c>
      <c r="D9" s="144" t="s">
        <v>1</v>
      </c>
      <c r="E9" s="144" t="s">
        <v>2</v>
      </c>
      <c r="F9" s="144" t="s">
        <v>3</v>
      </c>
      <c r="G9" s="144" t="s">
        <v>4</v>
      </c>
      <c r="H9" s="144" t="s">
        <v>5</v>
      </c>
      <c r="I9" s="144" t="s">
        <v>6</v>
      </c>
      <c r="J9" s="144" t="s">
        <v>7</v>
      </c>
      <c r="K9" s="144" t="s">
        <v>8</v>
      </c>
      <c r="L9" s="144" t="s">
        <v>9</v>
      </c>
      <c r="M9" s="144" t="s">
        <v>10</v>
      </c>
      <c r="N9" s="144" t="s">
        <v>11</v>
      </c>
      <c r="O9" s="144" t="s">
        <v>12</v>
      </c>
      <c r="P9" s="145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</row>
    <row r="10" spans="1:75" s="151" customFormat="1">
      <c r="A10" s="148" t="s">
        <v>13</v>
      </c>
      <c r="B10" s="149">
        <v>2395.0500000000002</v>
      </c>
      <c r="C10" s="149">
        <v>2564.91</v>
      </c>
      <c r="D10" s="149">
        <v>2847.59</v>
      </c>
      <c r="E10" s="149">
        <v>2532.42</v>
      </c>
      <c r="F10" s="149">
        <v>2221.62</v>
      </c>
      <c r="G10" s="149">
        <v>1735.48</v>
      </c>
      <c r="H10" s="149">
        <v>2196.84</v>
      </c>
      <c r="I10" s="149">
        <v>2785.6</v>
      </c>
      <c r="J10" s="149">
        <v>1625.12</v>
      </c>
      <c r="K10" s="149">
        <v>1558.26</v>
      </c>
      <c r="L10" s="149">
        <v>1527.08</v>
      </c>
      <c r="M10" s="149">
        <v>232.3</v>
      </c>
      <c r="N10" s="149">
        <v>2192.52</v>
      </c>
      <c r="O10" s="149">
        <v>2133.09</v>
      </c>
      <c r="P10" s="150"/>
    </row>
    <row r="11" spans="1:75" s="151" customFormat="1">
      <c r="A11" s="148" t="s">
        <v>14</v>
      </c>
      <c r="B11" s="150">
        <v>0</v>
      </c>
      <c r="C11" s="150">
        <v>0</v>
      </c>
      <c r="D11" s="150">
        <v>0</v>
      </c>
      <c r="E11" s="150">
        <v>0</v>
      </c>
      <c r="F11" s="150">
        <v>0</v>
      </c>
      <c r="G11" s="150">
        <v>0</v>
      </c>
      <c r="H11" s="150">
        <v>0</v>
      </c>
      <c r="I11" s="150">
        <v>0</v>
      </c>
      <c r="J11" s="150">
        <v>0</v>
      </c>
      <c r="K11" s="150">
        <v>0</v>
      </c>
      <c r="L11" s="150">
        <v>0</v>
      </c>
      <c r="M11" s="150">
        <v>0</v>
      </c>
      <c r="N11" s="150">
        <v>0</v>
      </c>
      <c r="O11" s="150">
        <v>0</v>
      </c>
      <c r="P11" s="150"/>
    </row>
    <row r="12" spans="1:75" s="151" customFormat="1">
      <c r="A12" s="148" t="s">
        <v>15</v>
      </c>
      <c r="B12" s="150">
        <v>18182</v>
      </c>
      <c r="C12" s="150">
        <v>18732</v>
      </c>
      <c r="D12" s="150">
        <v>22928</v>
      </c>
      <c r="E12" s="150">
        <v>19137</v>
      </c>
      <c r="F12" s="150">
        <v>14997</v>
      </c>
      <c r="G12" s="150">
        <v>11271</v>
      </c>
      <c r="H12" s="150">
        <v>13997</v>
      </c>
      <c r="I12" s="150">
        <v>19207</v>
      </c>
      <c r="J12" s="150">
        <v>9569</v>
      </c>
      <c r="K12" s="150">
        <v>8703</v>
      </c>
      <c r="L12" s="150">
        <v>9136</v>
      </c>
      <c r="M12" s="150">
        <v>16354</v>
      </c>
      <c r="N12" s="150">
        <v>15860</v>
      </c>
      <c r="O12" s="150">
        <v>15160</v>
      </c>
      <c r="P12" s="150"/>
    </row>
    <row r="13" spans="1:75" s="151" customFormat="1">
      <c r="A13" s="148" t="s">
        <v>16</v>
      </c>
      <c r="P13" s="150"/>
    </row>
    <row r="14" spans="1:75" s="151" customFormat="1">
      <c r="A14" s="148" t="s">
        <v>17</v>
      </c>
      <c r="B14" s="150">
        <v>77.5</v>
      </c>
      <c r="C14" s="150">
        <v>73.5</v>
      </c>
      <c r="D14" s="150">
        <v>73</v>
      </c>
      <c r="E14" s="150">
        <v>71</v>
      </c>
      <c r="F14" s="150">
        <v>79</v>
      </c>
      <c r="G14" s="150">
        <v>74</v>
      </c>
      <c r="H14" s="150">
        <v>98</v>
      </c>
      <c r="I14" s="150">
        <v>108.5</v>
      </c>
      <c r="J14" s="150">
        <v>81</v>
      </c>
      <c r="K14" s="150">
        <v>76</v>
      </c>
      <c r="L14" s="150">
        <v>60.5</v>
      </c>
      <c r="M14" s="150">
        <v>74.5</v>
      </c>
      <c r="N14" s="150">
        <v>76</v>
      </c>
      <c r="O14" s="150">
        <v>72.5</v>
      </c>
      <c r="P14" s="150"/>
    </row>
    <row r="15" spans="1:75" s="151" customFormat="1">
      <c r="A15" s="148" t="s">
        <v>18</v>
      </c>
      <c r="B15" s="149">
        <f>B10-B11</f>
        <v>2395.0500000000002</v>
      </c>
      <c r="C15" s="149">
        <f t="shared" ref="C15:O15" si="1">C10-C11</f>
        <v>2564.91</v>
      </c>
      <c r="D15" s="149">
        <f t="shared" si="1"/>
        <v>2847.59</v>
      </c>
      <c r="E15" s="149">
        <f t="shared" si="1"/>
        <v>2532.42</v>
      </c>
      <c r="F15" s="149">
        <f t="shared" si="1"/>
        <v>2221.62</v>
      </c>
      <c r="G15" s="149">
        <f t="shared" si="1"/>
        <v>1735.48</v>
      </c>
      <c r="H15" s="149">
        <f t="shared" si="1"/>
        <v>2196.84</v>
      </c>
      <c r="I15" s="149">
        <f t="shared" si="1"/>
        <v>2785.6</v>
      </c>
      <c r="J15" s="149">
        <f t="shared" si="1"/>
        <v>1625.12</v>
      </c>
      <c r="K15" s="149">
        <f t="shared" si="1"/>
        <v>1558.26</v>
      </c>
      <c r="L15" s="149">
        <f t="shared" si="1"/>
        <v>1527.08</v>
      </c>
      <c r="M15" s="149">
        <f t="shared" si="1"/>
        <v>232.3</v>
      </c>
      <c r="N15" s="149">
        <f t="shared" si="1"/>
        <v>2192.52</v>
      </c>
      <c r="O15" s="149">
        <f t="shared" si="1"/>
        <v>2133.09</v>
      </c>
      <c r="P15" s="150"/>
    </row>
    <row r="16" spans="1:75">
      <c r="A16" s="153"/>
    </row>
    <row r="17" spans="1:75" s="147" customFormat="1">
      <c r="A17" s="143" t="s">
        <v>20</v>
      </c>
      <c r="B17" s="144" t="s">
        <v>72</v>
      </c>
      <c r="C17" s="144" t="s">
        <v>73</v>
      </c>
      <c r="D17" s="144" t="s">
        <v>1</v>
      </c>
      <c r="E17" s="144" t="s">
        <v>2</v>
      </c>
      <c r="F17" s="144" t="s">
        <v>3</v>
      </c>
      <c r="G17" s="144" t="s">
        <v>4</v>
      </c>
      <c r="H17" s="144" t="s">
        <v>5</v>
      </c>
      <c r="I17" s="144" t="s">
        <v>6</v>
      </c>
      <c r="J17" s="144" t="s">
        <v>7</v>
      </c>
      <c r="K17" s="144" t="s">
        <v>8</v>
      </c>
      <c r="L17" s="144" t="s">
        <v>9</v>
      </c>
      <c r="M17" s="144" t="s">
        <v>10</v>
      </c>
      <c r="N17" s="144" t="s">
        <v>11</v>
      </c>
      <c r="O17" s="144" t="s">
        <v>12</v>
      </c>
      <c r="P17" s="145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</row>
    <row r="18" spans="1:75" s="151" customFormat="1">
      <c r="A18" s="148" t="s">
        <v>13</v>
      </c>
      <c r="B18" s="149">
        <v>8765.4699999999993</v>
      </c>
      <c r="C18" s="149">
        <v>9675.49</v>
      </c>
      <c r="D18" s="149">
        <v>9655.5499999999993</v>
      </c>
      <c r="E18" s="149">
        <v>8824.2999999999993</v>
      </c>
      <c r="F18" s="149">
        <v>7455.57</v>
      </c>
      <c r="G18" s="150">
        <v>5931.73</v>
      </c>
      <c r="H18" s="149">
        <v>5888.69</v>
      </c>
      <c r="I18" s="149">
        <v>7439.74</v>
      </c>
      <c r="J18" s="149">
        <v>5657.36</v>
      </c>
      <c r="K18" s="149">
        <v>6081.79</v>
      </c>
      <c r="L18" s="149">
        <v>6567.15</v>
      </c>
      <c r="M18" s="149">
        <v>8228.9599999999991</v>
      </c>
      <c r="N18" s="149">
        <v>8116.96</v>
      </c>
      <c r="O18" s="149">
        <v>8987.17</v>
      </c>
      <c r="P18" s="150"/>
    </row>
    <row r="19" spans="1:75" s="151" customFormat="1">
      <c r="A19" s="148" t="s">
        <v>14</v>
      </c>
      <c r="B19" s="150">
        <v>0</v>
      </c>
      <c r="C19" s="150">
        <v>0</v>
      </c>
      <c r="D19" s="150">
        <v>0</v>
      </c>
      <c r="E19" s="150">
        <v>0</v>
      </c>
      <c r="F19" s="150">
        <v>0</v>
      </c>
      <c r="G19" s="150">
        <v>0</v>
      </c>
      <c r="H19" s="150">
        <v>0</v>
      </c>
      <c r="I19" s="150">
        <v>0</v>
      </c>
      <c r="J19" s="150">
        <v>0</v>
      </c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/>
    </row>
    <row r="20" spans="1:75" s="151" customFormat="1">
      <c r="A20" s="148" t="s">
        <v>15</v>
      </c>
      <c r="B20" s="150">
        <v>83400</v>
      </c>
      <c r="C20" s="150">
        <v>93400</v>
      </c>
      <c r="D20" s="150">
        <v>95600</v>
      </c>
      <c r="E20" s="150">
        <v>83600</v>
      </c>
      <c r="F20" s="150">
        <v>59800</v>
      </c>
      <c r="G20" s="150">
        <v>42327</v>
      </c>
      <c r="H20" s="150">
        <v>43600</v>
      </c>
      <c r="I20" s="150">
        <v>60600</v>
      </c>
      <c r="J20" s="150">
        <v>39000</v>
      </c>
      <c r="K20" s="150">
        <v>41800</v>
      </c>
      <c r="L20" s="150">
        <v>47200</v>
      </c>
      <c r="M20" s="150">
        <v>73000</v>
      </c>
      <c r="N20" s="150">
        <v>71800</v>
      </c>
      <c r="O20" s="150">
        <v>82200</v>
      </c>
      <c r="P20" s="150"/>
    </row>
    <row r="21" spans="1:75" s="151" customFormat="1">
      <c r="A21" s="148" t="s">
        <v>16</v>
      </c>
      <c r="P21" s="150"/>
    </row>
    <row r="22" spans="1:75" s="151" customFormat="1">
      <c r="A22" s="148" t="s">
        <v>17</v>
      </c>
      <c r="B22" s="150">
        <v>277</v>
      </c>
      <c r="C22" s="150">
        <v>282</v>
      </c>
      <c r="D22" s="150">
        <v>282.5</v>
      </c>
      <c r="E22" s="150">
        <v>273.5</v>
      </c>
      <c r="F22" s="150">
        <v>255.5</v>
      </c>
      <c r="G22" s="150">
        <v>231</v>
      </c>
      <c r="H22" s="150">
        <v>228</v>
      </c>
      <c r="I22" s="150">
        <v>273.5</v>
      </c>
      <c r="J22" s="150">
        <v>244</v>
      </c>
      <c r="K22" s="150">
        <v>238</v>
      </c>
      <c r="L22" s="150">
        <v>248.5</v>
      </c>
      <c r="M22" s="150">
        <v>287</v>
      </c>
      <c r="N22" s="150">
        <v>281</v>
      </c>
      <c r="O22" s="150">
        <v>272.5</v>
      </c>
      <c r="P22" s="150"/>
    </row>
    <row r="23" spans="1:75" s="151" customFormat="1">
      <c r="A23" s="148" t="s">
        <v>18</v>
      </c>
      <c r="B23" s="149">
        <f>B18-B19</f>
        <v>8765.4699999999993</v>
      </c>
      <c r="C23" s="149">
        <f t="shared" ref="C23:O23" si="2">C18-C19</f>
        <v>9675.49</v>
      </c>
      <c r="D23" s="149">
        <f t="shared" si="2"/>
        <v>9655.5499999999993</v>
      </c>
      <c r="E23" s="149">
        <f t="shared" si="2"/>
        <v>8824.2999999999993</v>
      </c>
      <c r="F23" s="149">
        <f t="shared" si="2"/>
        <v>7455.57</v>
      </c>
      <c r="G23" s="149">
        <f t="shared" si="2"/>
        <v>5931.73</v>
      </c>
      <c r="H23" s="149">
        <f t="shared" si="2"/>
        <v>5888.69</v>
      </c>
      <c r="I23" s="149">
        <f t="shared" si="2"/>
        <v>7439.74</v>
      </c>
      <c r="J23" s="149">
        <f t="shared" si="2"/>
        <v>5657.36</v>
      </c>
      <c r="K23" s="149">
        <f t="shared" si="2"/>
        <v>6081.79</v>
      </c>
      <c r="L23" s="149">
        <f t="shared" si="2"/>
        <v>6567.15</v>
      </c>
      <c r="M23" s="149">
        <f t="shared" si="2"/>
        <v>8228.9599999999991</v>
      </c>
      <c r="N23" s="149">
        <f t="shared" si="2"/>
        <v>8116.96</v>
      </c>
      <c r="O23" s="149">
        <f t="shared" si="2"/>
        <v>8987.17</v>
      </c>
      <c r="P23" s="150"/>
    </row>
    <row r="25" spans="1:75" s="147" customFormat="1">
      <c r="A25" s="143" t="s">
        <v>21</v>
      </c>
      <c r="B25" s="144" t="s">
        <v>72</v>
      </c>
      <c r="C25" s="144" t="s">
        <v>73</v>
      </c>
      <c r="D25" s="144" t="s">
        <v>1</v>
      </c>
      <c r="E25" s="144" t="s">
        <v>2</v>
      </c>
      <c r="F25" s="144" t="s">
        <v>3</v>
      </c>
      <c r="G25" s="144" t="s">
        <v>4</v>
      </c>
      <c r="H25" s="144" t="s">
        <v>5</v>
      </c>
      <c r="I25" s="144" t="s">
        <v>6</v>
      </c>
      <c r="J25" s="144" t="s">
        <v>7</v>
      </c>
      <c r="K25" s="144" t="s">
        <v>8</v>
      </c>
      <c r="L25" s="144" t="s">
        <v>9</v>
      </c>
      <c r="M25" s="144" t="s">
        <v>10</v>
      </c>
      <c r="N25" s="144" t="s">
        <v>11</v>
      </c>
      <c r="O25" s="144" t="s">
        <v>12</v>
      </c>
      <c r="P25" s="145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</row>
    <row r="26" spans="1:75" s="151" customFormat="1">
      <c r="A26" s="148" t="s">
        <v>13</v>
      </c>
      <c r="B26" s="149">
        <v>11760.82</v>
      </c>
      <c r="C26" s="149">
        <v>12345.85</v>
      </c>
      <c r="D26" s="149">
        <v>13541.17</v>
      </c>
      <c r="E26" s="149">
        <v>12400.94</v>
      </c>
      <c r="F26" s="149">
        <v>11084.31</v>
      </c>
      <c r="G26" s="149">
        <v>9171.86</v>
      </c>
      <c r="H26" s="149">
        <v>8319.92</v>
      </c>
      <c r="I26" s="149">
        <v>8495.56</v>
      </c>
      <c r="J26" s="149">
        <v>7942.36</v>
      </c>
      <c r="K26" s="149">
        <v>9647.68</v>
      </c>
      <c r="L26" s="149">
        <v>10815.88</v>
      </c>
      <c r="M26" s="149">
        <v>11565.55</v>
      </c>
      <c r="N26" s="152">
        <v>11745.64</v>
      </c>
      <c r="O26" s="149">
        <v>12667.88</v>
      </c>
      <c r="P26" s="150"/>
    </row>
    <row r="27" spans="1:75" s="151" customFormat="1">
      <c r="A27" s="148" t="s">
        <v>14</v>
      </c>
      <c r="B27" s="150">
        <v>0</v>
      </c>
      <c r="C27" s="150">
        <v>0</v>
      </c>
      <c r="D27" s="150">
        <v>0</v>
      </c>
      <c r="E27" s="150">
        <v>0</v>
      </c>
      <c r="F27" s="150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150">
        <v>0</v>
      </c>
      <c r="O27" s="150">
        <v>0</v>
      </c>
      <c r="P27" s="150"/>
    </row>
    <row r="28" spans="1:75" s="151" customFormat="1">
      <c r="A28" s="148" t="s">
        <v>15</v>
      </c>
      <c r="B28" s="150">
        <v>118400</v>
      </c>
      <c r="C28" s="150">
        <v>126000</v>
      </c>
      <c r="D28" s="150">
        <v>140800</v>
      </c>
      <c r="E28" s="150">
        <v>125200</v>
      </c>
      <c r="F28" s="150">
        <v>97600</v>
      </c>
      <c r="G28" s="151">
        <v>76000</v>
      </c>
      <c r="H28" s="150">
        <v>78000</v>
      </c>
      <c r="I28" s="150">
        <v>82200</v>
      </c>
      <c r="J28" s="150">
        <v>66200</v>
      </c>
      <c r="K28" s="150">
        <v>80800</v>
      </c>
      <c r="L28" s="150">
        <v>93200</v>
      </c>
      <c r="M28" s="150">
        <v>113800</v>
      </c>
      <c r="N28" s="150">
        <v>115000</v>
      </c>
      <c r="O28" s="150">
        <v>125200</v>
      </c>
      <c r="P28" s="150"/>
    </row>
    <row r="29" spans="1:75" s="151" customFormat="1">
      <c r="A29" s="148" t="s">
        <v>16</v>
      </c>
      <c r="P29" s="150"/>
    </row>
    <row r="30" spans="1:75" s="151" customFormat="1">
      <c r="A30" s="148" t="s">
        <v>17</v>
      </c>
      <c r="B30" s="150">
        <v>350</v>
      </c>
      <c r="C30" s="150">
        <v>324.5</v>
      </c>
      <c r="D30" s="150">
        <v>383.5</v>
      </c>
      <c r="E30" s="150">
        <v>341</v>
      </c>
      <c r="F30" s="150">
        <v>345</v>
      </c>
      <c r="G30" s="151">
        <v>225</v>
      </c>
      <c r="H30" s="150">
        <v>233</v>
      </c>
      <c r="I30" s="150">
        <v>243</v>
      </c>
      <c r="J30" s="150">
        <v>295.5</v>
      </c>
      <c r="K30" s="150">
        <v>323</v>
      </c>
      <c r="L30" s="150">
        <v>352</v>
      </c>
      <c r="M30" s="150">
        <v>342.5</v>
      </c>
      <c r="N30" s="150">
        <v>352.5</v>
      </c>
      <c r="O30" s="150">
        <v>341.5</v>
      </c>
      <c r="P30" s="150"/>
    </row>
    <row r="31" spans="1:75" s="151" customFormat="1">
      <c r="A31" s="148" t="s">
        <v>18</v>
      </c>
      <c r="B31" s="149">
        <f>B26-B27</f>
        <v>11760.82</v>
      </c>
      <c r="C31" s="149">
        <f t="shared" ref="C31:O31" si="3">C26-C27</f>
        <v>12345.85</v>
      </c>
      <c r="D31" s="149">
        <f t="shared" si="3"/>
        <v>13541.17</v>
      </c>
      <c r="E31" s="149">
        <f t="shared" si="3"/>
        <v>12400.94</v>
      </c>
      <c r="F31" s="149">
        <f t="shared" si="3"/>
        <v>11084.31</v>
      </c>
      <c r="G31" s="149">
        <f t="shared" si="3"/>
        <v>9171.86</v>
      </c>
      <c r="H31" s="149">
        <f t="shared" si="3"/>
        <v>8319.92</v>
      </c>
      <c r="I31" s="149">
        <f t="shared" si="3"/>
        <v>8495.56</v>
      </c>
      <c r="J31" s="149">
        <f t="shared" si="3"/>
        <v>7942.36</v>
      </c>
      <c r="K31" s="149">
        <f t="shared" si="3"/>
        <v>9647.68</v>
      </c>
      <c r="L31" s="149">
        <f t="shared" si="3"/>
        <v>10815.88</v>
      </c>
      <c r="M31" s="149">
        <f t="shared" si="3"/>
        <v>11565.55</v>
      </c>
      <c r="N31" s="149">
        <f t="shared" si="3"/>
        <v>11745.64</v>
      </c>
      <c r="O31" s="149">
        <f t="shared" si="3"/>
        <v>12667.88</v>
      </c>
      <c r="P31" s="150"/>
    </row>
    <row r="37" spans="1:16">
      <c r="A37" s="153" t="s">
        <v>22</v>
      </c>
      <c r="B37" s="144" t="s">
        <v>72</v>
      </c>
      <c r="C37" s="144" t="s">
        <v>73</v>
      </c>
      <c r="D37" s="144" t="s">
        <v>1</v>
      </c>
      <c r="E37" s="144" t="s">
        <v>2</v>
      </c>
      <c r="F37" s="144" t="s">
        <v>3</v>
      </c>
      <c r="G37" s="144" t="s">
        <v>4</v>
      </c>
      <c r="H37" s="144" t="s">
        <v>5</v>
      </c>
      <c r="I37" s="144" t="s">
        <v>6</v>
      </c>
      <c r="J37" s="144" t="s">
        <v>7</v>
      </c>
      <c r="K37" s="144" t="s">
        <v>8</v>
      </c>
      <c r="L37" s="144" t="s">
        <v>9</v>
      </c>
      <c r="M37" s="144" t="s">
        <v>10</v>
      </c>
      <c r="N37" s="144" t="s">
        <v>11</v>
      </c>
      <c r="O37" s="144" t="s">
        <v>12</v>
      </c>
      <c r="P37" s="144" t="s">
        <v>23</v>
      </c>
    </row>
    <row r="38" spans="1:16">
      <c r="A38" s="153" t="s">
        <v>13</v>
      </c>
      <c r="B38" s="156">
        <f>SUM(B2,B10,B18,B26)</f>
        <v>30981.119999999999</v>
      </c>
      <c r="C38" s="156">
        <f t="shared" ref="C38:O38" si="4">SUM(C2,C10,C18,C26)</f>
        <v>32924.049999999996</v>
      </c>
      <c r="D38" s="156">
        <f t="shared" si="4"/>
        <v>34885.24</v>
      </c>
      <c r="E38" s="156">
        <f t="shared" si="4"/>
        <v>32287.270000000004</v>
      </c>
      <c r="F38" s="156">
        <f t="shared" si="4"/>
        <v>27609.96</v>
      </c>
      <c r="G38" s="156">
        <f t="shared" si="4"/>
        <v>21814.27</v>
      </c>
      <c r="H38" s="156">
        <f t="shared" si="4"/>
        <v>21116.510000000002</v>
      </c>
      <c r="I38" s="156">
        <f t="shared" si="4"/>
        <v>23972.67</v>
      </c>
      <c r="J38" s="156">
        <f t="shared" si="4"/>
        <v>19880.349999999999</v>
      </c>
      <c r="K38" s="156">
        <f t="shared" si="4"/>
        <v>22786.05</v>
      </c>
      <c r="L38" s="156">
        <f t="shared" si="4"/>
        <v>24758.33</v>
      </c>
      <c r="M38" s="156">
        <f t="shared" si="4"/>
        <v>27201.37</v>
      </c>
      <c r="N38" s="156">
        <f t="shared" si="4"/>
        <v>28873.040000000001</v>
      </c>
      <c r="O38" s="156">
        <f t="shared" si="4"/>
        <v>32051.629999999997</v>
      </c>
      <c r="P38" s="156">
        <f>SUM(B38:O38)</f>
        <v>381141.86</v>
      </c>
    </row>
    <row r="39" spans="1:16">
      <c r="A39" s="153" t="s">
        <v>14</v>
      </c>
      <c r="B39" s="156">
        <f>B3</f>
        <v>839.69</v>
      </c>
      <c r="C39" s="156">
        <f t="shared" ref="C39:O39" si="5">C3</f>
        <v>845.39</v>
      </c>
      <c r="D39" s="156">
        <f t="shared" si="5"/>
        <v>774.14</v>
      </c>
      <c r="E39" s="156">
        <f t="shared" si="5"/>
        <v>871.04</v>
      </c>
      <c r="F39" s="156">
        <f t="shared" si="5"/>
        <v>816.89</v>
      </c>
      <c r="G39" s="156">
        <f t="shared" si="5"/>
        <v>621</v>
      </c>
      <c r="H39" s="156">
        <f t="shared" si="5"/>
        <v>584.62</v>
      </c>
      <c r="I39" s="156">
        <f t="shared" si="5"/>
        <v>560.39</v>
      </c>
      <c r="J39" s="156">
        <f t="shared" si="5"/>
        <v>614.54</v>
      </c>
      <c r="K39" s="156">
        <f t="shared" si="5"/>
        <v>664.42</v>
      </c>
      <c r="L39" s="156">
        <f t="shared" si="5"/>
        <v>694.34</v>
      </c>
      <c r="M39" s="156">
        <f t="shared" si="5"/>
        <v>719.99</v>
      </c>
      <c r="N39" s="156">
        <f t="shared" si="5"/>
        <v>735.67</v>
      </c>
      <c r="O39" s="156">
        <f t="shared" si="5"/>
        <v>751.34</v>
      </c>
      <c r="P39" s="156">
        <f>SUM(B39:O39)</f>
        <v>10093.460000000001</v>
      </c>
    </row>
    <row r="40" spans="1:16">
      <c r="A40" s="153" t="s">
        <v>15</v>
      </c>
      <c r="B40" s="154">
        <f>SUM(B4,B12,B20,B28)</f>
        <v>295782</v>
      </c>
      <c r="C40" s="154">
        <f t="shared" ref="C40:O40" si="6">SUM(C4,C12,C20,C28)</f>
        <v>315732</v>
      </c>
      <c r="D40" s="154">
        <f t="shared" si="6"/>
        <v>347528</v>
      </c>
      <c r="E40" s="154">
        <f t="shared" si="6"/>
        <v>307937</v>
      </c>
      <c r="F40" s="154">
        <f t="shared" si="6"/>
        <v>226397</v>
      </c>
      <c r="G40" s="154">
        <f t="shared" si="6"/>
        <v>166861</v>
      </c>
      <c r="H40" s="154">
        <f t="shared" si="6"/>
        <v>169197</v>
      </c>
      <c r="I40" s="154">
        <f t="shared" si="6"/>
        <v>203607</v>
      </c>
      <c r="J40" s="154">
        <f t="shared" si="6"/>
        <v>148169</v>
      </c>
      <c r="K40" s="154">
        <f t="shared" si="6"/>
        <v>170703</v>
      </c>
      <c r="L40" s="154">
        <f t="shared" si="6"/>
        <v>192136</v>
      </c>
      <c r="M40" s="154">
        <f t="shared" si="6"/>
        <v>268754</v>
      </c>
      <c r="N40" s="154">
        <f t="shared" si="6"/>
        <v>263060</v>
      </c>
      <c r="O40" s="154">
        <f t="shared" si="6"/>
        <v>299160</v>
      </c>
      <c r="P40" s="154">
        <f>SUM(B40:O40)</f>
        <v>3375023</v>
      </c>
    </row>
    <row r="41" spans="1:16">
      <c r="A41" s="153" t="s">
        <v>24</v>
      </c>
      <c r="B41" s="154">
        <f>SUM(B6,B14,B22,B30)</f>
        <v>962.5</v>
      </c>
      <c r="C41" s="154">
        <f t="shared" ref="C41:O42" si="7">SUM(C6,C14,C22,C30)</f>
        <v>940</v>
      </c>
      <c r="D41" s="154">
        <f t="shared" si="7"/>
        <v>974</v>
      </c>
      <c r="E41" s="154">
        <f t="shared" si="7"/>
        <v>925.5</v>
      </c>
      <c r="F41" s="154">
        <f t="shared" si="7"/>
        <v>929.5</v>
      </c>
      <c r="G41" s="154">
        <f t="shared" si="7"/>
        <v>712</v>
      </c>
      <c r="H41" s="154">
        <f t="shared" si="7"/>
        <v>727.5</v>
      </c>
      <c r="I41" s="154">
        <f t="shared" si="7"/>
        <v>785</v>
      </c>
      <c r="J41" s="154">
        <f t="shared" si="7"/>
        <v>799.5</v>
      </c>
      <c r="K41" s="154">
        <f t="shared" si="7"/>
        <v>833.5</v>
      </c>
      <c r="L41" s="154">
        <f t="shared" si="7"/>
        <v>868</v>
      </c>
      <c r="M41" s="154">
        <f t="shared" si="7"/>
        <v>920</v>
      </c>
      <c r="N41" s="154">
        <f t="shared" si="7"/>
        <v>931</v>
      </c>
      <c r="O41" s="154">
        <f t="shared" si="7"/>
        <v>913.5</v>
      </c>
      <c r="P41" s="154">
        <f>SUM(B41:O41)</f>
        <v>12221.5</v>
      </c>
    </row>
    <row r="42" spans="1:16">
      <c r="A42" s="153" t="s">
        <v>18</v>
      </c>
      <c r="B42" s="156">
        <f>SUM(B7,B15,B23,B31)</f>
        <v>30141.43</v>
      </c>
      <c r="C42" s="156">
        <f t="shared" si="7"/>
        <v>32078.659999999996</v>
      </c>
      <c r="D42" s="156">
        <f t="shared" si="7"/>
        <v>34111.1</v>
      </c>
      <c r="E42" s="156">
        <f t="shared" si="7"/>
        <v>31416.230000000003</v>
      </c>
      <c r="F42" s="156">
        <f t="shared" si="7"/>
        <v>26793.07</v>
      </c>
      <c r="G42" s="156">
        <f t="shared" si="7"/>
        <v>21193.27</v>
      </c>
      <c r="H42" s="156">
        <f t="shared" si="7"/>
        <v>20531.89</v>
      </c>
      <c r="I42" s="156">
        <f t="shared" si="7"/>
        <v>23412.28</v>
      </c>
      <c r="J42" s="156">
        <f t="shared" si="7"/>
        <v>19265.810000000001</v>
      </c>
      <c r="K42" s="156">
        <f>SUM(K7,K15,K23,K31)</f>
        <v>22121.63</v>
      </c>
      <c r="L42" s="156">
        <f t="shared" si="7"/>
        <v>24063.989999999998</v>
      </c>
      <c r="M42" s="156">
        <f t="shared" si="7"/>
        <v>26481.379999999997</v>
      </c>
      <c r="N42" s="156">
        <f t="shared" si="7"/>
        <v>28137.37</v>
      </c>
      <c r="O42" s="156">
        <f t="shared" si="7"/>
        <v>31300.29</v>
      </c>
      <c r="P42" s="156">
        <f>SUM(B42:O42)</f>
        <v>371048.4</v>
      </c>
    </row>
    <row r="44" spans="1:16">
      <c r="A44" s="153" t="s">
        <v>25</v>
      </c>
      <c r="B44" s="172">
        <f>P38/P40</f>
        <v>0.11293015188340938</v>
      </c>
    </row>
    <row r="45" spans="1:16">
      <c r="A45" s="153" t="s">
        <v>26</v>
      </c>
      <c r="B45" s="172">
        <f>P39/P41</f>
        <v>0.82587734729779494</v>
      </c>
    </row>
    <row r="46" spans="1:16">
      <c r="A46" s="153"/>
      <c r="B46" s="156"/>
    </row>
    <row r="47" spans="1:16">
      <c r="A47" s="173" t="s">
        <v>27</v>
      </c>
    </row>
    <row r="48" spans="1:16">
      <c r="A48" s="173" t="s">
        <v>28</v>
      </c>
    </row>
    <row r="50" spans="1:1">
      <c r="A50" s="174">
        <f>P39/SUM(B6:O6)</f>
        <v>3.3639260123312784</v>
      </c>
    </row>
    <row r="51" spans="1:1">
      <c r="A51" s="174">
        <f>P42/P40</f>
        <v>0.10993951744921443</v>
      </c>
    </row>
    <row r="52" spans="1:1">
      <c r="A52" s="155">
        <f>35000000/6200</f>
        <v>5645.1612903225805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4712-5FFE-464C-872C-FD15FB87B315}">
  <dimension ref="A1:AE29"/>
  <sheetViews>
    <sheetView topLeftCell="N10" zoomScale="69" workbookViewId="0">
      <selection activeCell="N25" sqref="N25"/>
    </sheetView>
  </sheetViews>
  <sheetFormatPr defaultColWidth="11" defaultRowHeight="15.75"/>
  <cols>
    <col min="1" max="2" width="22.7109375" style="155" customWidth="1"/>
    <col min="3" max="3" width="11" style="154"/>
    <col min="4" max="13" width="11" style="159"/>
    <col min="14" max="14" width="26.28515625" style="159" customWidth="1"/>
    <col min="15" max="26" width="11" style="159"/>
    <col min="27" max="16384" width="11" style="155"/>
  </cols>
  <sheetData>
    <row r="1" spans="1:31" s="160" customFormat="1">
      <c r="A1" s="147" t="s">
        <v>74</v>
      </c>
      <c r="B1" s="157">
        <v>45435</v>
      </c>
      <c r="C1" s="157">
        <v>45466</v>
      </c>
      <c r="D1" s="157">
        <v>45496</v>
      </c>
      <c r="E1" s="157">
        <v>45527</v>
      </c>
      <c r="F1" s="157">
        <v>45558</v>
      </c>
      <c r="G1" s="157">
        <v>45588</v>
      </c>
      <c r="H1" s="157">
        <v>45619</v>
      </c>
      <c r="I1" s="157">
        <v>45649</v>
      </c>
      <c r="J1" s="157">
        <v>45315</v>
      </c>
      <c r="K1" s="157">
        <v>45346</v>
      </c>
      <c r="L1" s="157">
        <v>45375</v>
      </c>
      <c r="M1" s="158">
        <v>45406</v>
      </c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5"/>
      <c r="AB1" s="155"/>
      <c r="AC1" s="155"/>
      <c r="AD1" s="155"/>
      <c r="AE1" s="155"/>
    </row>
    <row r="2" spans="1:31" s="151" customFormat="1">
      <c r="A2" s="151" t="s">
        <v>75</v>
      </c>
      <c r="B2" s="151">
        <v>61.19</v>
      </c>
      <c r="C2" s="150">
        <v>14.14</v>
      </c>
      <c r="D2" s="161">
        <v>12.5</v>
      </c>
      <c r="E2" s="161">
        <v>12.5</v>
      </c>
      <c r="F2" s="161">
        <v>12.5</v>
      </c>
      <c r="G2" s="161">
        <v>12.5</v>
      </c>
      <c r="H2" s="161">
        <v>12.5</v>
      </c>
      <c r="I2" s="161">
        <v>55.94</v>
      </c>
      <c r="J2" s="161">
        <v>111.08</v>
      </c>
      <c r="K2" s="161">
        <v>280.18</v>
      </c>
      <c r="L2" s="161">
        <v>113.38</v>
      </c>
      <c r="M2" s="162">
        <v>112.28</v>
      </c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5"/>
      <c r="AB2" s="155"/>
      <c r="AC2" s="155"/>
      <c r="AD2" s="155"/>
      <c r="AE2" s="155"/>
    </row>
    <row r="3" spans="1:31" s="151" customFormat="1">
      <c r="A3" s="151" t="s">
        <v>76</v>
      </c>
      <c r="B3" s="151">
        <v>73</v>
      </c>
      <c r="C3" s="150">
        <v>2</v>
      </c>
      <c r="D3" s="161">
        <v>0</v>
      </c>
      <c r="E3" s="161">
        <v>0</v>
      </c>
      <c r="F3" s="161">
        <v>0</v>
      </c>
      <c r="G3" s="161">
        <v>0</v>
      </c>
      <c r="H3" s="161">
        <v>0</v>
      </c>
      <c r="I3" s="161">
        <v>94</v>
      </c>
      <c r="J3" s="161">
        <v>214</v>
      </c>
      <c r="K3" s="161">
        <v>582</v>
      </c>
      <c r="L3" s="161">
        <v>219</v>
      </c>
      <c r="M3" s="162">
        <v>150</v>
      </c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5"/>
      <c r="AB3" s="155"/>
      <c r="AC3" s="155"/>
      <c r="AD3" s="155"/>
      <c r="AE3" s="155"/>
    </row>
    <row r="4" spans="1:31" s="151" customFormat="1">
      <c r="A4" s="151" t="s">
        <v>77</v>
      </c>
      <c r="B4" s="150">
        <f>0.1032*B3</f>
        <v>7.5335999999999999</v>
      </c>
      <c r="C4" s="150">
        <f>0.1032*C3</f>
        <v>0.2064</v>
      </c>
      <c r="D4" s="161">
        <v>0</v>
      </c>
      <c r="E4" s="161">
        <v>0</v>
      </c>
      <c r="F4" s="161">
        <v>0</v>
      </c>
      <c r="G4" s="161">
        <v>0</v>
      </c>
      <c r="H4" s="161">
        <v>0</v>
      </c>
      <c r="I4" s="161">
        <f>0.1032*I3</f>
        <v>9.7007999999999992</v>
      </c>
      <c r="J4" s="161">
        <f>0.1032*J3</f>
        <v>22.084800000000001</v>
      </c>
      <c r="K4" s="161">
        <f>0.1032*K3</f>
        <v>60.062399999999997</v>
      </c>
      <c r="L4" s="161">
        <f>0.1032*L3</f>
        <v>22.6008</v>
      </c>
      <c r="M4" s="162">
        <f>0.1032*M3</f>
        <v>15.48</v>
      </c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5"/>
      <c r="AB4" s="155"/>
      <c r="AC4" s="155"/>
      <c r="AD4" s="155"/>
      <c r="AE4" s="155"/>
    </row>
    <row r="6" spans="1:31" s="160" customFormat="1">
      <c r="A6" s="147" t="s">
        <v>78</v>
      </c>
      <c r="B6" s="157">
        <v>45435</v>
      </c>
      <c r="C6" s="157">
        <v>45466</v>
      </c>
      <c r="D6" s="157">
        <v>45496</v>
      </c>
      <c r="E6" s="157">
        <v>45527</v>
      </c>
      <c r="F6" s="157">
        <v>45558</v>
      </c>
      <c r="G6" s="157">
        <v>45588</v>
      </c>
      <c r="H6" s="157">
        <v>45619</v>
      </c>
      <c r="I6" s="157">
        <v>45649</v>
      </c>
      <c r="J6" s="157">
        <v>45315</v>
      </c>
      <c r="K6" s="157">
        <v>45346</v>
      </c>
      <c r="L6" s="157">
        <v>45375</v>
      </c>
      <c r="M6" s="158">
        <v>45406</v>
      </c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5"/>
      <c r="AB6" s="155"/>
      <c r="AC6" s="155"/>
      <c r="AD6" s="155"/>
      <c r="AE6" s="155"/>
    </row>
    <row r="7" spans="1:31" s="151" customFormat="1">
      <c r="A7" s="151" t="s">
        <v>75</v>
      </c>
      <c r="B7" s="151">
        <f>988.95+24.55</f>
        <v>1013.5</v>
      </c>
      <c r="C7" s="150">
        <v>1295.05</v>
      </c>
      <c r="D7" s="161">
        <v>922.36</v>
      </c>
      <c r="E7" s="161">
        <v>759.11</v>
      </c>
      <c r="F7" s="161">
        <v>675.49</v>
      </c>
      <c r="G7" s="161">
        <v>600.64</v>
      </c>
      <c r="H7" s="161">
        <v>666.25</v>
      </c>
      <c r="I7" s="161">
        <v>736.51</v>
      </c>
      <c r="J7" s="161">
        <v>588.53</v>
      </c>
      <c r="K7" s="161">
        <v>627.12</v>
      </c>
      <c r="L7" s="161">
        <v>907.43</v>
      </c>
      <c r="M7" s="162">
        <v>1127.6300000000001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5"/>
      <c r="AB7" s="155"/>
      <c r="AC7" s="155"/>
      <c r="AD7" s="155"/>
      <c r="AE7" s="155"/>
    </row>
    <row r="8" spans="1:31" s="151" customFormat="1">
      <c r="A8" s="151" t="s">
        <v>76</v>
      </c>
      <c r="B8" s="151">
        <f>1459+7</f>
        <v>1466</v>
      </c>
      <c r="C8" s="150">
        <v>1807</v>
      </c>
      <c r="D8" s="161">
        <v>1599</v>
      </c>
      <c r="E8" s="161">
        <v>1353</v>
      </c>
      <c r="F8" s="161">
        <v>1295</v>
      </c>
      <c r="G8" s="161">
        <v>1219</v>
      </c>
      <c r="H8" s="161">
        <v>1362</v>
      </c>
      <c r="I8" s="161">
        <v>1514</v>
      </c>
      <c r="J8" s="161">
        <v>1192</v>
      </c>
      <c r="K8" s="161">
        <v>1276</v>
      </c>
      <c r="L8" s="161">
        <v>1886</v>
      </c>
      <c r="M8" s="162">
        <v>1638</v>
      </c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5"/>
      <c r="AB8" s="155"/>
      <c r="AC8" s="155"/>
      <c r="AD8" s="155"/>
      <c r="AE8" s="155"/>
    </row>
    <row r="9" spans="1:31" s="151" customFormat="1">
      <c r="A9" s="151" t="s">
        <v>77</v>
      </c>
      <c r="B9" s="150">
        <f t="shared" ref="B9:M9" si="0">0.1032*B8</f>
        <v>151.2912</v>
      </c>
      <c r="C9" s="150">
        <f t="shared" si="0"/>
        <v>186.48240000000001</v>
      </c>
      <c r="D9" s="161">
        <f t="shared" si="0"/>
        <v>165.01679999999999</v>
      </c>
      <c r="E9" s="161">
        <f t="shared" si="0"/>
        <v>139.62960000000001</v>
      </c>
      <c r="F9" s="161">
        <f t="shared" si="0"/>
        <v>133.64400000000001</v>
      </c>
      <c r="G9" s="161">
        <f t="shared" si="0"/>
        <v>125.8008</v>
      </c>
      <c r="H9" s="161">
        <f t="shared" si="0"/>
        <v>140.55840000000001</v>
      </c>
      <c r="I9" s="161">
        <f t="shared" si="0"/>
        <v>156.2448</v>
      </c>
      <c r="J9" s="161">
        <f t="shared" si="0"/>
        <v>123.01439999999999</v>
      </c>
      <c r="K9" s="161">
        <f t="shared" si="0"/>
        <v>131.6832</v>
      </c>
      <c r="L9" s="161">
        <f t="shared" si="0"/>
        <v>194.6352</v>
      </c>
      <c r="M9" s="162">
        <f t="shared" si="0"/>
        <v>169.04159999999999</v>
      </c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5"/>
      <c r="AB9" s="155"/>
      <c r="AC9" s="155"/>
      <c r="AD9" s="155"/>
      <c r="AE9" s="155"/>
    </row>
    <row r="11" spans="1:31" s="160" customFormat="1">
      <c r="A11" s="147" t="s">
        <v>79</v>
      </c>
      <c r="B11" s="157">
        <v>45435</v>
      </c>
      <c r="C11" s="157">
        <v>45466</v>
      </c>
      <c r="D11" s="157">
        <v>45496</v>
      </c>
      <c r="E11" s="157">
        <v>45527</v>
      </c>
      <c r="F11" s="157">
        <v>45558</v>
      </c>
      <c r="G11" s="157">
        <v>45588</v>
      </c>
      <c r="H11" s="157">
        <v>45619</v>
      </c>
      <c r="I11" s="157">
        <v>45649</v>
      </c>
      <c r="J11" s="157">
        <v>45315</v>
      </c>
      <c r="K11" s="157">
        <v>45346</v>
      </c>
      <c r="L11" s="157">
        <v>45375</v>
      </c>
      <c r="M11" s="158">
        <v>45406</v>
      </c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5"/>
      <c r="AB11" s="155"/>
      <c r="AC11" s="155"/>
      <c r="AD11" s="155"/>
      <c r="AE11" s="155"/>
    </row>
    <row r="12" spans="1:31" s="151" customFormat="1">
      <c r="A12" s="151" t="s">
        <v>75</v>
      </c>
      <c r="B12" s="151">
        <v>171.01</v>
      </c>
      <c r="C12" s="150">
        <v>28.04</v>
      </c>
      <c r="D12" s="161">
        <v>63.4</v>
      </c>
      <c r="E12" s="161">
        <v>71.37</v>
      </c>
      <c r="F12" s="161">
        <v>164.99</v>
      </c>
      <c r="G12" s="161">
        <v>46.59</v>
      </c>
      <c r="H12" s="161">
        <v>149.53</v>
      </c>
      <c r="I12" s="161">
        <v>182.61</v>
      </c>
      <c r="J12" s="161">
        <v>263.95</v>
      </c>
      <c r="K12" s="161">
        <v>348.49</v>
      </c>
      <c r="L12" s="161">
        <v>276.35000000000002</v>
      </c>
      <c r="M12" s="162">
        <v>204.19</v>
      </c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5"/>
      <c r="AB12" s="155"/>
      <c r="AC12" s="155"/>
      <c r="AD12" s="155"/>
      <c r="AE12" s="155"/>
    </row>
    <row r="13" spans="1:31" s="151" customFormat="1">
      <c r="A13" s="151" t="s">
        <v>76</v>
      </c>
      <c r="B13" s="151">
        <v>227</v>
      </c>
      <c r="C13" s="150">
        <v>11</v>
      </c>
      <c r="D13" s="161">
        <v>78</v>
      </c>
      <c r="E13" s="161">
        <v>96</v>
      </c>
      <c r="F13" s="161">
        <v>295</v>
      </c>
      <c r="G13" s="161">
        <v>57</v>
      </c>
      <c r="H13" s="161">
        <v>281</v>
      </c>
      <c r="I13" s="161">
        <v>353</v>
      </c>
      <c r="J13" s="161">
        <v>530</v>
      </c>
      <c r="K13" s="161">
        <v>714</v>
      </c>
      <c r="L13" s="161">
        <v>557</v>
      </c>
      <c r="M13" s="162">
        <v>277</v>
      </c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5"/>
      <c r="AB13" s="155"/>
      <c r="AC13" s="155"/>
      <c r="AD13" s="155"/>
      <c r="AE13" s="155"/>
    </row>
    <row r="14" spans="1:31" s="151" customFormat="1">
      <c r="A14" s="151" t="s">
        <v>77</v>
      </c>
      <c r="B14" s="150">
        <f t="shared" ref="B14:M14" si="1">0.1032*B13</f>
        <v>23.426400000000001</v>
      </c>
      <c r="C14" s="150">
        <f t="shared" si="1"/>
        <v>1.1352</v>
      </c>
      <c r="D14" s="161">
        <f t="shared" si="1"/>
        <v>8.0495999999999999</v>
      </c>
      <c r="E14" s="161">
        <f t="shared" si="1"/>
        <v>9.9071999999999996</v>
      </c>
      <c r="F14" s="161">
        <f t="shared" si="1"/>
        <v>30.443999999999999</v>
      </c>
      <c r="G14" s="161">
        <f t="shared" si="1"/>
        <v>5.8823999999999996</v>
      </c>
      <c r="H14" s="161">
        <f t="shared" si="1"/>
        <v>28.999199999999998</v>
      </c>
      <c r="I14" s="161">
        <f t="shared" si="1"/>
        <v>36.429600000000001</v>
      </c>
      <c r="J14" s="161">
        <f t="shared" si="1"/>
        <v>54.695999999999998</v>
      </c>
      <c r="K14" s="161">
        <f t="shared" si="1"/>
        <v>73.684799999999996</v>
      </c>
      <c r="L14" s="161">
        <f t="shared" si="1"/>
        <v>57.482399999999998</v>
      </c>
      <c r="M14" s="162">
        <f t="shared" si="1"/>
        <v>28.586400000000001</v>
      </c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5"/>
      <c r="AB14" s="155"/>
      <c r="AC14" s="155"/>
      <c r="AD14" s="155"/>
      <c r="AE14" s="155"/>
    </row>
    <row r="16" spans="1:31" s="160" customFormat="1">
      <c r="A16" s="147" t="s">
        <v>80</v>
      </c>
      <c r="B16" s="178">
        <v>45435</v>
      </c>
      <c r="C16" s="157">
        <v>45466</v>
      </c>
      <c r="D16" s="157">
        <v>45496</v>
      </c>
      <c r="E16" s="157">
        <v>45527</v>
      </c>
      <c r="F16" s="157">
        <v>45558</v>
      </c>
      <c r="G16" s="157">
        <v>45588</v>
      </c>
      <c r="H16" s="157">
        <v>45619</v>
      </c>
      <c r="I16" s="157">
        <v>45649</v>
      </c>
      <c r="J16" s="157">
        <v>45315</v>
      </c>
      <c r="K16" s="157">
        <v>45346</v>
      </c>
      <c r="L16" s="157">
        <v>45375</v>
      </c>
      <c r="M16" s="158">
        <v>45406</v>
      </c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5"/>
      <c r="AB16" s="155"/>
      <c r="AC16" s="155"/>
      <c r="AD16" s="155"/>
      <c r="AE16" s="155"/>
    </row>
    <row r="17" spans="1:31" s="151" customFormat="1">
      <c r="A17" s="151" t="s">
        <v>75</v>
      </c>
      <c r="B17" s="151">
        <v>17.39</v>
      </c>
      <c r="C17" s="150">
        <v>16.22</v>
      </c>
      <c r="D17" s="161">
        <v>16.600000000000001</v>
      </c>
      <c r="E17" s="161">
        <v>16.46</v>
      </c>
      <c r="F17" s="161">
        <v>15.2</v>
      </c>
      <c r="G17" s="161">
        <v>18.73</v>
      </c>
      <c r="H17" s="161">
        <v>20.56</v>
      </c>
      <c r="I17" s="161">
        <v>15.51</v>
      </c>
      <c r="J17" s="161">
        <v>15.06</v>
      </c>
      <c r="K17" s="161">
        <v>17.809999999999999</v>
      </c>
      <c r="L17" s="161">
        <v>15.05</v>
      </c>
      <c r="M17" s="162">
        <v>26.02</v>
      </c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5"/>
      <c r="AB17" s="155"/>
      <c r="AC17" s="155"/>
      <c r="AD17" s="155"/>
      <c r="AE17" s="155"/>
    </row>
    <row r="18" spans="1:31" s="151" customFormat="1">
      <c r="A18" s="151" t="s">
        <v>76</v>
      </c>
      <c r="B18" s="151">
        <v>7</v>
      </c>
      <c r="C18" s="150">
        <v>5</v>
      </c>
      <c r="D18" s="161">
        <v>7</v>
      </c>
      <c r="E18" s="161">
        <v>7</v>
      </c>
      <c r="F18" s="161">
        <v>5</v>
      </c>
      <c r="G18" s="161">
        <v>13</v>
      </c>
      <c r="H18" s="161">
        <v>17</v>
      </c>
      <c r="I18" s="161">
        <v>6</v>
      </c>
      <c r="J18" s="161">
        <v>5</v>
      </c>
      <c r="K18" s="161">
        <v>11</v>
      </c>
      <c r="L18" s="161">
        <v>5</v>
      </c>
      <c r="M18" s="162">
        <v>20</v>
      </c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5"/>
      <c r="AB18" s="155"/>
      <c r="AC18" s="155"/>
      <c r="AD18" s="155"/>
      <c r="AE18" s="155"/>
    </row>
    <row r="19" spans="1:31" s="151" customFormat="1">
      <c r="A19" s="151" t="s">
        <v>77</v>
      </c>
      <c r="B19" s="150">
        <f t="shared" ref="B19:M19" si="2">0.1032*B18</f>
        <v>0.72240000000000004</v>
      </c>
      <c r="C19" s="150">
        <f t="shared" si="2"/>
        <v>0.51600000000000001</v>
      </c>
      <c r="D19" s="150">
        <f t="shared" si="2"/>
        <v>0.72240000000000004</v>
      </c>
      <c r="E19" s="161">
        <f t="shared" si="2"/>
        <v>0.72240000000000004</v>
      </c>
      <c r="F19" s="161">
        <f t="shared" si="2"/>
        <v>0.51600000000000001</v>
      </c>
      <c r="G19" s="161">
        <f t="shared" si="2"/>
        <v>1.3415999999999999</v>
      </c>
      <c r="H19" s="161">
        <f t="shared" si="2"/>
        <v>1.7544</v>
      </c>
      <c r="I19" s="161">
        <f t="shared" si="2"/>
        <v>0.61919999999999997</v>
      </c>
      <c r="J19" s="161">
        <f t="shared" si="2"/>
        <v>0.51600000000000001</v>
      </c>
      <c r="K19" s="161">
        <f t="shared" si="2"/>
        <v>1.1352</v>
      </c>
      <c r="L19" s="161">
        <f t="shared" si="2"/>
        <v>0.51600000000000001</v>
      </c>
      <c r="M19" s="162">
        <f t="shared" si="2"/>
        <v>2.0640000000000001</v>
      </c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5"/>
      <c r="AB19" s="155"/>
      <c r="AC19" s="155"/>
      <c r="AD19" s="155"/>
      <c r="AE19" s="155"/>
    </row>
    <row r="22" spans="1:31" s="160" customFormat="1">
      <c r="A22" s="160" t="s">
        <v>81</v>
      </c>
      <c r="B22" s="178">
        <v>45435</v>
      </c>
      <c r="C22" s="144" t="s">
        <v>72</v>
      </c>
      <c r="D22" s="163" t="s">
        <v>73</v>
      </c>
      <c r="E22" s="163" t="s">
        <v>1</v>
      </c>
      <c r="F22" s="163" t="s">
        <v>2</v>
      </c>
      <c r="G22" s="163" t="s">
        <v>3</v>
      </c>
      <c r="H22" s="163" t="s">
        <v>4</v>
      </c>
      <c r="I22" s="163" t="s">
        <v>5</v>
      </c>
      <c r="J22" s="163" t="s">
        <v>6</v>
      </c>
      <c r="K22" s="163" t="s">
        <v>7</v>
      </c>
      <c r="L22" s="163" t="s">
        <v>8</v>
      </c>
      <c r="M22" s="164" t="s">
        <v>9</v>
      </c>
      <c r="N22" s="159" t="s">
        <v>23</v>
      </c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5"/>
      <c r="AB22" s="155"/>
      <c r="AC22" s="155"/>
      <c r="AD22" s="155"/>
      <c r="AE22" s="155"/>
    </row>
    <row r="23" spans="1:31" s="151" customFormat="1">
      <c r="A23" s="151" t="s">
        <v>82</v>
      </c>
      <c r="B23" s="150">
        <f>B2+B7+B12+B17</f>
        <v>1263.0900000000001</v>
      </c>
      <c r="C23" s="150">
        <f>C2+C7+C12+C17</f>
        <v>1353.45</v>
      </c>
      <c r="D23" s="150">
        <f t="shared" ref="C23:M25" si="3">D2+D7+D12+D17</f>
        <v>1014.86</v>
      </c>
      <c r="E23" s="150">
        <f t="shared" si="3"/>
        <v>859.44</v>
      </c>
      <c r="F23" s="150">
        <f t="shared" si="3"/>
        <v>868.18000000000006</v>
      </c>
      <c r="G23" s="150">
        <f t="shared" si="3"/>
        <v>678.46</v>
      </c>
      <c r="H23" s="150">
        <f t="shared" si="3"/>
        <v>848.83999999999992</v>
      </c>
      <c r="I23" s="150">
        <f t="shared" si="3"/>
        <v>990.57</v>
      </c>
      <c r="J23" s="150">
        <f t="shared" si="3"/>
        <v>978.61999999999989</v>
      </c>
      <c r="K23" s="150">
        <f t="shared" si="3"/>
        <v>1273.5999999999999</v>
      </c>
      <c r="L23" s="150">
        <f t="shared" si="3"/>
        <v>1312.2099999999998</v>
      </c>
      <c r="M23" s="165">
        <f t="shared" si="3"/>
        <v>1470.1200000000001</v>
      </c>
      <c r="N23" s="159">
        <f>SUM(B23:M23)</f>
        <v>12911.44</v>
      </c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5"/>
      <c r="AB23" s="155"/>
      <c r="AC23" s="155"/>
      <c r="AD23" s="155"/>
      <c r="AE23" s="155"/>
    </row>
    <row r="24" spans="1:31" s="151" customFormat="1">
      <c r="A24" s="151" t="s">
        <v>76</v>
      </c>
      <c r="B24" s="150">
        <f t="shared" ref="B24:C25" si="4">B3+B8+B13+B18</f>
        <v>1773</v>
      </c>
      <c r="C24" s="150">
        <f t="shared" si="4"/>
        <v>1825</v>
      </c>
      <c r="D24" s="150">
        <f t="shared" si="3"/>
        <v>1684</v>
      </c>
      <c r="E24" s="150">
        <f t="shared" si="3"/>
        <v>1456</v>
      </c>
      <c r="F24" s="150">
        <f t="shared" si="3"/>
        <v>1595</v>
      </c>
      <c r="G24" s="150">
        <f t="shared" si="3"/>
        <v>1289</v>
      </c>
      <c r="H24" s="150">
        <f t="shared" si="3"/>
        <v>1660</v>
      </c>
      <c r="I24" s="150">
        <f t="shared" si="3"/>
        <v>1967</v>
      </c>
      <c r="J24" s="150">
        <f t="shared" si="3"/>
        <v>1941</v>
      </c>
      <c r="K24" s="150">
        <f t="shared" si="3"/>
        <v>2583</v>
      </c>
      <c r="L24" s="150">
        <f t="shared" si="3"/>
        <v>2667</v>
      </c>
      <c r="M24" s="165">
        <f t="shared" si="3"/>
        <v>2085</v>
      </c>
      <c r="N24" s="159">
        <f t="shared" ref="N24:N25" si="5">SUM(B24:M24)</f>
        <v>22525</v>
      </c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5"/>
      <c r="AB24" s="155"/>
      <c r="AC24" s="155"/>
      <c r="AD24" s="155"/>
      <c r="AE24" s="155"/>
    </row>
    <row r="25" spans="1:31" s="151" customFormat="1">
      <c r="A25" s="151" t="s">
        <v>77</v>
      </c>
      <c r="B25" s="150">
        <f t="shared" si="4"/>
        <v>182.9736</v>
      </c>
      <c r="C25" s="150">
        <f t="shared" si="4"/>
        <v>188.34</v>
      </c>
      <c r="D25" s="150">
        <f t="shared" si="3"/>
        <v>173.78879999999998</v>
      </c>
      <c r="E25" s="150">
        <f t="shared" si="3"/>
        <v>150.25919999999999</v>
      </c>
      <c r="F25" s="150">
        <f t="shared" si="3"/>
        <v>164.60399999999998</v>
      </c>
      <c r="G25" s="150">
        <f t="shared" si="3"/>
        <v>133.0248</v>
      </c>
      <c r="H25" s="150">
        <f t="shared" si="3"/>
        <v>171.31200000000001</v>
      </c>
      <c r="I25" s="150">
        <f t="shared" si="3"/>
        <v>202.99439999999998</v>
      </c>
      <c r="J25" s="150">
        <f t="shared" si="3"/>
        <v>200.31119999999999</v>
      </c>
      <c r="K25" s="150">
        <f t="shared" si="3"/>
        <v>266.56559999999996</v>
      </c>
      <c r="L25" s="150">
        <f t="shared" si="3"/>
        <v>275.23439999999999</v>
      </c>
      <c r="M25" s="165">
        <f t="shared" si="3"/>
        <v>215.17199999999997</v>
      </c>
      <c r="N25" s="159">
        <f t="shared" si="5"/>
        <v>2324.58</v>
      </c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5"/>
      <c r="AB25" s="155"/>
      <c r="AC25" s="155"/>
      <c r="AD25" s="155"/>
      <c r="AE25" s="155"/>
    </row>
    <row r="29" spans="1:31">
      <c r="A29" s="155" t="s">
        <v>83</v>
      </c>
      <c r="B29" s="154">
        <f>N23/N25</f>
        <v>5.5543108862676274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CF56-5185-44E3-A011-549CE4C66EE9}">
  <dimension ref="B2:W18"/>
  <sheetViews>
    <sheetView topLeftCell="J1" workbookViewId="0">
      <selection activeCell="R11" sqref="R11"/>
    </sheetView>
  </sheetViews>
  <sheetFormatPr defaultColWidth="8.85546875" defaultRowHeight="15"/>
  <cols>
    <col min="22" max="22" width="14" customWidth="1"/>
    <col min="23" max="23" width="10.42578125" bestFit="1" customWidth="1"/>
  </cols>
  <sheetData>
    <row r="2" spans="2:23" ht="15.75">
      <c r="B2" s="144" t="s">
        <v>72</v>
      </c>
      <c r="C2" s="144" t="s">
        <v>73</v>
      </c>
      <c r="D2" s="144" t="s">
        <v>1</v>
      </c>
      <c r="E2" s="144" t="s">
        <v>2</v>
      </c>
      <c r="F2" s="144" t="s">
        <v>3</v>
      </c>
      <c r="G2" s="144" t="s">
        <v>4</v>
      </c>
      <c r="H2" s="144" t="s">
        <v>5</v>
      </c>
      <c r="I2" s="144" t="s">
        <v>6</v>
      </c>
      <c r="J2" s="144" t="s">
        <v>7</v>
      </c>
      <c r="K2" s="144" t="s">
        <v>8</v>
      </c>
      <c r="L2" s="144" t="s">
        <v>9</v>
      </c>
      <c r="M2" s="144" t="s">
        <v>10</v>
      </c>
      <c r="N2" s="144" t="s">
        <v>11</v>
      </c>
      <c r="O2" s="144" t="s">
        <v>12</v>
      </c>
      <c r="P2" s="144" t="s">
        <v>23</v>
      </c>
    </row>
    <row r="3" spans="2:23">
      <c r="B3">
        <v>850.46</v>
      </c>
      <c r="C3">
        <v>752.33</v>
      </c>
      <c r="D3">
        <v>654.20000000000005</v>
      </c>
      <c r="E3">
        <v>392.52</v>
      </c>
      <c r="F3">
        <v>1406.53</v>
      </c>
      <c r="G3">
        <v>654.20000000000005</v>
      </c>
      <c r="H3">
        <v>327.10000000000002</v>
      </c>
      <c r="I3">
        <v>825.95</v>
      </c>
      <c r="J3">
        <v>688.05</v>
      </c>
      <c r="K3">
        <v>618.29999999999995</v>
      </c>
      <c r="L3">
        <v>996.15</v>
      </c>
      <c r="M3">
        <v>687</v>
      </c>
      <c r="N3">
        <v>790.05</v>
      </c>
      <c r="O3">
        <v>824.4</v>
      </c>
      <c r="P3">
        <f>SUM(B3:O3)</f>
        <v>10467.24</v>
      </c>
    </row>
    <row r="4" spans="2:23">
      <c r="B4">
        <v>26</v>
      </c>
      <c r="C4">
        <v>23</v>
      </c>
      <c r="D4">
        <v>20</v>
      </c>
      <c r="E4">
        <v>12</v>
      </c>
      <c r="F4">
        <v>33</v>
      </c>
      <c r="G4">
        <v>20</v>
      </c>
      <c r="H4">
        <v>10</v>
      </c>
      <c r="I4">
        <v>25</v>
      </c>
      <c r="J4">
        <v>20</v>
      </c>
      <c r="K4">
        <v>18</v>
      </c>
      <c r="L4">
        <v>29</v>
      </c>
      <c r="M4">
        <v>20</v>
      </c>
      <c r="N4">
        <v>23</v>
      </c>
      <c r="O4">
        <v>24</v>
      </c>
      <c r="P4">
        <f>SUM(B4:O4)</f>
        <v>303</v>
      </c>
    </row>
    <row r="8" spans="2:23">
      <c r="V8" t="s">
        <v>84</v>
      </c>
      <c r="W8">
        <f>P4*7.5</f>
        <v>2272.5</v>
      </c>
    </row>
    <row r="9" spans="2:23">
      <c r="V9" t="s">
        <v>85</v>
      </c>
      <c r="W9" s="175">
        <f>W8*0.0915</f>
        <v>207.93375</v>
      </c>
    </row>
    <row r="10" spans="2:23">
      <c r="V10" t="s">
        <v>86</v>
      </c>
      <c r="W10" s="170">
        <v>2031.47</v>
      </c>
    </row>
    <row r="14" spans="2:23">
      <c r="V14" t="s">
        <v>83</v>
      </c>
      <c r="W14">
        <f>P3/W9</f>
        <v>50.339302782737285</v>
      </c>
    </row>
    <row r="15" spans="2:23">
      <c r="V15" t="s">
        <v>87</v>
      </c>
      <c r="W15">
        <f>P3/W10</f>
        <v>5.1525447090038243</v>
      </c>
    </row>
    <row r="18" spans="22:23">
      <c r="V18" t="s">
        <v>88</v>
      </c>
      <c r="W18">
        <f>W14/W15</f>
        <v>9.7697944657853757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BC2E-FAA3-42A8-9B7A-0A8337929A29}">
  <dimension ref="B3:M230"/>
  <sheetViews>
    <sheetView tabSelected="1" topLeftCell="A204" zoomScale="85" zoomScaleNormal="85" workbookViewId="0">
      <selection activeCell="D213" sqref="D213"/>
    </sheetView>
  </sheetViews>
  <sheetFormatPr defaultColWidth="7.7109375" defaultRowHeight="15"/>
  <cols>
    <col min="1" max="1" width="7.7109375" style="1"/>
    <col min="2" max="2" width="4.7109375" style="1" customWidth="1"/>
    <col min="3" max="3" width="21.85546875" style="5" bestFit="1" customWidth="1"/>
    <col min="4" max="4" width="41.28515625" style="1" bestFit="1" customWidth="1"/>
    <col min="5" max="5" width="20.28515625" style="1" bestFit="1" customWidth="1"/>
    <col min="6" max="6" width="43.7109375" style="1" bestFit="1" customWidth="1"/>
    <col min="7" max="7" width="61" style="1" bestFit="1" customWidth="1"/>
    <col min="8" max="8" width="42.140625" style="1" bestFit="1" customWidth="1"/>
    <col min="9" max="9" width="7.7109375" style="1"/>
    <col min="10" max="10" width="8.85546875" style="1" bestFit="1" customWidth="1"/>
    <col min="11" max="11" width="7.7109375" style="1"/>
    <col min="12" max="12" width="8.85546875" style="1" bestFit="1" customWidth="1"/>
    <col min="13" max="16384" width="7.7109375" style="1"/>
  </cols>
  <sheetData>
    <row r="3" spans="3:11">
      <c r="C3" s="95" t="s">
        <v>89</v>
      </c>
      <c r="G3" s="6" t="s">
        <v>90</v>
      </c>
    </row>
    <row r="4" spans="3:11">
      <c r="C4" s="93" t="s">
        <v>91</v>
      </c>
      <c r="D4" s="115">
        <f>D34</f>
        <v>3491</v>
      </c>
      <c r="E4" s="91" t="s">
        <v>92</v>
      </c>
      <c r="F4" s="106">
        <f>D39</f>
        <v>332911</v>
      </c>
      <c r="G4" s="6" t="s">
        <v>93</v>
      </c>
      <c r="H4" s="1" t="s">
        <v>94</v>
      </c>
    </row>
    <row r="5" spans="3:11">
      <c r="C5" s="93" t="s">
        <v>95</v>
      </c>
      <c r="D5" s="114">
        <f>D43</f>
        <v>45558</v>
      </c>
      <c r="E5" s="91" t="s">
        <v>96</v>
      </c>
      <c r="F5" s="108">
        <f>D47</f>
        <v>6200</v>
      </c>
      <c r="G5" s="7" t="s">
        <v>97</v>
      </c>
    </row>
    <row r="6" spans="3:11">
      <c r="C6" s="93" t="s">
        <v>98</v>
      </c>
      <c r="D6" s="109" t="str">
        <f>D51</f>
        <v>Houma,LA</v>
      </c>
      <c r="E6" s="91" t="s">
        <v>99</v>
      </c>
      <c r="F6" s="113">
        <f>D61</f>
        <v>35000000</v>
      </c>
      <c r="G6" s="1" t="s">
        <v>43</v>
      </c>
    </row>
    <row r="7" spans="3:11">
      <c r="C7" s="93" t="s">
        <v>100</v>
      </c>
      <c r="D7" s="109">
        <f>D56</f>
        <v>120</v>
      </c>
      <c r="E7" s="91" t="s">
        <v>101</v>
      </c>
      <c r="F7" s="112">
        <f>F6/F5</f>
        <v>5645.1612903225805</v>
      </c>
      <c r="G7" s="1" t="s">
        <v>102</v>
      </c>
    </row>
    <row r="8" spans="3:11">
      <c r="C8" s="93" t="s">
        <v>103</v>
      </c>
      <c r="D8" s="111">
        <f>D70</f>
        <v>211185</v>
      </c>
      <c r="E8" s="91" t="s">
        <v>104</v>
      </c>
      <c r="F8" s="108">
        <f>D76</f>
        <v>11754.059599259999</v>
      </c>
      <c r="G8" s="1" t="s">
        <v>105</v>
      </c>
      <c r="H8" s="110"/>
    </row>
    <row r="9" spans="3:11">
      <c r="C9" s="93" t="s">
        <v>106</v>
      </c>
      <c r="D9" s="109" t="str">
        <f>D81</f>
        <v>Industrial Valves</v>
      </c>
      <c r="E9" s="91" t="s">
        <v>107</v>
      </c>
      <c r="F9" s="108">
        <f>ROUND((D86+F21),0)</f>
        <v>340615</v>
      </c>
      <c r="G9" s="1" t="s">
        <v>40</v>
      </c>
    </row>
    <row r="10" spans="3:11">
      <c r="C10" s="93" t="s">
        <v>108</v>
      </c>
      <c r="D10" s="107">
        <f>D91</f>
        <v>5616</v>
      </c>
      <c r="E10" s="91" t="s">
        <v>109</v>
      </c>
      <c r="F10" s="106">
        <f>D99</f>
        <v>5</v>
      </c>
      <c r="J10" s="1">
        <f>1.037/1000</f>
        <v>1.0369999999999999E-3</v>
      </c>
      <c r="K10" s="1">
        <f>231/80/J10</f>
        <v>2784.4744455159116</v>
      </c>
    </row>
    <row r="11" spans="3:11">
      <c r="J11" s="1">
        <f>J10*80</f>
        <v>8.2959999999999992E-2</v>
      </c>
      <c r="K11" s="1">
        <f>231/J11</f>
        <v>2784.4744455159116</v>
      </c>
    </row>
    <row r="12" spans="3:11">
      <c r="C12" s="95" t="s">
        <v>110</v>
      </c>
      <c r="D12" s="94"/>
    </row>
    <row r="13" spans="3:11">
      <c r="C13" s="93" t="s">
        <v>111</v>
      </c>
      <c r="D13" s="91" t="s">
        <v>112</v>
      </c>
      <c r="E13" s="91"/>
      <c r="F13" s="91" t="s">
        <v>113</v>
      </c>
      <c r="G13" s="91" t="s">
        <v>114</v>
      </c>
    </row>
    <row r="14" spans="3:11">
      <c r="C14" s="93" t="s">
        <v>115</v>
      </c>
      <c r="D14" s="103">
        <f>D107</f>
        <v>2763509</v>
      </c>
      <c r="E14" s="91" t="s">
        <v>116</v>
      </c>
      <c r="F14" s="96">
        <f>D111</f>
        <v>308828.31</v>
      </c>
      <c r="G14" s="105">
        <f>D124</f>
        <v>0.11175223601587692</v>
      </c>
      <c r="H14" s="1" t="s">
        <v>117</v>
      </c>
    </row>
    <row r="15" spans="3:11">
      <c r="C15" s="93" t="s">
        <v>115</v>
      </c>
      <c r="D15" s="103">
        <f>D119</f>
        <v>9429.4795992599993</v>
      </c>
      <c r="E15" s="91" t="s">
        <v>118</v>
      </c>
    </row>
    <row r="16" spans="3:11">
      <c r="C16" s="93" t="s">
        <v>119</v>
      </c>
      <c r="D16" s="103">
        <f>D129</f>
        <v>2482.5</v>
      </c>
      <c r="E16" s="91" t="s">
        <v>120</v>
      </c>
      <c r="F16" s="96">
        <f>D134</f>
        <v>8408.3799999999992</v>
      </c>
      <c r="G16" s="105">
        <f>D138</f>
        <v>3.3870614300100703</v>
      </c>
      <c r="H16" s="1" t="s">
        <v>121</v>
      </c>
    </row>
    <row r="17" spans="3:12">
      <c r="C17" s="93" t="s">
        <v>122</v>
      </c>
      <c r="D17" s="91" t="s">
        <v>123</v>
      </c>
      <c r="E17" s="91"/>
      <c r="F17" s="99">
        <f>D142</f>
        <v>0</v>
      </c>
      <c r="G17" s="104">
        <f>D146</f>
        <v>0</v>
      </c>
    </row>
    <row r="18" spans="3:12">
      <c r="C18" s="93" t="s">
        <v>124</v>
      </c>
      <c r="D18" s="103">
        <f>D154</f>
        <v>2324.58</v>
      </c>
      <c r="E18" s="91" t="s">
        <v>118</v>
      </c>
      <c r="F18" s="96">
        <f>D159</f>
        <v>12911.44</v>
      </c>
      <c r="G18" s="105">
        <f>D163</f>
        <v>5.5543108862676274</v>
      </c>
      <c r="H18" s="1" t="s">
        <v>125</v>
      </c>
    </row>
    <row r="19" spans="3:12">
      <c r="C19" s="93" t="s">
        <v>126</v>
      </c>
      <c r="D19" s="103">
        <f>D191</f>
        <v>0</v>
      </c>
      <c r="E19" s="91" t="s">
        <v>118</v>
      </c>
      <c r="F19" s="96">
        <f>D196</f>
        <v>0</v>
      </c>
      <c r="G19" s="102" t="e">
        <f>D200</f>
        <v>#DIV/0!</v>
      </c>
      <c r="H19" s="1" t="s">
        <v>125</v>
      </c>
    </row>
    <row r="20" spans="3:12">
      <c r="C20" s="171" t="s">
        <v>127</v>
      </c>
      <c r="D20" s="103">
        <f>D171</f>
        <v>207.934</v>
      </c>
      <c r="E20" s="91" t="s">
        <v>118</v>
      </c>
      <c r="F20" s="96">
        <f>'Propane Bills'!P3</f>
        <v>10467.24</v>
      </c>
      <c r="G20" s="176">
        <f>ROUND(F20,0)/(ROUND(D20,0))</f>
        <v>50.322115384615387</v>
      </c>
      <c r="H20" s="1" t="s">
        <v>125</v>
      </c>
      <c r="I20" s="1" t="s">
        <v>128</v>
      </c>
    </row>
    <row r="21" spans="3:12">
      <c r="C21" s="93" t="s">
        <v>129</v>
      </c>
      <c r="D21" s="100"/>
      <c r="E21" s="91" t="s">
        <v>130</v>
      </c>
      <c r="F21" s="99"/>
      <c r="G21" s="101" t="e">
        <f>F21/D21</f>
        <v>#DIV/0!</v>
      </c>
      <c r="H21" s="1" t="s">
        <v>131</v>
      </c>
    </row>
    <row r="22" spans="3:12">
      <c r="C22" s="93" t="s">
        <v>132</v>
      </c>
      <c r="D22" s="100"/>
      <c r="E22" s="91" t="s">
        <v>130</v>
      </c>
      <c r="F22" s="99"/>
      <c r="G22" s="98"/>
      <c r="H22" s="1" t="s">
        <v>131</v>
      </c>
    </row>
    <row r="23" spans="3:12">
      <c r="C23" s="93" t="s">
        <v>133</v>
      </c>
      <c r="D23" s="97">
        <f>SUM(D15,D18,D20)</f>
        <v>11961.993599259999</v>
      </c>
      <c r="E23" s="91" t="s">
        <v>118</v>
      </c>
      <c r="F23" s="96">
        <f>ROUND(SUM(F18,F14,F16,D115,F20,F21,F19),0)</f>
        <v>340615</v>
      </c>
      <c r="G23" s="1" t="s">
        <v>40</v>
      </c>
    </row>
    <row r="24" spans="3:12">
      <c r="F24" s="94">
        <f>F21+F18+F16+F14+F20</f>
        <v>340615.37</v>
      </c>
    </row>
    <row r="25" spans="3:12">
      <c r="C25" s="95" t="s">
        <v>134</v>
      </c>
    </row>
    <row r="26" spans="3:12">
      <c r="C26" s="93" t="s">
        <v>135</v>
      </c>
      <c r="D26" s="92">
        <f>D214</f>
        <v>1054.2786835000002</v>
      </c>
      <c r="E26" s="91" t="s">
        <v>136</v>
      </c>
      <c r="G26" s="94">
        <f>SUM(F14,F16,F18)</f>
        <v>330148.13</v>
      </c>
    </row>
    <row r="27" spans="3:12">
      <c r="C27" s="93" t="s">
        <v>124</v>
      </c>
      <c r="D27" s="92">
        <f>D215</f>
        <v>135.98793000000001</v>
      </c>
      <c r="E27" s="91"/>
    </row>
    <row r="28" spans="3:12">
      <c r="C28" s="171" t="s">
        <v>127</v>
      </c>
      <c r="D28" s="92">
        <f>D217</f>
        <v>12.164138999999999</v>
      </c>
      <c r="E28" s="91" t="s">
        <v>136</v>
      </c>
      <c r="L28" s="7"/>
    </row>
    <row r="29" spans="3:12">
      <c r="C29" s="93" t="s">
        <v>23</v>
      </c>
      <c r="D29" s="92">
        <f>SUM(D26:D28)</f>
        <v>1202.4307525000002</v>
      </c>
      <c r="E29" s="91" t="s">
        <v>136</v>
      </c>
      <c r="G29" s="90"/>
    </row>
    <row r="31" spans="3:12" ht="15.75" thickBot="1">
      <c r="D31" s="1">
        <v>4</v>
      </c>
    </row>
    <row r="32" spans="3:12">
      <c r="C32" s="35" t="s">
        <v>137</v>
      </c>
      <c r="D32" s="32"/>
      <c r="E32" s="32"/>
      <c r="F32" s="32"/>
      <c r="G32" s="32"/>
      <c r="H32" s="89"/>
    </row>
    <row r="33" spans="2:8">
      <c r="C33" s="30" t="s">
        <v>138</v>
      </c>
      <c r="D33" s="28" t="s">
        <v>139</v>
      </c>
      <c r="E33" s="28" t="s">
        <v>140</v>
      </c>
      <c r="F33" s="27" t="s">
        <v>31</v>
      </c>
      <c r="G33" s="27" t="s">
        <v>141</v>
      </c>
      <c r="H33" s="26" t="s">
        <v>142</v>
      </c>
    </row>
    <row r="34" spans="2:8">
      <c r="B34" s="1" t="s">
        <v>143</v>
      </c>
      <c r="C34" s="14" t="s">
        <v>144</v>
      </c>
      <c r="D34" s="83">
        <v>3491</v>
      </c>
      <c r="E34" s="13"/>
      <c r="F34" s="12" t="s">
        <v>145</v>
      </c>
      <c r="G34" s="1" t="s">
        <v>146</v>
      </c>
      <c r="H34" s="16" t="s">
        <v>90</v>
      </c>
    </row>
    <row r="35" spans="2:8">
      <c r="C35" s="14"/>
      <c r="D35" s="13"/>
      <c r="E35" s="13"/>
      <c r="H35" s="15"/>
    </row>
    <row r="36" spans="2:8">
      <c r="C36" s="14"/>
      <c r="D36" s="13"/>
      <c r="E36" s="13"/>
      <c r="H36" s="15"/>
    </row>
    <row r="37" spans="2:8">
      <c r="C37" s="41" t="s">
        <v>147</v>
      </c>
      <c r="F37" s="72"/>
      <c r="H37" s="42"/>
    </row>
    <row r="38" spans="2:8">
      <c r="C38" s="30" t="s">
        <v>138</v>
      </c>
      <c r="D38" s="28" t="s">
        <v>139</v>
      </c>
      <c r="E38" s="28" t="s">
        <v>140</v>
      </c>
      <c r="F38" s="27" t="s">
        <v>31</v>
      </c>
      <c r="G38" s="27" t="s">
        <v>141</v>
      </c>
      <c r="H38" s="26" t="s">
        <v>142</v>
      </c>
    </row>
    <row r="39" spans="2:8">
      <c r="B39" s="1" t="s">
        <v>143</v>
      </c>
      <c r="C39" s="14" t="s">
        <v>148</v>
      </c>
      <c r="D39" s="88">
        <v>332911</v>
      </c>
      <c r="E39" s="13"/>
      <c r="F39" s="12" t="s">
        <v>149</v>
      </c>
      <c r="H39" s="87" t="s">
        <v>93</v>
      </c>
    </row>
    <row r="40" spans="2:8">
      <c r="C40" s="14"/>
      <c r="H40" s="42"/>
    </row>
    <row r="41" spans="2:8">
      <c r="C41" s="41" t="s">
        <v>150</v>
      </c>
      <c r="F41" s="72"/>
      <c r="H41" s="42"/>
    </row>
    <row r="42" spans="2:8">
      <c r="C42" s="30" t="s">
        <v>138</v>
      </c>
      <c r="D42" s="28" t="s">
        <v>139</v>
      </c>
      <c r="E42" s="28" t="s">
        <v>140</v>
      </c>
      <c r="F42" s="27" t="s">
        <v>31</v>
      </c>
      <c r="G42" s="27" t="s">
        <v>141</v>
      </c>
      <c r="H42" s="26" t="s">
        <v>142</v>
      </c>
    </row>
    <row r="43" spans="2:8">
      <c r="B43" s="1" t="s">
        <v>143</v>
      </c>
      <c r="C43" s="14" t="s">
        <v>151</v>
      </c>
      <c r="D43" s="86">
        <v>45558</v>
      </c>
      <c r="E43" s="85"/>
      <c r="F43" s="12" t="s">
        <v>152</v>
      </c>
      <c r="G43" s="1" t="s">
        <v>153</v>
      </c>
      <c r="H43" s="42"/>
    </row>
    <row r="44" spans="2:8">
      <c r="C44" s="14"/>
      <c r="H44" s="42"/>
    </row>
    <row r="45" spans="2:8">
      <c r="C45" s="41" t="s">
        <v>96</v>
      </c>
      <c r="F45" s="72"/>
      <c r="H45" s="42"/>
    </row>
    <row r="46" spans="2:8">
      <c r="C46" s="30" t="s">
        <v>138</v>
      </c>
      <c r="D46" s="28" t="s">
        <v>139</v>
      </c>
      <c r="E46" s="28" t="s">
        <v>140</v>
      </c>
      <c r="F46" s="27" t="s">
        <v>31</v>
      </c>
      <c r="G46" s="27" t="s">
        <v>141</v>
      </c>
      <c r="H46" s="26" t="s">
        <v>142</v>
      </c>
    </row>
    <row r="47" spans="2:8">
      <c r="B47" s="1" t="s">
        <v>143</v>
      </c>
      <c r="C47" s="14" t="s">
        <v>154</v>
      </c>
      <c r="D47" s="84">
        <v>6200</v>
      </c>
      <c r="E47" s="13" t="s">
        <v>155</v>
      </c>
      <c r="F47" s="12" t="s">
        <v>156</v>
      </c>
      <c r="G47" s="1" t="s">
        <v>157</v>
      </c>
      <c r="H47" s="20" t="s">
        <v>158</v>
      </c>
    </row>
    <row r="48" spans="2:8">
      <c r="C48" s="14"/>
      <c r="H48" s="42"/>
    </row>
    <row r="49" spans="2:11">
      <c r="C49" s="41" t="s">
        <v>98</v>
      </c>
      <c r="F49" s="72"/>
      <c r="H49" s="42"/>
    </row>
    <row r="50" spans="2:11">
      <c r="C50" s="30" t="s">
        <v>138</v>
      </c>
      <c r="D50" s="28" t="s">
        <v>139</v>
      </c>
      <c r="E50" s="28" t="s">
        <v>140</v>
      </c>
      <c r="F50" s="27" t="s">
        <v>31</v>
      </c>
      <c r="G50" s="27" t="s">
        <v>141</v>
      </c>
      <c r="H50" s="26" t="s">
        <v>142</v>
      </c>
    </row>
    <row r="51" spans="2:11">
      <c r="B51" s="1" t="s">
        <v>143</v>
      </c>
      <c r="C51" s="14" t="s">
        <v>98</v>
      </c>
      <c r="D51" s="83" t="s">
        <v>159</v>
      </c>
      <c r="E51" s="12"/>
      <c r="F51" s="12" t="s">
        <v>160</v>
      </c>
      <c r="H51" s="20" t="s">
        <v>158</v>
      </c>
      <c r="K51" s="1">
        <f>40*52</f>
        <v>2080</v>
      </c>
    </row>
    <row r="52" spans="2:11">
      <c r="C52" s="14"/>
      <c r="H52" s="42"/>
    </row>
    <row r="53" spans="2:11">
      <c r="C53" s="14"/>
      <c r="H53" s="42"/>
    </row>
    <row r="54" spans="2:11">
      <c r="C54" s="41" t="s">
        <v>161</v>
      </c>
      <c r="F54" s="72"/>
      <c r="H54" s="42"/>
    </row>
    <row r="55" spans="2:11">
      <c r="C55" s="30" t="s">
        <v>138</v>
      </c>
      <c r="D55" s="28" t="s">
        <v>139</v>
      </c>
      <c r="E55" s="28" t="s">
        <v>140</v>
      </c>
      <c r="F55" s="27" t="s">
        <v>31</v>
      </c>
      <c r="G55" s="27" t="s">
        <v>141</v>
      </c>
      <c r="H55" s="26" t="s">
        <v>142</v>
      </c>
    </row>
    <row r="56" spans="2:11">
      <c r="C56" s="14" t="s">
        <v>162</v>
      </c>
      <c r="D56" s="82">
        <v>120</v>
      </c>
      <c r="E56" s="12"/>
      <c r="F56" s="12" t="s">
        <v>163</v>
      </c>
      <c r="G56" s="12"/>
      <c r="H56" s="20" t="s">
        <v>158</v>
      </c>
    </row>
    <row r="57" spans="2:11">
      <c r="C57" s="14"/>
      <c r="H57" s="42"/>
    </row>
    <row r="58" spans="2:11">
      <c r="C58" s="14"/>
      <c r="H58" s="42"/>
    </row>
    <row r="59" spans="2:11">
      <c r="C59" s="41" t="s">
        <v>99</v>
      </c>
      <c r="F59" s="72"/>
      <c r="H59" s="42"/>
    </row>
    <row r="60" spans="2:11">
      <c r="C60" s="30" t="s">
        <v>138</v>
      </c>
      <c r="D60" s="28" t="s">
        <v>139</v>
      </c>
      <c r="E60" s="28" t="s">
        <v>140</v>
      </c>
      <c r="F60" s="27" t="s">
        <v>31</v>
      </c>
      <c r="G60" s="27" t="s">
        <v>141</v>
      </c>
      <c r="H60" s="26" t="s">
        <v>142</v>
      </c>
    </row>
    <row r="61" spans="2:11">
      <c r="B61" s="1" t="s">
        <v>143</v>
      </c>
      <c r="C61" s="14" t="s">
        <v>164</v>
      </c>
      <c r="D61" s="81">
        <v>35000000</v>
      </c>
      <c r="E61" s="80" t="s">
        <v>165</v>
      </c>
      <c r="F61" s="12" t="s">
        <v>166</v>
      </c>
      <c r="H61" s="20" t="s">
        <v>158</v>
      </c>
    </row>
    <row r="62" spans="2:11">
      <c r="C62" s="14"/>
      <c r="D62" s="80"/>
      <c r="E62" s="80"/>
      <c r="F62" s="12"/>
      <c r="H62" s="20"/>
    </row>
    <row r="63" spans="2:11">
      <c r="C63" s="14"/>
      <c r="D63" s="80"/>
      <c r="E63" s="80"/>
      <c r="F63" s="12"/>
      <c r="H63" s="20"/>
    </row>
    <row r="64" spans="2:11">
      <c r="C64" s="41" t="s">
        <v>167</v>
      </c>
      <c r="F64" s="72"/>
      <c r="H64" s="42"/>
    </row>
    <row r="65" spans="2:8">
      <c r="C65" s="30" t="s">
        <v>138</v>
      </c>
      <c r="D65" s="28" t="s">
        <v>139</v>
      </c>
      <c r="E65" s="28" t="s">
        <v>140</v>
      </c>
      <c r="F65" s="27" t="s">
        <v>31</v>
      </c>
      <c r="G65" s="27" t="s">
        <v>141</v>
      </c>
      <c r="H65" s="26" t="s">
        <v>142</v>
      </c>
    </row>
    <row r="66" spans="2:8">
      <c r="B66" s="1" t="s">
        <v>143</v>
      </c>
      <c r="C66" s="14" t="s">
        <v>168</v>
      </c>
      <c r="D66" s="13">
        <f>D61/D47</f>
        <v>5645.1612903225805</v>
      </c>
      <c r="E66" s="13"/>
      <c r="F66" s="12" t="s">
        <v>169</v>
      </c>
      <c r="G66" s="1" t="s">
        <v>170</v>
      </c>
      <c r="H66" s="15" t="s">
        <v>171</v>
      </c>
    </row>
    <row r="67" spans="2:8">
      <c r="C67" s="14"/>
      <c r="D67" s="80"/>
      <c r="E67" s="80"/>
      <c r="F67" s="12"/>
      <c r="H67" s="20"/>
    </row>
    <row r="68" spans="2:8">
      <c r="C68" s="41" t="s">
        <v>172</v>
      </c>
      <c r="F68" s="72"/>
      <c r="H68" s="42"/>
    </row>
    <row r="69" spans="2:8">
      <c r="C69" s="30" t="s">
        <v>138</v>
      </c>
      <c r="D69" s="28" t="s">
        <v>139</v>
      </c>
      <c r="E69" s="28" t="s">
        <v>140</v>
      </c>
      <c r="F69" s="27" t="s">
        <v>31</v>
      </c>
      <c r="G69" s="27" t="s">
        <v>141</v>
      </c>
      <c r="H69" s="26" t="s">
        <v>142</v>
      </c>
    </row>
    <row r="70" spans="2:8">
      <c r="B70" s="1" t="s">
        <v>143</v>
      </c>
      <c r="C70" s="14" t="s">
        <v>173</v>
      </c>
      <c r="D70" s="79">
        <v>211185</v>
      </c>
      <c r="E70" s="13" t="s">
        <v>174</v>
      </c>
      <c r="F70" s="12" t="s">
        <v>175</v>
      </c>
      <c r="H70" s="42"/>
    </row>
    <row r="71" spans="2:8">
      <c r="C71" s="14"/>
      <c r="D71" s="13"/>
      <c r="E71" s="13" t="s">
        <v>176</v>
      </c>
      <c r="F71" s="12"/>
      <c r="H71" s="20"/>
    </row>
    <row r="72" spans="2:8">
      <c r="C72" s="78"/>
      <c r="D72" s="13"/>
      <c r="E72" s="1" t="s">
        <v>177</v>
      </c>
      <c r="F72" s="12" t="s">
        <v>178</v>
      </c>
      <c r="H72" s="16"/>
    </row>
    <row r="73" spans="2:8">
      <c r="C73" s="14"/>
      <c r="H73" s="42"/>
    </row>
    <row r="74" spans="2:8">
      <c r="C74" s="41" t="s">
        <v>179</v>
      </c>
      <c r="F74" s="72"/>
      <c r="H74" s="42"/>
    </row>
    <row r="75" spans="2:8">
      <c r="C75" s="30" t="s">
        <v>138</v>
      </c>
      <c r="D75" s="28" t="s">
        <v>139</v>
      </c>
      <c r="E75" s="28" t="s">
        <v>140</v>
      </c>
      <c r="F75" s="27" t="s">
        <v>31</v>
      </c>
      <c r="G75" s="27" t="s">
        <v>141</v>
      </c>
      <c r="H75" s="26" t="s">
        <v>142</v>
      </c>
    </row>
    <row r="76" spans="2:8">
      <c r="C76" s="14" t="s">
        <v>180</v>
      </c>
      <c r="D76" s="77">
        <f>D205</f>
        <v>11754.059599259999</v>
      </c>
      <c r="E76" s="13" t="s">
        <v>77</v>
      </c>
      <c r="F76" s="12" t="s">
        <v>181</v>
      </c>
      <c r="G76" s="1" t="s">
        <v>182</v>
      </c>
      <c r="H76" s="42"/>
    </row>
    <row r="77" spans="2:8">
      <c r="C77" s="14"/>
      <c r="H77" s="42"/>
    </row>
    <row r="78" spans="2:8">
      <c r="C78" s="14"/>
      <c r="H78" s="42"/>
    </row>
    <row r="79" spans="2:8">
      <c r="C79" s="41" t="s">
        <v>183</v>
      </c>
      <c r="F79" s="72"/>
      <c r="H79" s="42"/>
    </row>
    <row r="80" spans="2:8">
      <c r="C80" s="30" t="s">
        <v>138</v>
      </c>
      <c r="D80" s="28" t="s">
        <v>139</v>
      </c>
      <c r="E80" s="28" t="s">
        <v>140</v>
      </c>
      <c r="F80" s="27" t="s">
        <v>31</v>
      </c>
      <c r="G80" s="27" t="s">
        <v>141</v>
      </c>
      <c r="H80" s="26" t="s">
        <v>142</v>
      </c>
    </row>
    <row r="81" spans="2:13" ht="18">
      <c r="B81" s="1" t="s">
        <v>143</v>
      </c>
      <c r="C81" s="14" t="s">
        <v>184</v>
      </c>
      <c r="D81" s="76" t="s">
        <v>185</v>
      </c>
      <c r="E81" s="12"/>
      <c r="F81" s="12" t="s">
        <v>186</v>
      </c>
      <c r="H81" s="20" t="s">
        <v>158</v>
      </c>
    </row>
    <row r="82" spans="2:13">
      <c r="C82" s="14"/>
      <c r="H82" s="42"/>
      <c r="L82" s="1">
        <f>19*4+8.5</f>
        <v>84.5</v>
      </c>
      <c r="M82" s="1">
        <f>L82/5</f>
        <v>16.899999999999999</v>
      </c>
    </row>
    <row r="83" spans="2:13">
      <c r="C83" s="14"/>
      <c r="H83" s="42"/>
      <c r="L83" s="1">
        <f>20+16.9</f>
        <v>36.9</v>
      </c>
      <c r="M83" s="1">
        <f>L83/2</f>
        <v>18.45</v>
      </c>
    </row>
    <row r="84" spans="2:13">
      <c r="C84" s="41" t="s">
        <v>107</v>
      </c>
      <c r="F84" s="72"/>
      <c r="H84" s="42"/>
    </row>
    <row r="85" spans="2:13">
      <c r="C85" s="30" t="s">
        <v>138</v>
      </c>
      <c r="D85" s="28" t="s">
        <v>139</v>
      </c>
      <c r="E85" s="28" t="s">
        <v>140</v>
      </c>
      <c r="F85" s="27" t="s">
        <v>31</v>
      </c>
      <c r="G85" s="27" t="s">
        <v>141</v>
      </c>
      <c r="H85" s="26" t="s">
        <v>142</v>
      </c>
    </row>
    <row r="86" spans="2:13">
      <c r="C86" s="14" t="s">
        <v>187</v>
      </c>
      <c r="D86" s="75">
        <f>D103+D159+D176</f>
        <v>340615.37</v>
      </c>
      <c r="E86" s="13" t="s">
        <v>188</v>
      </c>
      <c r="F86" s="12" t="s">
        <v>189</v>
      </c>
      <c r="G86" s="1" t="s">
        <v>190</v>
      </c>
      <c r="H86" s="42"/>
    </row>
    <row r="87" spans="2:13">
      <c r="C87" s="14"/>
      <c r="H87" s="42"/>
    </row>
    <row r="88" spans="2:13">
      <c r="C88" s="14"/>
      <c r="H88" s="42"/>
    </row>
    <row r="89" spans="2:13">
      <c r="C89" s="41" t="s">
        <v>108</v>
      </c>
      <c r="F89" s="72"/>
      <c r="H89" s="42"/>
    </row>
    <row r="90" spans="2:13">
      <c r="C90" s="30" t="s">
        <v>138</v>
      </c>
      <c r="D90" s="29" t="s">
        <v>139</v>
      </c>
      <c r="E90" s="28" t="s">
        <v>140</v>
      </c>
      <c r="F90" s="27" t="s">
        <v>31</v>
      </c>
      <c r="G90" s="27" t="s">
        <v>141</v>
      </c>
      <c r="H90" s="26" t="s">
        <v>142</v>
      </c>
    </row>
    <row r="91" spans="2:13">
      <c r="B91" s="1" t="s">
        <v>143</v>
      </c>
      <c r="C91" s="14" t="s">
        <v>191</v>
      </c>
      <c r="D91" s="74">
        <v>5616</v>
      </c>
      <c r="E91" s="13"/>
      <c r="F91" s="12" t="s">
        <v>192</v>
      </c>
      <c r="G91" s="1" t="s">
        <v>193</v>
      </c>
      <c r="H91" s="42"/>
    </row>
    <row r="92" spans="2:13">
      <c r="C92" s="14" t="s">
        <v>194</v>
      </c>
      <c r="D92" s="17">
        <v>10</v>
      </c>
      <c r="E92" s="13"/>
      <c r="F92" s="1" t="s">
        <v>195</v>
      </c>
      <c r="G92" s="1" t="s">
        <v>196</v>
      </c>
      <c r="H92" s="20" t="s">
        <v>158</v>
      </c>
    </row>
    <row r="93" spans="2:13">
      <c r="C93" s="14" t="s">
        <v>197</v>
      </c>
      <c r="D93" s="17">
        <v>4</v>
      </c>
      <c r="E93" s="13"/>
      <c r="F93" s="1" t="s">
        <v>198</v>
      </c>
      <c r="G93" s="1" t="s">
        <v>199</v>
      </c>
      <c r="H93" s="20" t="s">
        <v>158</v>
      </c>
    </row>
    <row r="94" spans="2:13">
      <c r="C94" s="14" t="s">
        <v>200</v>
      </c>
      <c r="D94" s="17">
        <v>52</v>
      </c>
      <c r="E94" s="13"/>
      <c r="F94" s="1" t="s">
        <v>201</v>
      </c>
      <c r="G94" s="1" t="s">
        <v>202</v>
      </c>
      <c r="H94" s="42"/>
    </row>
    <row r="95" spans="2:13">
      <c r="C95" s="14" t="s">
        <v>203</v>
      </c>
      <c r="D95" s="73" t="s">
        <v>204</v>
      </c>
      <c r="F95" s="1" t="s">
        <v>205</v>
      </c>
      <c r="H95" s="42"/>
    </row>
    <row r="96" spans="2:13">
      <c r="C96" s="14"/>
      <c r="D96" s="43"/>
      <c r="H96" s="42"/>
    </row>
    <row r="97" spans="2:8">
      <c r="C97" s="41" t="s">
        <v>206</v>
      </c>
      <c r="D97" s="43"/>
      <c r="F97" s="72"/>
      <c r="H97" s="42"/>
    </row>
    <row r="98" spans="2:8">
      <c r="C98" s="30" t="s">
        <v>138</v>
      </c>
      <c r="D98" s="29" t="s">
        <v>139</v>
      </c>
      <c r="E98" s="28" t="s">
        <v>140</v>
      </c>
      <c r="F98" s="27" t="s">
        <v>31</v>
      </c>
      <c r="G98" s="27" t="s">
        <v>141</v>
      </c>
      <c r="H98" s="26" t="s">
        <v>142</v>
      </c>
    </row>
    <row r="99" spans="2:8" ht="15.75" thickBot="1">
      <c r="B99" s="1" t="s">
        <v>143</v>
      </c>
      <c r="C99" s="11" t="s">
        <v>207</v>
      </c>
      <c r="D99" s="71">
        <v>5</v>
      </c>
      <c r="E99" s="39"/>
      <c r="F99" s="10" t="s">
        <v>208</v>
      </c>
      <c r="G99" s="10" t="s">
        <v>209</v>
      </c>
      <c r="H99" s="70"/>
    </row>
    <row r="100" spans="2:8" ht="15.75" thickBot="1">
      <c r="D100" s="43"/>
    </row>
    <row r="101" spans="2:8">
      <c r="C101" s="35" t="s">
        <v>210</v>
      </c>
      <c r="D101" s="34"/>
      <c r="E101" s="33"/>
      <c r="F101" s="52"/>
      <c r="G101" s="32"/>
      <c r="H101" s="44"/>
    </row>
    <row r="102" spans="2:8">
      <c r="C102" s="30" t="s">
        <v>138</v>
      </c>
      <c r="D102" s="29" t="s">
        <v>139</v>
      </c>
      <c r="E102" s="28" t="s">
        <v>140</v>
      </c>
      <c r="F102" s="27" t="s">
        <v>31</v>
      </c>
      <c r="G102" s="27" t="s">
        <v>141</v>
      </c>
      <c r="H102" s="26" t="s">
        <v>142</v>
      </c>
    </row>
    <row r="103" spans="2:8">
      <c r="C103" s="14" t="s">
        <v>211</v>
      </c>
      <c r="D103" s="47">
        <f>D111+D134</f>
        <v>317236.69</v>
      </c>
      <c r="E103" s="13" t="s">
        <v>43</v>
      </c>
      <c r="F103" s="12"/>
      <c r="G103" s="1" t="s">
        <v>212</v>
      </c>
      <c r="H103" s="15"/>
    </row>
    <row r="104" spans="2:8">
      <c r="C104" s="14"/>
      <c r="D104" s="43"/>
      <c r="H104" s="42"/>
    </row>
    <row r="105" spans="2:8">
      <c r="C105" s="41" t="s">
        <v>213</v>
      </c>
      <c r="D105" s="17"/>
      <c r="E105" s="13"/>
      <c r="F105" s="67"/>
      <c r="H105" s="15"/>
    </row>
    <row r="106" spans="2:8">
      <c r="C106" s="30" t="s">
        <v>138</v>
      </c>
      <c r="D106" s="29" t="s">
        <v>139</v>
      </c>
      <c r="E106" s="28" t="s">
        <v>140</v>
      </c>
      <c r="F106" s="27" t="s">
        <v>31</v>
      </c>
      <c r="G106" s="27" t="s">
        <v>141</v>
      </c>
      <c r="H106" s="26" t="s">
        <v>142</v>
      </c>
    </row>
    <row r="107" spans="2:8">
      <c r="B107" s="1" t="s">
        <v>143</v>
      </c>
      <c r="C107" s="14" t="s">
        <v>214</v>
      </c>
      <c r="D107" s="69">
        <f>'Energy (2)'!N40</f>
        <v>2763509</v>
      </c>
      <c r="E107" s="13" t="s">
        <v>215</v>
      </c>
      <c r="F107" s="12"/>
      <c r="G107" s="1" t="s">
        <v>212</v>
      </c>
      <c r="H107" s="15"/>
    </row>
    <row r="108" spans="2:8">
      <c r="C108" s="14"/>
      <c r="D108" s="17"/>
      <c r="E108" s="13"/>
      <c r="H108" s="20"/>
    </row>
    <row r="109" spans="2:8">
      <c r="C109" s="41" t="s">
        <v>216</v>
      </c>
      <c r="D109" s="17"/>
      <c r="E109" s="13"/>
      <c r="F109" s="67"/>
      <c r="H109" s="15"/>
    </row>
    <row r="110" spans="2:8">
      <c r="C110" s="30" t="s">
        <v>138</v>
      </c>
      <c r="D110" s="29" t="s">
        <v>139</v>
      </c>
      <c r="E110" s="28" t="s">
        <v>140</v>
      </c>
      <c r="F110" s="27" t="s">
        <v>31</v>
      </c>
      <c r="G110" s="27" t="s">
        <v>141</v>
      </c>
      <c r="H110" s="26" t="s">
        <v>142</v>
      </c>
    </row>
    <row r="111" spans="2:8">
      <c r="B111" s="1" t="s">
        <v>143</v>
      </c>
      <c r="C111" s="14" t="s">
        <v>217</v>
      </c>
      <c r="D111" s="66">
        <f>'Energy (2)'!N42</f>
        <v>308828.31</v>
      </c>
      <c r="E111" s="13" t="s">
        <v>43</v>
      </c>
      <c r="F111" s="12"/>
      <c r="G111" s="1" t="s">
        <v>212</v>
      </c>
      <c r="H111" s="15"/>
    </row>
    <row r="112" spans="2:8">
      <c r="C112" s="14"/>
      <c r="D112" s="68"/>
      <c r="E112" s="13"/>
      <c r="F112" s="12"/>
      <c r="H112" s="15"/>
    </row>
    <row r="113" spans="2:8">
      <c r="C113" s="41" t="s">
        <v>218</v>
      </c>
      <c r="D113" s="17"/>
      <c r="E113" s="13"/>
      <c r="F113" s="67"/>
      <c r="H113" s="15"/>
    </row>
    <row r="114" spans="2:8">
      <c r="C114" s="30" t="s">
        <v>138</v>
      </c>
      <c r="D114" s="29" t="s">
        <v>139</v>
      </c>
      <c r="E114" s="28" t="s">
        <v>140</v>
      </c>
      <c r="F114" s="27" t="s">
        <v>31</v>
      </c>
      <c r="G114" s="27" t="s">
        <v>141</v>
      </c>
      <c r="H114" s="26" t="s">
        <v>142</v>
      </c>
    </row>
    <row r="115" spans="2:8">
      <c r="C115" s="14" t="s">
        <v>219</v>
      </c>
      <c r="D115" s="66"/>
      <c r="E115" s="13" t="s">
        <v>43</v>
      </c>
      <c r="F115" s="12"/>
      <c r="G115" s="1" t="s">
        <v>212</v>
      </c>
      <c r="H115" s="15"/>
    </row>
    <row r="116" spans="2:8">
      <c r="C116" s="14"/>
      <c r="D116" s="43"/>
      <c r="F116" s="12"/>
      <c r="H116" s="20"/>
    </row>
    <row r="117" spans="2:8">
      <c r="C117" s="41" t="s">
        <v>220</v>
      </c>
      <c r="D117" s="17"/>
      <c r="E117" s="13"/>
      <c r="H117" s="15"/>
    </row>
    <row r="118" spans="2:8">
      <c r="C118" s="30" t="s">
        <v>138</v>
      </c>
      <c r="D118" s="29" t="s">
        <v>139</v>
      </c>
      <c r="E118" s="28" t="s">
        <v>140</v>
      </c>
      <c r="F118" s="27" t="s">
        <v>31</v>
      </c>
      <c r="G118" s="27" t="s">
        <v>141</v>
      </c>
      <c r="H118" s="26" t="s">
        <v>142</v>
      </c>
    </row>
    <row r="119" spans="2:8">
      <c r="C119" s="14" t="s">
        <v>221</v>
      </c>
      <c r="D119" s="65">
        <f>D120*D107</f>
        <v>9429.4795992599993</v>
      </c>
      <c r="E119" s="13"/>
      <c r="F119" s="12" t="s">
        <v>222</v>
      </c>
      <c r="H119" s="15"/>
    </row>
    <row r="120" spans="2:8">
      <c r="C120" s="14" t="s">
        <v>223</v>
      </c>
      <c r="D120" s="64">
        <f>3412.14/1000000</f>
        <v>3.4121399999999997E-3</v>
      </c>
      <c r="E120" s="12" t="s">
        <v>224</v>
      </c>
      <c r="F120" s="12" t="s">
        <v>224</v>
      </c>
      <c r="G120" s="12" t="s">
        <v>225</v>
      </c>
      <c r="H120" s="50" t="s">
        <v>226</v>
      </c>
    </row>
    <row r="121" spans="2:8">
      <c r="C121" s="14"/>
      <c r="D121" s="43"/>
      <c r="G121" s="1" t="s">
        <v>227</v>
      </c>
      <c r="H121" s="42"/>
    </row>
    <row r="122" spans="2:8">
      <c r="C122" s="41" t="s">
        <v>117</v>
      </c>
      <c r="D122" s="17"/>
      <c r="E122" s="13"/>
      <c r="H122" s="20"/>
    </row>
    <row r="123" spans="2:8">
      <c r="C123" s="30" t="s">
        <v>138</v>
      </c>
      <c r="D123" s="29" t="s">
        <v>139</v>
      </c>
      <c r="E123" s="28" t="s">
        <v>140</v>
      </c>
      <c r="F123" s="27" t="s">
        <v>31</v>
      </c>
      <c r="G123" s="27" t="s">
        <v>141</v>
      </c>
      <c r="H123" s="26" t="s">
        <v>142</v>
      </c>
    </row>
    <row r="124" spans="2:8">
      <c r="C124" s="14" t="s">
        <v>228</v>
      </c>
      <c r="D124" s="19">
        <f>D111/D107</f>
        <v>0.11175223601587692</v>
      </c>
      <c r="E124" s="13" t="s">
        <v>117</v>
      </c>
      <c r="F124" s="12" t="s">
        <v>229</v>
      </c>
      <c r="G124" s="1" t="s">
        <v>230</v>
      </c>
      <c r="H124" s="15" t="s">
        <v>231</v>
      </c>
    </row>
    <row r="125" spans="2:8">
      <c r="C125" s="14"/>
      <c r="D125" s="43"/>
      <c r="H125" s="42"/>
    </row>
    <row r="126" spans="2:8">
      <c r="B126" s="1" t="s">
        <v>143</v>
      </c>
      <c r="C126" s="41" t="s">
        <v>232</v>
      </c>
      <c r="D126" s="43"/>
      <c r="H126" s="42"/>
    </row>
    <row r="127" spans="2:8">
      <c r="C127" s="30" t="s">
        <v>138</v>
      </c>
      <c r="D127" s="29" t="s">
        <v>139</v>
      </c>
      <c r="E127" s="28" t="s">
        <v>140</v>
      </c>
      <c r="F127" s="27" t="s">
        <v>31</v>
      </c>
      <c r="G127" s="27" t="s">
        <v>141</v>
      </c>
      <c r="H127" s="26" t="s">
        <v>142</v>
      </c>
    </row>
    <row r="128" spans="2:8">
      <c r="C128" s="14" t="s">
        <v>233</v>
      </c>
      <c r="D128" s="45">
        <f>D129/D130</f>
        <v>206.875</v>
      </c>
      <c r="E128" s="13" t="s">
        <v>234</v>
      </c>
      <c r="F128" s="12" t="s">
        <v>235</v>
      </c>
      <c r="H128" s="15"/>
    </row>
    <row r="129" spans="2:8">
      <c r="C129" s="14" t="s">
        <v>236</v>
      </c>
      <c r="D129" s="63">
        <f>'Energy (2)'!N41</f>
        <v>2482.5</v>
      </c>
      <c r="E129" s="1" t="s">
        <v>234</v>
      </c>
      <c r="F129" s="1" t="s">
        <v>237</v>
      </c>
      <c r="H129" s="42"/>
    </row>
    <row r="130" spans="2:8">
      <c r="C130" s="14" t="s">
        <v>238</v>
      </c>
      <c r="D130" s="43">
        <v>12</v>
      </c>
      <c r="H130" s="42"/>
    </row>
    <row r="131" spans="2:8">
      <c r="B131" s="1" t="s">
        <v>143</v>
      </c>
      <c r="C131" s="14"/>
      <c r="D131" s="43"/>
      <c r="H131" s="42"/>
    </row>
    <row r="132" spans="2:8">
      <c r="C132" s="41" t="s">
        <v>239</v>
      </c>
      <c r="D132" s="43"/>
      <c r="H132" s="42"/>
    </row>
    <row r="133" spans="2:8">
      <c r="C133" s="30" t="s">
        <v>138</v>
      </c>
      <c r="D133" s="29" t="s">
        <v>139</v>
      </c>
      <c r="E133" s="28" t="s">
        <v>140</v>
      </c>
      <c r="F133" s="27" t="s">
        <v>31</v>
      </c>
      <c r="G133" s="27" t="s">
        <v>141</v>
      </c>
      <c r="H133" s="26" t="s">
        <v>142</v>
      </c>
    </row>
    <row r="134" spans="2:8">
      <c r="C134" s="14" t="s">
        <v>240</v>
      </c>
      <c r="D134" s="47">
        <f>'Energy (2)'!N39</f>
        <v>8408.3799999999992</v>
      </c>
      <c r="E134" s="13" t="s">
        <v>43</v>
      </c>
      <c r="F134" s="12" t="s">
        <v>235</v>
      </c>
      <c r="H134" s="15"/>
    </row>
    <row r="135" spans="2:8">
      <c r="C135" s="14"/>
      <c r="D135" s="43"/>
      <c r="H135" s="42"/>
    </row>
    <row r="136" spans="2:8">
      <c r="C136" s="41" t="s">
        <v>121</v>
      </c>
      <c r="D136" s="17"/>
      <c r="E136" s="13"/>
      <c r="H136" s="20"/>
    </row>
    <row r="137" spans="2:8">
      <c r="C137" s="30" t="s">
        <v>138</v>
      </c>
      <c r="D137" s="29" t="s">
        <v>139</v>
      </c>
      <c r="E137" s="28" t="s">
        <v>140</v>
      </c>
      <c r="F137" s="27" t="s">
        <v>31</v>
      </c>
      <c r="G137" s="27" t="s">
        <v>141</v>
      </c>
      <c r="H137" s="26" t="s">
        <v>142</v>
      </c>
    </row>
    <row r="138" spans="2:8">
      <c r="C138" s="14" t="s">
        <v>228</v>
      </c>
      <c r="D138" s="62">
        <f>D134/D129</f>
        <v>3.3870614300100703</v>
      </c>
      <c r="E138" s="13" t="s">
        <v>121</v>
      </c>
      <c r="F138" s="12" t="s">
        <v>229</v>
      </c>
      <c r="G138" s="1" t="s">
        <v>230</v>
      </c>
      <c r="H138" s="15" t="s">
        <v>231</v>
      </c>
    </row>
    <row r="139" spans="2:8">
      <c r="C139" s="61"/>
      <c r="D139" s="43"/>
      <c r="H139" s="42"/>
    </row>
    <row r="140" spans="2:8">
      <c r="C140" s="41" t="s">
        <v>241</v>
      </c>
      <c r="D140" s="17"/>
      <c r="E140" s="13"/>
      <c r="H140" s="20"/>
    </row>
    <row r="141" spans="2:8">
      <c r="C141" s="30" t="s">
        <v>138</v>
      </c>
      <c r="D141" s="29" t="s">
        <v>139</v>
      </c>
      <c r="E141" s="28" t="s">
        <v>140</v>
      </c>
      <c r="F141" s="27" t="s">
        <v>31</v>
      </c>
      <c r="G141" s="27" t="s">
        <v>141</v>
      </c>
      <c r="H141" s="26" t="s">
        <v>142</v>
      </c>
    </row>
    <row r="142" spans="2:8">
      <c r="C142" s="14" t="s">
        <v>242</v>
      </c>
      <c r="D142" s="60">
        <v>0</v>
      </c>
      <c r="E142" s="13"/>
      <c r="F142" s="1" t="s">
        <v>243</v>
      </c>
      <c r="H142" s="20"/>
    </row>
    <row r="143" spans="2:8">
      <c r="C143" s="14"/>
      <c r="D143" s="17"/>
      <c r="E143" s="13"/>
      <c r="H143" s="20"/>
    </row>
    <row r="144" spans="2:8">
      <c r="C144" s="41" t="s">
        <v>244</v>
      </c>
      <c r="D144" s="17"/>
      <c r="E144" s="13"/>
      <c r="H144" s="20"/>
    </row>
    <row r="145" spans="2:8">
      <c r="C145" s="30" t="s">
        <v>138</v>
      </c>
      <c r="D145" s="29" t="s">
        <v>139</v>
      </c>
      <c r="E145" s="28" t="s">
        <v>140</v>
      </c>
      <c r="F145" s="27" t="s">
        <v>31</v>
      </c>
      <c r="G145" s="27" t="s">
        <v>141</v>
      </c>
      <c r="H145" s="26" t="s">
        <v>142</v>
      </c>
    </row>
    <row r="146" spans="2:8" ht="15.75" thickBot="1">
      <c r="C146" s="11" t="s">
        <v>244</v>
      </c>
      <c r="D146" s="59">
        <f>D142/D111</f>
        <v>0</v>
      </c>
      <c r="E146" s="58"/>
      <c r="F146" s="9" t="s">
        <v>245</v>
      </c>
      <c r="G146" s="57"/>
      <c r="H146" s="8" t="s">
        <v>246</v>
      </c>
    </row>
    <row r="147" spans="2:8" ht="15.75" thickBot="1">
      <c r="B147" s="1" t="s">
        <v>143</v>
      </c>
      <c r="D147" s="17"/>
      <c r="E147" s="13"/>
    </row>
    <row r="148" spans="2:8">
      <c r="C148" s="35" t="s">
        <v>247</v>
      </c>
      <c r="D148" s="34"/>
      <c r="E148" s="33"/>
      <c r="F148" s="52"/>
      <c r="G148" s="32"/>
      <c r="H148" s="31"/>
    </row>
    <row r="149" spans="2:8">
      <c r="C149" s="30" t="s">
        <v>138</v>
      </c>
      <c r="D149" s="29" t="s">
        <v>139</v>
      </c>
      <c r="E149" s="28" t="s">
        <v>140</v>
      </c>
      <c r="F149" s="27" t="s">
        <v>31</v>
      </c>
      <c r="G149" s="27" t="s">
        <v>141</v>
      </c>
      <c r="H149" s="26" t="s">
        <v>142</v>
      </c>
    </row>
    <row r="150" spans="2:8">
      <c r="C150" s="14" t="s">
        <v>248</v>
      </c>
      <c r="D150" s="55">
        <f>D154/D155</f>
        <v>22525</v>
      </c>
      <c r="E150" s="7" t="s">
        <v>76</v>
      </c>
      <c r="F150" s="12" t="s">
        <v>249</v>
      </c>
      <c r="H150" s="15"/>
    </row>
    <row r="151" spans="2:8">
      <c r="C151" s="14"/>
      <c r="D151" s="17"/>
      <c r="E151" s="13"/>
      <c r="F151" s="12"/>
      <c r="H151" s="20"/>
    </row>
    <row r="152" spans="2:8">
      <c r="C152" s="41" t="s">
        <v>250</v>
      </c>
      <c r="D152" s="17"/>
      <c r="E152" s="13"/>
      <c r="H152" s="15"/>
    </row>
    <row r="153" spans="2:8">
      <c r="C153" s="30" t="s">
        <v>138</v>
      </c>
      <c r="D153" s="29" t="s">
        <v>139</v>
      </c>
      <c r="E153" s="28" t="s">
        <v>140</v>
      </c>
      <c r="F153" s="27" t="s">
        <v>31</v>
      </c>
      <c r="G153" s="27" t="s">
        <v>141</v>
      </c>
      <c r="H153" s="26" t="s">
        <v>142</v>
      </c>
    </row>
    <row r="154" spans="2:8">
      <c r="C154" s="14" t="s">
        <v>251</v>
      </c>
      <c r="D154" s="49">
        <f>Gas!N25</f>
        <v>2324.58</v>
      </c>
      <c r="E154" s="13" t="s">
        <v>77</v>
      </c>
      <c r="F154" s="12" t="s">
        <v>252</v>
      </c>
      <c r="G154" s="1" t="s">
        <v>253</v>
      </c>
      <c r="H154" s="20"/>
    </row>
    <row r="155" spans="2:8">
      <c r="C155" s="14" t="s">
        <v>254</v>
      </c>
      <c r="D155" s="54">
        <v>0.1032</v>
      </c>
      <c r="E155" s="13" t="s">
        <v>88</v>
      </c>
      <c r="F155" s="12" t="s">
        <v>255</v>
      </c>
      <c r="G155" s="1" t="s">
        <v>256</v>
      </c>
      <c r="H155" s="16" t="s">
        <v>257</v>
      </c>
    </row>
    <row r="156" spans="2:8">
      <c r="B156" s="1" t="s">
        <v>143</v>
      </c>
      <c r="C156" s="14"/>
      <c r="D156" s="17"/>
      <c r="E156" s="13"/>
      <c r="F156" s="12"/>
      <c r="H156" s="20"/>
    </row>
    <row r="157" spans="2:8">
      <c r="C157" s="41" t="s">
        <v>258</v>
      </c>
      <c r="D157" s="17"/>
      <c r="E157" s="13"/>
      <c r="H157" s="15"/>
    </row>
    <row r="158" spans="2:8">
      <c r="C158" s="30" t="s">
        <v>138</v>
      </c>
      <c r="D158" s="29" t="s">
        <v>139</v>
      </c>
      <c r="E158" s="28" t="s">
        <v>140</v>
      </c>
      <c r="F158" s="27" t="s">
        <v>31</v>
      </c>
      <c r="G158" s="27" t="s">
        <v>141</v>
      </c>
      <c r="H158" s="26" t="s">
        <v>142</v>
      </c>
    </row>
    <row r="159" spans="2:8">
      <c r="C159" s="14" t="s">
        <v>259</v>
      </c>
      <c r="D159" s="47">
        <f>Gas!N23</f>
        <v>12911.44</v>
      </c>
      <c r="E159" s="13" t="s">
        <v>43</v>
      </c>
      <c r="F159" s="12" t="s">
        <v>260</v>
      </c>
      <c r="G159" s="1" t="s">
        <v>253</v>
      </c>
      <c r="H159" s="15"/>
    </row>
    <row r="160" spans="2:8">
      <c r="C160" s="14"/>
      <c r="D160" s="43"/>
      <c r="H160" s="42"/>
    </row>
    <row r="161" spans="3:8">
      <c r="C161" s="41" t="s">
        <v>261</v>
      </c>
      <c r="D161" s="17"/>
      <c r="E161" s="13"/>
      <c r="H161" s="20"/>
    </row>
    <row r="162" spans="3:8">
      <c r="C162" s="30" t="s">
        <v>138</v>
      </c>
      <c r="D162" s="29" t="s">
        <v>139</v>
      </c>
      <c r="E162" s="28" t="s">
        <v>140</v>
      </c>
      <c r="F162" s="27" t="s">
        <v>31</v>
      </c>
      <c r="G162" s="27" t="s">
        <v>141</v>
      </c>
      <c r="H162" s="26" t="s">
        <v>142</v>
      </c>
    </row>
    <row r="163" spans="3:8" ht="15.75" thickBot="1">
      <c r="C163" s="11" t="s">
        <v>262</v>
      </c>
      <c r="D163" s="56">
        <f>D159/D154</f>
        <v>5.5543108862676274</v>
      </c>
      <c r="E163" s="9" t="s">
        <v>83</v>
      </c>
      <c r="F163" s="10" t="s">
        <v>263</v>
      </c>
      <c r="G163" s="9" t="s">
        <v>83</v>
      </c>
      <c r="H163" s="8"/>
    </row>
    <row r="164" spans="3:8" ht="15.75" thickBot="1">
      <c r="D164" s="53"/>
      <c r="F164" s="12"/>
      <c r="H164" s="12"/>
    </row>
    <row r="165" spans="3:8">
      <c r="C165" s="35" t="s">
        <v>264</v>
      </c>
      <c r="D165" s="34"/>
      <c r="E165" s="33"/>
      <c r="F165" s="52"/>
      <c r="G165" s="32"/>
      <c r="H165" s="31"/>
    </row>
    <row r="166" spans="3:8">
      <c r="C166" s="30" t="s">
        <v>138</v>
      </c>
      <c r="D166" s="29" t="s">
        <v>139</v>
      </c>
      <c r="E166" s="28" t="s">
        <v>140</v>
      </c>
      <c r="F166" s="27" t="s">
        <v>31</v>
      </c>
      <c r="G166" s="27" t="s">
        <v>141</v>
      </c>
      <c r="H166" s="26" t="s">
        <v>142</v>
      </c>
    </row>
    <row r="167" spans="3:8">
      <c r="C167" s="14" t="s">
        <v>248</v>
      </c>
      <c r="D167" s="55"/>
      <c r="E167" s="7" t="s">
        <v>76</v>
      </c>
      <c r="F167" s="12" t="s">
        <v>249</v>
      </c>
      <c r="H167" s="15"/>
    </row>
    <row r="168" spans="3:8">
      <c r="C168" s="14"/>
      <c r="D168" s="17"/>
      <c r="E168" s="13"/>
      <c r="F168" s="12"/>
      <c r="H168" s="20"/>
    </row>
    <row r="169" spans="3:8">
      <c r="C169" s="41" t="s">
        <v>265</v>
      </c>
      <c r="D169" s="17"/>
      <c r="E169" s="13"/>
      <c r="H169" s="15"/>
    </row>
    <row r="170" spans="3:8">
      <c r="C170" s="30" t="s">
        <v>138</v>
      </c>
      <c r="D170" s="29" t="s">
        <v>139</v>
      </c>
      <c r="E170" s="28" t="s">
        <v>140</v>
      </c>
      <c r="F170" s="27" t="s">
        <v>31</v>
      </c>
      <c r="G170" s="27" t="s">
        <v>141</v>
      </c>
      <c r="H170" s="26" t="s">
        <v>142</v>
      </c>
    </row>
    <row r="171" spans="3:8">
      <c r="C171" s="14" t="s">
        <v>251</v>
      </c>
      <c r="D171" s="49">
        <f>207.934</f>
        <v>207.934</v>
      </c>
      <c r="E171" s="13" t="s">
        <v>77</v>
      </c>
      <c r="F171" s="12" t="s">
        <v>252</v>
      </c>
      <c r="H171" s="20"/>
    </row>
    <row r="172" spans="3:8">
      <c r="C172" s="14" t="s">
        <v>254</v>
      </c>
      <c r="D172" s="54">
        <v>0.1032</v>
      </c>
      <c r="E172" s="13" t="s">
        <v>88</v>
      </c>
      <c r="F172" s="12" t="s">
        <v>255</v>
      </c>
      <c r="G172" s="1" t="s">
        <v>256</v>
      </c>
      <c r="H172" s="16" t="s">
        <v>257</v>
      </c>
    </row>
    <row r="173" spans="3:8">
      <c r="C173" s="14"/>
      <c r="D173" s="17"/>
      <c r="E173" s="13"/>
      <c r="F173" s="12"/>
      <c r="H173" s="20"/>
    </row>
    <row r="174" spans="3:8">
      <c r="C174" s="41" t="s">
        <v>258</v>
      </c>
      <c r="D174" s="17"/>
      <c r="E174" s="13"/>
      <c r="H174" s="15"/>
    </row>
    <row r="175" spans="3:8">
      <c r="C175" s="30" t="s">
        <v>138</v>
      </c>
      <c r="D175" s="29" t="s">
        <v>139</v>
      </c>
      <c r="E175" s="28" t="s">
        <v>140</v>
      </c>
      <c r="F175" s="27" t="s">
        <v>31</v>
      </c>
      <c r="G175" s="27" t="s">
        <v>141</v>
      </c>
      <c r="H175" s="26" t="s">
        <v>142</v>
      </c>
    </row>
    <row r="176" spans="3:8">
      <c r="C176" s="14" t="s">
        <v>259</v>
      </c>
      <c r="D176" s="47">
        <f>'Propane Bills'!P3</f>
        <v>10467.24</v>
      </c>
      <c r="E176" s="13" t="s">
        <v>43</v>
      </c>
      <c r="F176" s="12" t="s">
        <v>266</v>
      </c>
      <c r="H176" s="15"/>
    </row>
    <row r="177" spans="3:13">
      <c r="C177" s="14"/>
      <c r="D177" s="43"/>
      <c r="H177" s="42"/>
    </row>
    <row r="178" spans="3:13">
      <c r="C178" s="41" t="s">
        <v>261</v>
      </c>
      <c r="D178" s="17"/>
      <c r="E178" s="13"/>
      <c r="H178" s="20"/>
      <c r="L178" s="1">
        <f>230.95/80</f>
        <v>2.8868749999999999</v>
      </c>
      <c r="M178" s="1">
        <f>L178/0.1032</f>
        <v>27.973594961240309</v>
      </c>
    </row>
    <row r="179" spans="3:13">
      <c r="C179" s="30" t="s">
        <v>138</v>
      </c>
      <c r="D179" s="29" t="s">
        <v>139</v>
      </c>
      <c r="E179" s="28" t="s">
        <v>140</v>
      </c>
      <c r="F179" s="27" t="s">
        <v>31</v>
      </c>
      <c r="G179" s="27" t="s">
        <v>141</v>
      </c>
      <c r="H179" s="26" t="s">
        <v>142</v>
      </c>
    </row>
    <row r="180" spans="3:13" ht="15.75" thickBot="1">
      <c r="C180" s="11" t="s">
        <v>262</v>
      </c>
      <c r="D180" s="53">
        <f>D176/D171</f>
        <v>50.339242259563129</v>
      </c>
      <c r="E180" s="9" t="s">
        <v>83</v>
      </c>
      <c r="F180" s="10" t="s">
        <v>263</v>
      </c>
      <c r="G180" s="9" t="s">
        <v>83</v>
      </c>
      <c r="H180" s="1" t="s">
        <v>128</v>
      </c>
    </row>
    <row r="181" spans="3:13">
      <c r="D181" s="53"/>
      <c r="F181" s="12"/>
      <c r="H181" s="12"/>
    </row>
    <row r="182" spans="3:13" ht="15.75" thickBot="1">
      <c r="D182" s="43"/>
    </row>
    <row r="183" spans="3:13">
      <c r="C183" s="35" t="s">
        <v>126</v>
      </c>
      <c r="D183" s="34"/>
      <c r="E183" s="33"/>
      <c r="F183" s="52"/>
      <c r="G183" s="32"/>
      <c r="H183" s="31"/>
    </row>
    <row r="184" spans="3:13">
      <c r="C184" s="30" t="s">
        <v>138</v>
      </c>
      <c r="D184" s="29" t="s">
        <v>139</v>
      </c>
      <c r="E184" s="28" t="s">
        <v>140</v>
      </c>
      <c r="F184" s="27" t="s">
        <v>31</v>
      </c>
      <c r="G184" s="27" t="s">
        <v>141</v>
      </c>
      <c r="H184" s="26" t="s">
        <v>142</v>
      </c>
    </row>
    <row r="185" spans="3:13">
      <c r="C185" s="14" t="s">
        <v>267</v>
      </c>
      <c r="D185" s="51">
        <f>D187/D186</f>
        <v>0</v>
      </c>
      <c r="E185" s="13"/>
      <c r="F185" s="12" t="s">
        <v>268</v>
      </c>
      <c r="H185" s="50" t="s">
        <v>269</v>
      </c>
    </row>
    <row r="186" spans="3:13">
      <c r="C186" s="14" t="s">
        <v>270</v>
      </c>
      <c r="D186" s="45">
        <v>3</v>
      </c>
      <c r="E186" s="13"/>
      <c r="F186" s="12"/>
      <c r="G186" s="12"/>
      <c r="H186" s="50"/>
    </row>
    <row r="187" spans="3:13">
      <c r="C187" s="14" t="s">
        <v>271</v>
      </c>
      <c r="D187" s="17"/>
      <c r="E187" s="13"/>
      <c r="F187" s="12" t="s">
        <v>272</v>
      </c>
      <c r="G187" s="12"/>
      <c r="H187" s="50"/>
    </row>
    <row r="188" spans="3:13">
      <c r="C188" s="14"/>
      <c r="D188" s="17"/>
      <c r="E188" s="13"/>
      <c r="F188" s="12"/>
      <c r="H188" s="20"/>
    </row>
    <row r="189" spans="3:13">
      <c r="C189" s="41" t="s">
        <v>273</v>
      </c>
      <c r="D189" s="17"/>
      <c r="E189" s="13"/>
      <c r="H189" s="15"/>
    </row>
    <row r="190" spans="3:13">
      <c r="C190" s="30" t="s">
        <v>138</v>
      </c>
      <c r="D190" s="29" t="s">
        <v>139</v>
      </c>
      <c r="E190" s="28" t="s">
        <v>140</v>
      </c>
      <c r="F190" s="27" t="s">
        <v>31</v>
      </c>
      <c r="G190" s="27" t="s">
        <v>141</v>
      </c>
      <c r="H190" s="26" t="s">
        <v>142</v>
      </c>
    </row>
    <row r="191" spans="3:13">
      <c r="C191" s="14" t="s">
        <v>274</v>
      </c>
      <c r="D191" s="49">
        <f>D192/1000000</f>
        <v>0</v>
      </c>
      <c r="E191" s="13"/>
      <c r="F191" s="12" t="s">
        <v>275</v>
      </c>
      <c r="G191" s="1" t="s">
        <v>276</v>
      </c>
      <c r="H191" s="16"/>
    </row>
    <row r="192" spans="3:13">
      <c r="C192" s="14" t="s">
        <v>277</v>
      </c>
      <c r="D192" s="21">
        <f>D185*138699</f>
        <v>0</v>
      </c>
      <c r="E192" s="13"/>
      <c r="F192" s="12" t="s">
        <v>278</v>
      </c>
      <c r="H192" s="16" t="s">
        <v>279</v>
      </c>
    </row>
    <row r="193" spans="3:8">
      <c r="C193" s="14"/>
      <c r="D193" s="48"/>
      <c r="E193" s="13"/>
      <c r="F193" s="12"/>
      <c r="H193" s="16"/>
    </row>
    <row r="194" spans="3:8">
      <c r="C194" s="41" t="s">
        <v>280</v>
      </c>
      <c r="D194" s="17"/>
      <c r="E194" s="13"/>
      <c r="H194" s="15"/>
    </row>
    <row r="195" spans="3:8">
      <c r="C195" s="30" t="s">
        <v>138</v>
      </c>
      <c r="D195" s="29" t="s">
        <v>139</v>
      </c>
      <c r="E195" s="28" t="s">
        <v>140</v>
      </c>
      <c r="F195" s="27" t="s">
        <v>31</v>
      </c>
      <c r="G195" s="27" t="s">
        <v>141</v>
      </c>
      <c r="H195" s="26" t="s">
        <v>142</v>
      </c>
    </row>
    <row r="196" spans="3:8">
      <c r="C196" s="14" t="s">
        <v>281</v>
      </c>
      <c r="D196" s="47"/>
      <c r="E196" s="13" t="s">
        <v>188</v>
      </c>
      <c r="F196" s="12" t="s">
        <v>282</v>
      </c>
      <c r="G196" s="1" t="s">
        <v>283</v>
      </c>
      <c r="H196" s="15"/>
    </row>
    <row r="197" spans="3:8">
      <c r="C197" s="14"/>
      <c r="D197" s="43"/>
      <c r="H197" s="42"/>
    </row>
    <row r="198" spans="3:8">
      <c r="C198" s="41" t="s">
        <v>284</v>
      </c>
      <c r="D198" s="17"/>
      <c r="E198" s="13"/>
      <c r="H198" s="20"/>
    </row>
    <row r="199" spans="3:8">
      <c r="C199" s="30" t="s">
        <v>138</v>
      </c>
      <c r="D199" s="29" t="s">
        <v>139</v>
      </c>
      <c r="E199" s="28" t="s">
        <v>140</v>
      </c>
      <c r="F199" s="27" t="s">
        <v>31</v>
      </c>
      <c r="G199" s="27" t="s">
        <v>141</v>
      </c>
      <c r="H199" s="26" t="s">
        <v>142</v>
      </c>
    </row>
    <row r="200" spans="3:8" ht="15.75" thickBot="1">
      <c r="C200" s="11" t="s">
        <v>285</v>
      </c>
      <c r="D200" s="46" t="e">
        <f>D196/D191</f>
        <v>#DIV/0!</v>
      </c>
      <c r="E200" s="39" t="s">
        <v>83</v>
      </c>
      <c r="F200" s="10" t="s">
        <v>286</v>
      </c>
      <c r="G200" s="9" t="s">
        <v>83</v>
      </c>
      <c r="H200" s="8" t="s">
        <v>287</v>
      </c>
    </row>
    <row r="201" spans="3:8">
      <c r="D201" s="45"/>
      <c r="E201" s="13"/>
      <c r="F201" s="12"/>
      <c r="H201" s="12"/>
    </row>
    <row r="202" spans="3:8" ht="15.75" thickBot="1">
      <c r="C202" s="37"/>
      <c r="D202" s="17"/>
      <c r="E202" s="13"/>
      <c r="F202" s="12"/>
      <c r="H202" s="12"/>
    </row>
    <row r="203" spans="3:8">
      <c r="C203" s="35" t="s">
        <v>288</v>
      </c>
      <c r="D203" s="34"/>
      <c r="E203" s="33"/>
      <c r="F203" s="32"/>
      <c r="G203" s="32"/>
      <c r="H203" s="44"/>
    </row>
    <row r="204" spans="3:8">
      <c r="C204" s="30" t="s">
        <v>138</v>
      </c>
      <c r="D204" s="29" t="s">
        <v>139</v>
      </c>
      <c r="E204" s="28" t="s">
        <v>140</v>
      </c>
      <c r="F204" s="27" t="s">
        <v>31</v>
      </c>
      <c r="G204" s="27" t="s">
        <v>141</v>
      </c>
      <c r="H204" s="26" t="s">
        <v>142</v>
      </c>
    </row>
    <row r="205" spans="3:8">
      <c r="C205" s="14" t="s">
        <v>289</v>
      </c>
      <c r="D205" s="21">
        <f>SUM(D154,D119)</f>
        <v>11754.059599259999</v>
      </c>
      <c r="E205" s="13" t="s">
        <v>77</v>
      </c>
      <c r="F205" s="12" t="s">
        <v>290</v>
      </c>
      <c r="G205" s="1" t="s">
        <v>291</v>
      </c>
      <c r="H205" s="15"/>
    </row>
    <row r="206" spans="3:8">
      <c r="C206" s="14"/>
      <c r="D206" s="43"/>
      <c r="H206" s="42"/>
    </row>
    <row r="207" spans="3:8">
      <c r="C207" s="41" t="s">
        <v>292</v>
      </c>
      <c r="D207" s="17"/>
      <c r="E207" s="13"/>
      <c r="H207" s="15"/>
    </row>
    <row r="208" spans="3:8">
      <c r="C208" s="30" t="s">
        <v>138</v>
      </c>
      <c r="D208" s="29" t="s">
        <v>139</v>
      </c>
      <c r="E208" s="28" t="s">
        <v>140</v>
      </c>
      <c r="F208" s="27" t="s">
        <v>31</v>
      </c>
      <c r="G208" s="27" t="s">
        <v>141</v>
      </c>
      <c r="H208" s="26" t="s">
        <v>142</v>
      </c>
    </row>
    <row r="209" spans="3:8" ht="15.75" thickBot="1">
      <c r="C209" s="11" t="s">
        <v>293</v>
      </c>
      <c r="D209" s="40">
        <f>SUM(D159,D103,D176,D196)</f>
        <v>340615.37</v>
      </c>
      <c r="E209" s="39" t="s">
        <v>43</v>
      </c>
      <c r="F209" s="10" t="s">
        <v>107</v>
      </c>
      <c r="G209" s="9" t="s">
        <v>294</v>
      </c>
      <c r="H209" s="38"/>
    </row>
    <row r="210" spans="3:8" ht="15.75" thickBot="1">
      <c r="C210" s="37"/>
      <c r="D210" s="17"/>
      <c r="E210" s="13"/>
      <c r="F210" s="12"/>
      <c r="H210" s="36"/>
    </row>
    <row r="211" spans="3:8">
      <c r="C211" s="35" t="s">
        <v>295</v>
      </c>
      <c r="D211" s="34"/>
      <c r="E211" s="33"/>
      <c r="F211" s="32"/>
      <c r="G211" s="32"/>
      <c r="H211" s="31"/>
    </row>
    <row r="212" spans="3:8">
      <c r="C212" s="30" t="s">
        <v>138</v>
      </c>
      <c r="D212" s="29" t="s">
        <v>139</v>
      </c>
      <c r="E212" s="28" t="s">
        <v>140</v>
      </c>
      <c r="F212" s="27" t="s">
        <v>31</v>
      </c>
      <c r="G212" s="27" t="s">
        <v>141</v>
      </c>
      <c r="H212" s="26" t="s">
        <v>142</v>
      </c>
    </row>
    <row r="213" spans="3:8">
      <c r="C213" s="14" t="s">
        <v>296</v>
      </c>
      <c r="D213" s="21">
        <f>SUM(D214:D217)</f>
        <v>1202.4307525000002</v>
      </c>
      <c r="E213" s="13"/>
      <c r="F213" s="12" t="s">
        <v>297</v>
      </c>
      <c r="G213" s="12"/>
      <c r="H213" s="20"/>
    </row>
    <row r="214" spans="3:8">
      <c r="C214" s="14" t="s">
        <v>298</v>
      </c>
      <c r="D214" s="21">
        <f>D225*D218</f>
        <v>1054.2786835000002</v>
      </c>
      <c r="E214" s="13"/>
      <c r="F214" s="12" t="s">
        <v>299</v>
      </c>
      <c r="G214" s="1" t="s">
        <v>300</v>
      </c>
      <c r="H214" s="20" t="s">
        <v>171</v>
      </c>
    </row>
    <row r="215" spans="3:8">
      <c r="C215" s="18" t="s">
        <v>301</v>
      </c>
      <c r="D215" s="25">
        <f>D222*D218</f>
        <v>135.98793000000001</v>
      </c>
      <c r="E215" s="24"/>
      <c r="F215" s="12" t="s">
        <v>302</v>
      </c>
      <c r="G215" s="1" t="s">
        <v>300</v>
      </c>
      <c r="H215" s="20" t="s">
        <v>171</v>
      </c>
    </row>
    <row r="216" spans="3:8">
      <c r="C216" s="18" t="s">
        <v>303</v>
      </c>
      <c r="D216" s="25">
        <f>D223*D218</f>
        <v>0</v>
      </c>
      <c r="E216" s="24"/>
      <c r="F216" s="12" t="s">
        <v>304</v>
      </c>
      <c r="H216" s="20"/>
    </row>
    <row r="217" spans="3:8">
      <c r="C217" s="18" t="s">
        <v>305</v>
      </c>
      <c r="D217" s="25">
        <f>D224*D218</f>
        <v>12.164138999999999</v>
      </c>
      <c r="E217" s="24"/>
      <c r="F217" s="12" t="s">
        <v>306</v>
      </c>
      <c r="G217" s="1" t="s">
        <v>300</v>
      </c>
      <c r="H217" s="20"/>
    </row>
    <row r="218" spans="3:8">
      <c r="C218" s="18" t="s">
        <v>307</v>
      </c>
      <c r="D218" s="23">
        <v>5.0000000000000001E-4</v>
      </c>
      <c r="E218" s="22"/>
      <c r="F218" s="12"/>
      <c r="G218" s="1" t="s">
        <v>308</v>
      </c>
      <c r="H218" s="16" t="s">
        <v>309</v>
      </c>
    </row>
    <row r="219" spans="3:8">
      <c r="C219" s="14" t="s">
        <v>98</v>
      </c>
      <c r="D219" s="21">
        <v>763</v>
      </c>
      <c r="E219" s="13" t="s">
        <v>310</v>
      </c>
      <c r="F219" s="12" t="s">
        <v>311</v>
      </c>
      <c r="G219" s="5" t="s">
        <v>312</v>
      </c>
      <c r="H219" s="16" t="s">
        <v>313</v>
      </c>
    </row>
    <row r="220" spans="3:8">
      <c r="C220" s="18" t="s">
        <v>314</v>
      </c>
      <c r="D220" s="17">
        <f>D107/1000</f>
        <v>2763.509</v>
      </c>
      <c r="E220" s="13"/>
      <c r="F220" s="12" t="s">
        <v>315</v>
      </c>
      <c r="H220" s="20"/>
    </row>
    <row r="221" spans="3:8">
      <c r="C221" s="18" t="s">
        <v>316</v>
      </c>
      <c r="D221" s="19">
        <f>0.293</f>
        <v>0.29299999999999998</v>
      </c>
      <c r="E221" s="13"/>
      <c r="F221" s="12" t="s">
        <v>317</v>
      </c>
      <c r="G221" s="1" t="s">
        <v>318</v>
      </c>
      <c r="H221" s="16" t="s">
        <v>319</v>
      </c>
    </row>
    <row r="222" spans="3:8">
      <c r="C222" s="18" t="s">
        <v>320</v>
      </c>
      <c r="D222" s="17">
        <f>F222*D154</f>
        <v>271975.86</v>
      </c>
      <c r="E222" s="13"/>
      <c r="F222" s="13">
        <v>117</v>
      </c>
      <c r="G222" s="1" t="s">
        <v>321</v>
      </c>
      <c r="H222" s="16" t="s">
        <v>322</v>
      </c>
    </row>
    <row r="223" spans="3:8">
      <c r="C223" s="18" t="s">
        <v>323</v>
      </c>
      <c r="D223" s="17">
        <f>F223*D191</f>
        <v>0</v>
      </c>
      <c r="E223" s="13"/>
      <c r="F223" s="13">
        <v>117</v>
      </c>
      <c r="G223" s="1" t="s">
        <v>324</v>
      </c>
      <c r="H223" s="16"/>
    </row>
    <row r="224" spans="3:8">
      <c r="C224" s="14" t="s">
        <v>325</v>
      </c>
      <c r="D224" s="17">
        <f>F224*D171</f>
        <v>24328.277999999998</v>
      </c>
      <c r="E224" s="13"/>
      <c r="F224" s="13">
        <v>117</v>
      </c>
      <c r="G224" s="1" t="s">
        <v>326</v>
      </c>
      <c r="H224" s="16" t="s">
        <v>322</v>
      </c>
    </row>
    <row r="225" spans="3:8">
      <c r="C225" s="14" t="s">
        <v>327</v>
      </c>
      <c r="D225" s="13">
        <f>D220*D219</f>
        <v>2108557.3670000001</v>
      </c>
      <c r="E225" s="13"/>
      <c r="F225" s="12" t="s">
        <v>328</v>
      </c>
      <c r="H225" s="15" t="s">
        <v>329</v>
      </c>
    </row>
    <row r="226" spans="3:8">
      <c r="C226" s="14" t="s">
        <v>330</v>
      </c>
      <c r="D226" s="13">
        <v>3.1489999999999997E-2</v>
      </c>
      <c r="E226" s="13"/>
      <c r="F226" s="12"/>
      <c r="G226" s="1" t="s">
        <v>331</v>
      </c>
      <c r="H226" s="6" t="s">
        <v>332</v>
      </c>
    </row>
    <row r="227" spans="3:8" ht="15.75" thickBot="1">
      <c r="C227" s="11"/>
      <c r="D227" s="9"/>
      <c r="E227" s="9"/>
      <c r="F227" s="10"/>
      <c r="G227" s="9"/>
      <c r="H227" s="8" t="s">
        <v>329</v>
      </c>
    </row>
    <row r="229" spans="3:8">
      <c r="D229" s="7"/>
      <c r="E229" s="7"/>
    </row>
    <row r="230" spans="3:8">
      <c r="H230" s="6"/>
    </row>
  </sheetData>
  <hyperlinks>
    <hyperlink ref="H219" r:id="rId1" xr:uid="{9187462E-5129-43BB-8993-9419E66A95AF}"/>
    <hyperlink ref="H218" r:id="rId2" location="q=lbs+to+ton&amp;*" xr:uid="{A9288A32-1094-400D-93F2-325713B786A6}"/>
    <hyperlink ref="H221" r:id="rId3" location="q=mmbtu+to+mwh&amp;*" xr:uid="{619ED368-0F85-4372-B5D6-BFC96F0AFDDF}"/>
    <hyperlink ref="G4" r:id="rId4" xr:uid="{2F057155-0969-4E0A-866E-C81799A193CA}"/>
    <hyperlink ref="H222" r:id="rId5" xr:uid="{7C99D961-84BD-4986-AACD-67F6AC335730}"/>
    <hyperlink ref="H224" r:id="rId6" xr:uid="{E974CC68-7BCA-4008-8D71-C1E373B90972}"/>
    <hyperlink ref="G3" r:id="rId7" xr:uid="{55877507-CBB5-4E35-9027-146DE612249D}"/>
    <hyperlink ref="H155" r:id="rId8" xr:uid="{27B068FC-D206-47E6-86DC-D0D601A09887}"/>
    <hyperlink ref="H34" r:id="rId9" xr:uid="{5D308EFB-7BCC-4B80-AD01-0428AB9D6EC3}"/>
    <hyperlink ref="H39" r:id="rId10" xr:uid="{17E7B8D2-FCFB-4873-A2D9-4604C17AA31C}"/>
    <hyperlink ref="H172" r:id="rId11" xr:uid="{EC2E5059-491A-4063-BB23-8AFA07B5A4DE}"/>
    <hyperlink ref="H226" r:id="rId12" xr:uid="{525F71D7-46AF-4F0E-8956-579F7DEE7AD4}"/>
    <hyperlink ref="H192" r:id="rId13" xr:uid="{43BBED10-2B74-4B3E-977D-FF09E98F43A0}"/>
  </hyperlinks>
  <pageMargins left="0.7" right="0.7" top="0.75" bottom="0.75" header="0.3" footer="0.3"/>
  <pageSetup paperSize="9" orientation="portrait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1368-8DB7-4BA3-A9EE-18C672D866CE}">
  <dimension ref="D2:T13"/>
  <sheetViews>
    <sheetView zoomScale="126" workbookViewId="0">
      <selection activeCell="H24" sqref="H24"/>
    </sheetView>
  </sheetViews>
  <sheetFormatPr defaultColWidth="9" defaultRowHeight="15"/>
  <cols>
    <col min="1" max="3" width="9" style="1"/>
    <col min="4" max="4" width="20.28515625" style="1" customWidth="1"/>
    <col min="5" max="5" width="21.28515625" style="1" customWidth="1"/>
    <col min="6" max="6" width="10.7109375" style="1" customWidth="1"/>
    <col min="7" max="7" width="14.85546875" style="1" bestFit="1" customWidth="1"/>
    <col min="8" max="8" width="16" style="1" customWidth="1"/>
    <col min="9" max="9" width="13.140625" style="1" customWidth="1"/>
    <col min="10" max="16384" width="9" style="1"/>
  </cols>
  <sheetData>
    <row r="2" spans="4:20" ht="16.5" thickBot="1"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  <c r="R2" s="2"/>
      <c r="S2" s="2"/>
      <c r="T2" s="2"/>
    </row>
    <row r="3" spans="4:20" ht="16.5" thickBot="1">
      <c r="D3" s="2"/>
      <c r="E3" s="137" t="s">
        <v>333</v>
      </c>
      <c r="F3" s="138" t="s">
        <v>334</v>
      </c>
      <c r="G3" s="138" t="s">
        <v>335</v>
      </c>
      <c r="H3" s="138" t="s">
        <v>336</v>
      </c>
      <c r="I3" s="138" t="s">
        <v>337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4:20" ht="16.5" thickBot="1">
      <c r="D4" s="2"/>
      <c r="E4" s="183" t="s">
        <v>338</v>
      </c>
      <c r="F4" s="140">
        <v>93</v>
      </c>
      <c r="G4" s="140">
        <v>5</v>
      </c>
      <c r="H4" s="183">
        <v>577</v>
      </c>
      <c r="I4" s="185">
        <v>0.61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4:20" ht="16.5" thickBot="1">
      <c r="D5" s="2"/>
      <c r="E5" s="184"/>
      <c r="F5" s="140">
        <v>56</v>
      </c>
      <c r="G5" s="140">
        <v>2</v>
      </c>
      <c r="H5" s="184"/>
      <c r="I5" s="186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4:20" ht="16.5" thickBot="1">
      <c r="D6" s="2"/>
      <c r="E6" s="139" t="s">
        <v>339</v>
      </c>
      <c r="F6" s="140">
        <v>25</v>
      </c>
      <c r="G6" s="140">
        <v>7</v>
      </c>
      <c r="H6" s="140">
        <v>175</v>
      </c>
      <c r="I6" s="167">
        <v>0.18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4:20" ht="16.5" thickBot="1">
      <c r="D7" s="2"/>
      <c r="E7" s="139" t="s">
        <v>340</v>
      </c>
      <c r="F7" s="140">
        <v>50</v>
      </c>
      <c r="G7" s="140">
        <v>4</v>
      </c>
      <c r="H7" s="140">
        <v>200</v>
      </c>
      <c r="I7" s="141">
        <v>0.21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4:20" ht="16.5" thickBot="1">
      <c r="D8" s="2"/>
      <c r="E8" s="139" t="s">
        <v>23</v>
      </c>
      <c r="F8" s="166"/>
      <c r="G8" s="140">
        <v>18</v>
      </c>
      <c r="H8" s="140">
        <v>952</v>
      </c>
      <c r="I8" s="141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4:20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4:20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4:20">
      <c r="D11" s="2"/>
      <c r="E11" s="2"/>
      <c r="F11" s="2"/>
      <c r="G11" s="2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4:20" ht="15.75">
      <c r="D12" s="136"/>
      <c r="E12"/>
      <c r="F12"/>
      <c r="G12"/>
      <c r="H1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4:20" ht="15.75">
      <c r="D13" s="142"/>
      <c r="E13"/>
      <c r="F13"/>
      <c r="G13"/>
      <c r="H13"/>
    </row>
  </sheetData>
  <mergeCells count="3">
    <mergeCell ref="E4:E5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Asif F Chowdhury</dc:creator>
  <cp:keywords/>
  <dc:description/>
  <cp:lastModifiedBy>Mona Mansouri</cp:lastModifiedBy>
  <cp:revision/>
  <dcterms:created xsi:type="dcterms:W3CDTF">2024-03-25T19:50:44Z</dcterms:created>
  <dcterms:modified xsi:type="dcterms:W3CDTF">2025-04-18T18:21:12Z</dcterms:modified>
  <cp:category/>
  <cp:contentStatus/>
</cp:coreProperties>
</file>