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https://lsumail2-my.sharepoint.com/personal/chaowang_lsu_edu/Documents/LSU-IAC/00-FY 2024/Manufacturing Facility/LS2508 - Digital Machining/Draft Report/"/>
    </mc:Choice>
  </mc:AlternateContent>
  <xr:revisionPtr revIDLastSave="1239" documentId="13_ncr:1_{51635C0A-D15A-4CDE-BEC1-F67184623043}" xr6:coauthVersionLast="47" xr6:coauthVersionMax="47" xr10:uidLastSave="{6D6A6188-1F9E-4D07-BCF0-94E62C9E480B}"/>
  <bookViews>
    <workbookView xWindow="28680" yWindow="-120" windowWidth="29040" windowHeight="15720" firstSheet="2" activeTab="3" xr2:uid="{00000000-000D-0000-FFFF-FFFF00000000}"/>
  </bookViews>
  <sheets>
    <sheet name="Electricity Main" sheetId="11" r:id="rId1"/>
    <sheet name="Section 1" sheetId="6" r:id="rId2"/>
    <sheet name="AR summary" sheetId="7" r:id="rId3"/>
    <sheet name="Section 2 (2)" sheetId="10" r:id="rId4"/>
    <sheet name="Energy Consumption" sheetId="8" r:id="rId5"/>
  </sheets>
  <definedNames>
    <definedName name="_Hlk187572351" localSheetId="2">'AR summary'!$C$39</definedName>
    <definedName name="_Ref105621187" localSheetId="3">'Section 2 (2)'!$D$11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" i="10" l="1"/>
  <c r="I14" i="10"/>
  <c r="H26" i="10"/>
  <c r="G28" i="10"/>
  <c r="F28" i="10"/>
  <c r="H27" i="10"/>
  <c r="H18" i="10"/>
  <c r="H19" i="10"/>
  <c r="H20" i="10"/>
  <c r="H21" i="10"/>
  <c r="H22" i="10"/>
  <c r="H23" i="10"/>
  <c r="H24" i="10"/>
  <c r="H25" i="10"/>
  <c r="H15" i="10"/>
  <c r="H16" i="10"/>
  <c r="H17" i="10"/>
  <c r="H14" i="10"/>
  <c r="L8" i="7"/>
  <c r="H28" i="10" l="1"/>
  <c r="I27" i="10"/>
  <c r="K13" i="7"/>
  <c r="C8" i="7"/>
  <c r="M13" i="7"/>
  <c r="L13" i="7"/>
  <c r="L9" i="7"/>
  <c r="N12" i="7"/>
  <c r="N10" i="7"/>
  <c r="N9" i="7"/>
  <c r="N8" i="7"/>
  <c r="N7" i="7"/>
  <c r="N6" i="7"/>
  <c r="N5" i="7"/>
  <c r="D28" i="6"/>
  <c r="D27" i="6"/>
  <c r="D30" i="6"/>
  <c r="D112" i="6"/>
  <c r="F10" i="6"/>
  <c r="B22" i="11"/>
  <c r="D87" i="6"/>
  <c r="D29" i="6"/>
  <c r="M11" i="7"/>
  <c r="L11" i="7"/>
  <c r="K11" i="7"/>
  <c r="N11" i="7" s="1"/>
  <c r="J11" i="7"/>
  <c r="H11" i="7"/>
  <c r="I11" i="7"/>
  <c r="F11" i="7"/>
  <c r="E11" i="7"/>
  <c r="C11" i="7"/>
  <c r="B23" i="11"/>
  <c r="B19" i="11"/>
  <c r="E3" i="11"/>
  <c r="P2" i="11" s="1"/>
  <c r="Q2" i="11" s="1"/>
  <c r="I18" i="10" l="1"/>
  <c r="I26" i="10"/>
  <c r="I21" i="10"/>
  <c r="I20" i="10"/>
  <c r="I24" i="10"/>
  <c r="E10" i="11"/>
  <c r="D224" i="6"/>
  <c r="D217" i="6" s="1"/>
  <c r="M12" i="7"/>
  <c r="L12" i="7"/>
  <c r="K12" i="7"/>
  <c r="F12" i="7"/>
  <c r="E12" i="7"/>
  <c r="C12" i="7"/>
  <c r="M10" i="7"/>
  <c r="L10" i="7"/>
  <c r="K10" i="7"/>
  <c r="F10" i="7"/>
  <c r="E10" i="7"/>
  <c r="C10" i="7"/>
  <c r="M8" i="7"/>
  <c r="K9" i="7"/>
  <c r="F9" i="7"/>
  <c r="E9" i="7"/>
  <c r="C9" i="7"/>
  <c r="K8" i="7"/>
  <c r="F8" i="7"/>
  <c r="E8" i="7"/>
  <c r="M7" i="7"/>
  <c r="L7" i="7"/>
  <c r="K7" i="7"/>
  <c r="F7" i="7"/>
  <c r="E7" i="7"/>
  <c r="C7" i="7"/>
  <c r="M6" i="7"/>
  <c r="K6" i="7"/>
  <c r="C6" i="7"/>
  <c r="M5" i="7"/>
  <c r="L5" i="7"/>
  <c r="K5" i="7"/>
  <c r="F5" i="7"/>
  <c r="E5" i="7"/>
  <c r="H7" i="10"/>
  <c r="H6" i="10"/>
  <c r="H5" i="10"/>
  <c r="H4" i="10"/>
  <c r="D9" i="6"/>
  <c r="D7" i="6"/>
  <c r="F4" i="6"/>
  <c r="D4" i="6"/>
  <c r="B18" i="11"/>
  <c r="D108" i="6" s="1"/>
  <c r="B17" i="11"/>
  <c r="D130" i="6" s="1"/>
  <c r="B16" i="11"/>
  <c r="B15" i="11"/>
  <c r="B14" i="11"/>
  <c r="M3" i="11"/>
  <c r="M10" i="11" s="1"/>
  <c r="L3" i="11"/>
  <c r="L10" i="11" s="1"/>
  <c r="K3" i="11"/>
  <c r="K10" i="11" s="1"/>
  <c r="J3" i="11"/>
  <c r="J10" i="11" s="1"/>
  <c r="I3" i="11"/>
  <c r="I10" i="11" s="1"/>
  <c r="H3" i="11"/>
  <c r="H10" i="11" s="1"/>
  <c r="G3" i="11"/>
  <c r="G10" i="11" s="1"/>
  <c r="F3" i="11"/>
  <c r="D3" i="11"/>
  <c r="C3" i="11"/>
  <c r="C10" i="11" s="1"/>
  <c r="B3" i="11"/>
  <c r="B10" i="11" s="1"/>
  <c r="L2" i="11"/>
  <c r="K2" i="11" s="1"/>
  <c r="J2" i="11" s="1"/>
  <c r="I2" i="11" s="1"/>
  <c r="H2" i="11" s="1"/>
  <c r="G2" i="11" s="1"/>
  <c r="F2" i="11" s="1"/>
  <c r="E2" i="11" s="1"/>
  <c r="D2" i="11" s="1"/>
  <c r="C2" i="11" s="1"/>
  <c r="B2" i="11" s="1"/>
  <c r="G13" i="7"/>
  <c r="H13" i="7"/>
  <c r="I13" i="7"/>
  <c r="J13" i="7"/>
  <c r="I28" i="10" l="1"/>
  <c r="N13" i="7"/>
  <c r="B13" i="11"/>
  <c r="F10" i="11"/>
  <c r="P4" i="11"/>
  <c r="D10" i="11"/>
  <c r="D135" i="6"/>
  <c r="D104" i="6" s="1"/>
  <c r="H15" i="7" l="1"/>
  <c r="D20" i="6"/>
  <c r="C5" i="7"/>
  <c r="F13" i="7" l="1"/>
  <c r="F8" i="10"/>
  <c r="G8" i="10"/>
  <c r="H8" i="10"/>
  <c r="E13" i="7" l="1"/>
  <c r="I7" i="10"/>
  <c r="I6" i="10"/>
  <c r="I5" i="10"/>
  <c r="D10" i="6"/>
  <c r="F8" i="8"/>
  <c r="F7" i="8"/>
  <c r="F5" i="8"/>
  <c r="F6" i="8"/>
  <c r="F4" i="8"/>
  <c r="F3" i="8"/>
  <c r="F14" i="6"/>
  <c r="D120" i="6"/>
  <c r="D15" i="6" s="1"/>
  <c r="E9" i="8"/>
  <c r="D9" i="8"/>
  <c r="D222" i="6"/>
  <c r="D186" i="6"/>
  <c r="L179" i="6"/>
  <c r="M179" i="6" s="1"/>
  <c r="D225" i="6"/>
  <c r="D218" i="6" s="1"/>
  <c r="F18" i="6"/>
  <c r="D139" i="6"/>
  <c r="G16" i="6" s="1"/>
  <c r="D129" i="6"/>
  <c r="D121" i="6"/>
  <c r="L84" i="6"/>
  <c r="M84" i="6" s="1"/>
  <c r="L83" i="6"/>
  <c r="M83" i="6" s="1"/>
  <c r="D67" i="6"/>
  <c r="K52" i="6"/>
  <c r="G21" i="6"/>
  <c r="F20" i="6"/>
  <c r="F19" i="6"/>
  <c r="F17" i="6"/>
  <c r="F16" i="6"/>
  <c r="J11" i="6"/>
  <c r="K11" i="6" s="1"/>
  <c r="K10" i="6"/>
  <c r="J10" i="6"/>
  <c r="D8" i="6"/>
  <c r="F6" i="6"/>
  <c r="D6" i="6"/>
  <c r="F5" i="6"/>
  <c r="D5" i="6"/>
  <c r="I8" i="10" l="1"/>
  <c r="F9" i="8"/>
  <c r="G8" i="8" s="1"/>
  <c r="G27" i="6"/>
  <c r="D210" i="6"/>
  <c r="F9" i="6" s="1"/>
  <c r="D125" i="6"/>
  <c r="G14" i="6" s="1"/>
  <c r="D14" i="6"/>
  <c r="D16" i="6"/>
  <c r="G20" i="6"/>
  <c r="D147" i="6"/>
  <c r="G17" i="6" s="1"/>
  <c r="D221" i="6"/>
  <c r="D226" i="6" s="1"/>
  <c r="D215" i="6" s="1"/>
  <c r="F7" i="6"/>
  <c r="D206" i="6"/>
  <c r="D77" i="6" s="1"/>
  <c r="F8" i="6" s="1"/>
  <c r="F25" i="6"/>
  <c r="F24" i="6"/>
  <c r="D19" i="6"/>
  <c r="G19" i="6"/>
  <c r="D164" i="6"/>
  <c r="G18" i="6" s="1"/>
  <c r="D223" i="6"/>
  <c r="D216" i="6" s="1"/>
  <c r="D18" i="6"/>
  <c r="D24" i="6" l="1"/>
  <c r="K15" i="7"/>
  <c r="G6" i="8"/>
  <c r="G7" i="8"/>
  <c r="G4" i="8"/>
  <c r="G5" i="8"/>
  <c r="G3" i="8"/>
  <c r="D214" i="6"/>
  <c r="L15" i="7"/>
  <c r="G9" i="8" l="1"/>
</calcChain>
</file>

<file path=xl/sharedStrings.xml><?xml version="1.0" encoding="utf-8"?>
<sst xmlns="http://schemas.openxmlformats.org/spreadsheetml/2006/main" count="760" uniqueCount="364">
  <si>
    <t>Acct. #: 2046320600</t>
  </si>
  <si>
    <t>Total Charge ($)</t>
  </si>
  <si>
    <t>Demand Charge ($)</t>
  </si>
  <si>
    <t>PCA Charge ($)</t>
  </si>
  <si>
    <t>Energy Charge ($)</t>
  </si>
  <si>
    <t>Demand Usage (kW)</t>
  </si>
  <si>
    <t>PCA ($/kWh)</t>
  </si>
  <si>
    <t>kWh Usage</t>
  </si>
  <si>
    <t>Monthly Energy Cost ($)</t>
  </si>
  <si>
    <t>Net Total</t>
  </si>
  <si>
    <t>Net Total Charge ($)</t>
  </si>
  <si>
    <t>Net Demand Charge ($)</t>
  </si>
  <si>
    <t>Net PCA Charge ($)</t>
  </si>
  <si>
    <t>Net Energy Charge ($)</t>
  </si>
  <si>
    <t>Net Demand Usage (kW)</t>
  </si>
  <si>
    <t>Net kWh Usage</t>
  </si>
  <si>
    <t>Net Energy Cost ($)</t>
  </si>
  <si>
    <t>Unit Rate</t>
  </si>
  <si>
    <t>$/kWh</t>
  </si>
  <si>
    <t>$/kW</t>
  </si>
  <si>
    <t>1.1 General Information</t>
  </si>
  <si>
    <t>https://en.wikipedia.org/wiki/Standard_Industrial_Classification</t>
  </si>
  <si>
    <t>SIC No</t>
  </si>
  <si>
    <t>NAICS</t>
  </si>
  <si>
    <t>https://www.census.gov/eos/www/naics/2017NAICS/2017_NAICS_Manual.pdf</t>
  </si>
  <si>
    <t>p.116</t>
  </si>
  <si>
    <t>Assessment Day</t>
  </si>
  <si>
    <t>Annual Production</t>
  </si>
  <si>
    <t>parts/yr</t>
  </si>
  <si>
    <t>Location</t>
  </si>
  <si>
    <t>Annual Sales</t>
  </si>
  <si>
    <t>$</t>
  </si>
  <si>
    <t>No of Emp</t>
  </si>
  <si>
    <t>Value / Finished product</t>
  </si>
  <si>
    <t>$/unti</t>
  </si>
  <si>
    <t>Total Facility Area</t>
  </si>
  <si>
    <t>Total Energy Usage</t>
  </si>
  <si>
    <t>MMbtu/yr</t>
  </si>
  <si>
    <t>Principal Product</t>
  </si>
  <si>
    <t>Total Energy Cost</t>
  </si>
  <si>
    <t>$/yr</t>
  </si>
  <si>
    <t>Operation Hours</t>
  </si>
  <si>
    <t>No of Ars</t>
  </si>
  <si>
    <t>Table 1-1</t>
  </si>
  <si>
    <t>Energy Type</t>
  </si>
  <si>
    <t>Usage</t>
  </si>
  <si>
    <t>Cost</t>
  </si>
  <si>
    <t>Unit Cost</t>
  </si>
  <si>
    <t>Electricity Energy</t>
  </si>
  <si>
    <t>kWh/year</t>
  </si>
  <si>
    <t>MMBTU/year</t>
  </si>
  <si>
    <t>Electricity Demand</t>
  </si>
  <si>
    <t>kW/yr</t>
  </si>
  <si>
    <t>Other Energy Fees</t>
  </si>
  <si>
    <t>N/A</t>
  </si>
  <si>
    <t>Natural Gas</t>
  </si>
  <si>
    <t>$/MMbtu</t>
  </si>
  <si>
    <t>Landfill Gas</t>
  </si>
  <si>
    <t>Propane Gas</t>
  </si>
  <si>
    <t>http://weldfabulous.com/80-cu-ft-75-argon-25-co2-welding-gas-cylinder-tank-cga-580-full/?CAWELAID=320010420000433722&amp;CATARGETID=320010420059820221&amp;cadevice=c&amp;gclid=CjwKCAiA_ZTfBRBjEiwAN6YG4R4gbq6-c-_9p6vOZ-snF5SztrtqjdjCTdMDHhD-HtPP6oOIFY5MOxoCrIYQAvD_BwE</t>
  </si>
  <si>
    <t>Water</t>
  </si>
  <si>
    <t>Tgal/yr</t>
  </si>
  <si>
    <t>$/Tgal</t>
  </si>
  <si>
    <t>Sewage</t>
  </si>
  <si>
    <t>MMBtu Totals</t>
  </si>
  <si>
    <t>Table 1-2</t>
  </si>
  <si>
    <t>Electricity</t>
  </si>
  <si>
    <t>Tons CO2/year</t>
  </si>
  <si>
    <t>Total</t>
  </si>
  <si>
    <t>SIC Code</t>
  </si>
  <si>
    <t>Parameter</t>
  </si>
  <si>
    <t>Value</t>
  </si>
  <si>
    <t>Unit</t>
  </si>
  <si>
    <t>Description</t>
  </si>
  <si>
    <t>Justification for Value</t>
  </si>
  <si>
    <t>Reference</t>
  </si>
  <si>
    <t>ok</t>
  </si>
  <si>
    <t xml:space="preserve">SIC </t>
  </si>
  <si>
    <t>SIC Code for Facility</t>
  </si>
  <si>
    <t>https://iac.university/assessment/SF0460</t>
  </si>
  <si>
    <t>NAIC Code</t>
  </si>
  <si>
    <t>NAIC</t>
  </si>
  <si>
    <t>NAIC Code for Facility</t>
  </si>
  <si>
    <t>Assessment Date</t>
  </si>
  <si>
    <t>Date</t>
  </si>
  <si>
    <t>Date of Assessment</t>
  </si>
  <si>
    <t>Documented the day of assessment</t>
  </si>
  <si>
    <t>Ann Pro</t>
  </si>
  <si>
    <t>lbs</t>
  </si>
  <si>
    <t>Facility Annual Production</t>
  </si>
  <si>
    <t>35 unit/wk</t>
  </si>
  <si>
    <t>#1</t>
  </si>
  <si>
    <t>Duson, LA</t>
  </si>
  <si>
    <t>Facility Location</t>
  </si>
  <si>
    <t># Employees</t>
  </si>
  <si>
    <t>Empl #</t>
  </si>
  <si>
    <t>Number of People Employed</t>
  </si>
  <si>
    <t>Ann Sales</t>
  </si>
  <si>
    <t>USD</t>
  </si>
  <si>
    <t>Facility Annual Sales</t>
  </si>
  <si>
    <t>Value Per Product</t>
  </si>
  <si>
    <t>V/P</t>
  </si>
  <si>
    <t>Value Per Finished Product</t>
  </si>
  <si>
    <t>Annual Sales/ Annual Production</t>
  </si>
  <si>
    <t>#4</t>
  </si>
  <si>
    <t>Facility Area</t>
  </si>
  <si>
    <t>total ft2</t>
  </si>
  <si>
    <t>ft^2</t>
  </si>
  <si>
    <t>1086*700</t>
  </si>
  <si>
    <t>acres</t>
  </si>
  <si>
    <t>ft2/acre</t>
  </si>
  <si>
    <t>Amount of square feet in one acre</t>
  </si>
  <si>
    <t>Total Energy Use</t>
  </si>
  <si>
    <t>Total MMBTU Use</t>
  </si>
  <si>
    <t>MMBTU</t>
  </si>
  <si>
    <t>Total Energy use in facility</t>
  </si>
  <si>
    <t>Electricity + Diesel + Natural Gas Usage</t>
  </si>
  <si>
    <t>Principle Prod</t>
  </si>
  <si>
    <t>Princ Prod</t>
  </si>
  <si>
    <t>Precision CNC Machined Parts</t>
  </si>
  <si>
    <t>Facility Principle Product</t>
  </si>
  <si>
    <t>Total E Cost</t>
  </si>
  <si>
    <t>$/year</t>
  </si>
  <si>
    <t>Total Energy cost in facility</t>
  </si>
  <si>
    <t>Electricity + Diesel + Gas Cost</t>
  </si>
  <si>
    <t>Op H</t>
  </si>
  <si>
    <t>Annual Operation Hours</t>
  </si>
  <si>
    <t>#Hours*#days*#Annual Weeks</t>
  </si>
  <si>
    <r>
      <t>H</t>
    </r>
    <r>
      <rPr>
        <sz val="8"/>
        <color theme="1"/>
        <rFont val="Calibri"/>
        <family val="2"/>
        <scheme val="minor"/>
      </rPr>
      <t>wD</t>
    </r>
  </si>
  <si>
    <t>Hours in one work day</t>
  </si>
  <si>
    <t>Two 12 Hour Shifts</t>
  </si>
  <si>
    <r>
      <t>D</t>
    </r>
    <r>
      <rPr>
        <sz val="10"/>
        <color theme="1"/>
        <rFont val="Calibri"/>
        <family val="2"/>
        <scheme val="minor"/>
      </rPr>
      <t>wD</t>
    </r>
  </si>
  <si>
    <t>Days In work week</t>
  </si>
  <si>
    <t>Everyday</t>
  </si>
  <si>
    <r>
      <t>W</t>
    </r>
    <r>
      <rPr>
        <sz val="8"/>
        <color theme="1"/>
        <rFont val="Calibri"/>
        <family val="2"/>
        <scheme val="minor"/>
      </rPr>
      <t>y</t>
    </r>
  </si>
  <si>
    <t>Week in one year</t>
  </si>
  <si>
    <t xml:space="preserve">Common Knowledge </t>
  </si>
  <si>
    <t>DwY</t>
  </si>
  <si>
    <t>-</t>
  </si>
  <si>
    <t>Days In work year</t>
  </si>
  <si>
    <t># ARs</t>
  </si>
  <si>
    <t>AR#</t>
  </si>
  <si>
    <t>Number of Assessment Recommendations</t>
  </si>
  <si>
    <t>Total Recommendations in Report</t>
  </si>
  <si>
    <t>Total Elec Cost</t>
  </si>
  <si>
    <t>total cost</t>
  </si>
  <si>
    <t>See Elec Spreadsheet</t>
  </si>
  <si>
    <t>Elec Energy Use</t>
  </si>
  <si>
    <t>EKwh</t>
  </si>
  <si>
    <t>kWH</t>
  </si>
  <si>
    <t>Elec Energy Charge</t>
  </si>
  <si>
    <t>ECost</t>
  </si>
  <si>
    <t>Late Payment</t>
  </si>
  <si>
    <t>CCost</t>
  </si>
  <si>
    <t>Elec Use In MMBTU</t>
  </si>
  <si>
    <t>EBTU</t>
  </si>
  <si>
    <t>Total Electricity Use In MMBTU</t>
  </si>
  <si>
    <t>Conversion Factor</t>
  </si>
  <si>
    <t>MMBTU/kWh</t>
  </si>
  <si>
    <t>mmbtu = btu *10^6</t>
  </si>
  <si>
    <t>https://www.google.com/webhp?sourceid=chrome-instant&amp;ion=1&amp;espv=2&amp;ie=UTF-8#q=1+kwh+to+mmbtu&amp;*</t>
  </si>
  <si>
    <t>1kwh = 3412.14 btu &amp; 1kwh = 0.00341214 MMbtu</t>
  </si>
  <si>
    <t>Eunit</t>
  </si>
  <si>
    <t>Unit Cost Of Electricity</t>
  </si>
  <si>
    <t>$/KWH same formula was used DOE report. Colorado and Alabama Report</t>
  </si>
  <si>
    <t>#2  #6 #7</t>
  </si>
  <si>
    <t>Elec Demand</t>
  </si>
  <si>
    <t>Avg Demand / month</t>
  </si>
  <si>
    <t>kW</t>
  </si>
  <si>
    <t>Avg Demand</t>
  </si>
  <si>
    <t>Total Demand / yr</t>
  </si>
  <si>
    <t>sum for a year</t>
  </si>
  <si>
    <t>Months</t>
  </si>
  <si>
    <t>Demand Charge</t>
  </si>
  <si>
    <t>DC</t>
  </si>
  <si>
    <t>Other Elec Fees (tax)</t>
  </si>
  <si>
    <t>TOTAL</t>
  </si>
  <si>
    <t>Total State Tax</t>
  </si>
  <si>
    <t>TSI Rate</t>
  </si>
  <si>
    <t xml:space="preserve"> Average TSI Rate</t>
  </si>
  <si>
    <t>#2</t>
  </si>
  <si>
    <t>N Gas Use</t>
  </si>
  <si>
    <t>GCCF</t>
  </si>
  <si>
    <t>CCF</t>
  </si>
  <si>
    <t>Total Gas Usage</t>
  </si>
  <si>
    <t>N Gas in MMBTU</t>
  </si>
  <si>
    <t>GBTU</t>
  </si>
  <si>
    <t>Total Natural Gas USE In MMBTU</t>
  </si>
  <si>
    <t>Estimated from similar facility (Lula)</t>
  </si>
  <si>
    <t>G2B</t>
  </si>
  <si>
    <t>MMBTU/CCF</t>
  </si>
  <si>
    <t>Amount of MMBTU in one ccf</t>
  </si>
  <si>
    <t>one Ccf = 103,200 Btu = 0.1032 mmbtu</t>
  </si>
  <si>
    <t>https://www.eia.gov/tools/faqs/faq.cfm?id=45&amp;t=8</t>
  </si>
  <si>
    <t>Gas Cost</t>
  </si>
  <si>
    <t>GCost</t>
  </si>
  <si>
    <t>Total Natural Gas Cost</t>
  </si>
  <si>
    <t>Unit Cost of gas</t>
  </si>
  <si>
    <t>Gunit</t>
  </si>
  <si>
    <t>$/MMBTU</t>
  </si>
  <si>
    <t>Unit cost of Natural Gas</t>
  </si>
  <si>
    <t>Nitrogen Gas Use</t>
  </si>
  <si>
    <t>Propane Gas in MMBTU</t>
  </si>
  <si>
    <t>Total Welding Gas Cost</t>
  </si>
  <si>
    <t>Dgal</t>
  </si>
  <si>
    <t>Email from client</t>
  </si>
  <si>
    <t xml:space="preserve">diesel usage in gallons (per year or per month)? 12,000 gallons per month </t>
  </si>
  <si>
    <t>$/Gal</t>
  </si>
  <si>
    <t>Dcost/yr</t>
  </si>
  <si>
    <t>Pre-assessment form</t>
  </si>
  <si>
    <t>Landfill Gas Use</t>
  </si>
  <si>
    <t>LGMMBTU</t>
  </si>
  <si>
    <t>Total Diesel USE In MMBTU</t>
  </si>
  <si>
    <t>1 mmbtu =1,000,000 btu</t>
  </si>
  <si>
    <t>D2B</t>
  </si>
  <si>
    <t>Amount of diesel in one Btu</t>
  </si>
  <si>
    <t>https://www.eia.gov/energyexplained/index.cfm/index.cfm?page=about_btu</t>
  </si>
  <si>
    <t>Landfill Cost</t>
  </si>
  <si>
    <t>LGCost</t>
  </si>
  <si>
    <t>Total Diesel Cost</t>
  </si>
  <si>
    <t>Client gave us this monthly cost</t>
  </si>
  <si>
    <t>Unit Cost of LG</t>
  </si>
  <si>
    <t>LGunit</t>
  </si>
  <si>
    <t>Unit cost of Diesel</t>
  </si>
  <si>
    <t>#2 #6</t>
  </si>
  <si>
    <t>Energy Use in MMbtu</t>
  </si>
  <si>
    <t>NRGU</t>
  </si>
  <si>
    <t>Total Energy Use In MMBTU</t>
  </si>
  <si>
    <t>EBTU+GBTU+DMMBTU</t>
  </si>
  <si>
    <t>Energy Cost</t>
  </si>
  <si>
    <t>NRGC</t>
  </si>
  <si>
    <t>ECOST+GCOST+DCOST</t>
  </si>
  <si>
    <t>Carbon Print</t>
  </si>
  <si>
    <t>Total CO2</t>
  </si>
  <si>
    <t>Total Carbon Footprint</t>
  </si>
  <si>
    <t>E_CO2</t>
  </si>
  <si>
    <t>Electrical Carbon Footprint TON CO2/yr</t>
  </si>
  <si>
    <t>lb to Ton conversion</t>
  </si>
  <si>
    <t>NG_CO2</t>
  </si>
  <si>
    <t>Natural Gas Carbon Footprint TON CO2/yr</t>
  </si>
  <si>
    <t>Diesel_CO2</t>
  </si>
  <si>
    <t>Diesel Carbon Footprint TON CO2/yr</t>
  </si>
  <si>
    <t>PR_CO2</t>
  </si>
  <si>
    <t>Propane co2 emission ton /yr</t>
  </si>
  <si>
    <t>lb2Ton</t>
  </si>
  <si>
    <t>Ton =lb*0.0005</t>
  </si>
  <si>
    <t>https://www.google.com/webhp?sourceid=chrome-instant&amp;rlz=1C1CAFA_enUS654US654&amp;ion=1&amp;espv=2&amp;ie=UTF-8#q=lbs+to+ton&amp;*</t>
  </si>
  <si>
    <t>lbs/Mwh</t>
  </si>
  <si>
    <t>SRMV Area</t>
  </si>
  <si>
    <t>CO2 emission lb/mwh in SRMV area (electricity)</t>
  </si>
  <si>
    <t>https://www.epa.gov/sites/production/files/2015-10/documents/egrid2012_ghgoutputrates_0.pdf</t>
  </si>
  <si>
    <t>EMWH</t>
  </si>
  <si>
    <t>Electricity in MWH</t>
  </si>
  <si>
    <t>mmbtu2MWH</t>
  </si>
  <si>
    <t>MMBTU to MWH Conversion rate</t>
  </si>
  <si>
    <t>MWH=MMBT*.293</t>
  </si>
  <si>
    <t>https://www.google.com/webhp?sourceid=chrome-instant&amp;rlz=1C1CAFA_enUS654US654&amp;ion=1&amp;espv=2&amp;ie=UTF-8#q=mmbtu+to+mwh&amp;*</t>
  </si>
  <si>
    <t>ng_co2_lbs</t>
  </si>
  <si>
    <t>co2 lbs / mmbtu (natural gas)</t>
  </si>
  <si>
    <t>https://www.eia.gov/environment/emissions/co2_vol_mass.cfm</t>
  </si>
  <si>
    <t>diesel_co2_lbs</t>
  </si>
  <si>
    <t>co2 lbs / mmbtu (diesel)</t>
  </si>
  <si>
    <t>pr_co2_lbs</t>
  </si>
  <si>
    <t>co2 lbs / mmbtu (propane gas)</t>
  </si>
  <si>
    <t>Elb</t>
  </si>
  <si>
    <t>Electric Carbon Footprint lb CO2/yr</t>
  </si>
  <si>
    <t>#8</t>
  </si>
  <si>
    <t>gallon2ton</t>
  </si>
  <si>
    <t>Ton =gallon*0.03149</t>
  </si>
  <si>
    <t>https://www.convertunits.com/from/gallon/to/ton</t>
  </si>
  <si>
    <t>#</t>
  </si>
  <si>
    <t>Category</t>
  </si>
  <si>
    <t>Energy savings</t>
  </si>
  <si>
    <t>Electrical Energy cost savings</t>
  </si>
  <si>
    <t>Natural Gas Savings</t>
  </si>
  <si>
    <t>Operational Cost Cost Savings</t>
  </si>
  <si>
    <t>Propane Gas Savings</t>
  </si>
  <si>
    <t>Propane Gas Cost Savings</t>
  </si>
  <si>
    <t>Total cost savings</t>
  </si>
  <si>
    <t>CO_2 Savings</t>
  </si>
  <si>
    <t>Implementation cost</t>
  </si>
  <si>
    <t>Payback period</t>
  </si>
  <si>
    <t>kWh/yr</t>
  </si>
  <si>
    <t>(kW/yr)</t>
  </si>
  <si>
    <t>(MMBtu/yr)</t>
  </si>
  <si>
    <t>Tons/yr</t>
  </si>
  <si>
    <t>yr</t>
  </si>
  <si>
    <t>cost %</t>
  </si>
  <si>
    <t>co2</t>
  </si>
  <si>
    <t>Utilize Higher Efficiency lamps and/or Ballasts</t>
  </si>
  <si>
    <t>Energy Savings (kWh/yr)</t>
  </si>
  <si>
    <t>Energy Cost Savings</t>
  </si>
  <si>
    <t xml:space="preserve">Demand Savings </t>
  </si>
  <si>
    <t>Demand Cost</t>
  </si>
  <si>
    <t>Total Cost Savings ($/yr)</t>
  </si>
  <si>
    <r>
      <t>CO</t>
    </r>
    <r>
      <rPr>
        <b/>
        <vertAlign val="subscript"/>
        <sz val="12"/>
        <color rgb="FF000000"/>
        <rFont val="Times New Roman"/>
        <family val="1"/>
      </rPr>
      <t>2</t>
    </r>
  </si>
  <si>
    <t>Imp. Cost ($)</t>
  </si>
  <si>
    <t>Payback Period</t>
  </si>
  <si>
    <t>($/yr)</t>
  </si>
  <si>
    <t>Reduction (tons/yr)</t>
  </si>
  <si>
    <t>(yrs)</t>
  </si>
  <si>
    <t>Modify Inventory Control</t>
  </si>
  <si>
    <r>
      <t>Energy Savings (kWh/yr)</t>
    </r>
    <r>
      <rPr>
        <sz val="12"/>
        <color rgb="FF000000"/>
        <rFont val="Times New Roman"/>
        <family val="1"/>
      </rPr>
      <t> </t>
    </r>
  </si>
  <si>
    <r>
      <t>Energy Cost Savings ($/yr)</t>
    </r>
    <r>
      <rPr>
        <sz val="12"/>
        <color rgb="FF000000"/>
        <rFont val="Times New Roman"/>
        <family val="1"/>
      </rPr>
      <t> </t>
    </r>
  </si>
  <si>
    <t>Admin Cost Savings ($/yr)</t>
  </si>
  <si>
    <r>
      <t>Total Cost Savings ($/yr)</t>
    </r>
    <r>
      <rPr>
        <sz val="12"/>
        <color rgb="FF000000"/>
        <rFont val="Times New Roman"/>
        <family val="1"/>
      </rPr>
      <t> </t>
    </r>
  </si>
  <si>
    <r>
      <t>CO</t>
    </r>
    <r>
      <rPr>
        <b/>
        <vertAlign val="subscript"/>
        <sz val="9.5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 Reduction (Tons/yr)</t>
    </r>
    <r>
      <rPr>
        <sz val="12"/>
        <color rgb="FF000000"/>
        <rFont val="Times New Roman"/>
        <family val="1"/>
      </rPr>
      <t>  </t>
    </r>
  </si>
  <si>
    <r>
      <t>Imp. Cost ($)</t>
    </r>
    <r>
      <rPr>
        <sz val="12"/>
        <color rgb="FF000000"/>
        <rFont val="Times New Roman"/>
        <family val="1"/>
      </rPr>
      <t> </t>
    </r>
  </si>
  <si>
    <r>
      <t>Payback Period</t>
    </r>
    <r>
      <rPr>
        <sz val="12"/>
        <color rgb="FF000000"/>
        <rFont val="Times New Roman"/>
        <family val="1"/>
      </rPr>
      <t> </t>
    </r>
  </si>
  <si>
    <r>
      <t>(yr)</t>
    </r>
    <r>
      <rPr>
        <sz val="12"/>
        <color rgb="FF000000"/>
        <rFont val="Times New Roman"/>
        <family val="1"/>
      </rPr>
      <t> </t>
    </r>
  </si>
  <si>
    <t> -</t>
  </si>
  <si>
    <t xml:space="preserve">Consider Replacement of old motors with energy efficient one </t>
  </si>
  <si>
    <t>Total Cost Savings</t>
  </si>
  <si>
    <r>
      <t>CO</t>
    </r>
    <r>
      <rPr>
        <b/>
        <vertAlign val="subscript"/>
        <sz val="9.5"/>
        <color rgb="FF000000"/>
        <rFont val="Times New Roman"/>
        <family val="1"/>
      </rPr>
      <t>2</t>
    </r>
  </si>
  <si>
    <t>Imp. Cost</t>
  </si>
  <si>
    <r>
      <t>($/yr)</t>
    </r>
    <r>
      <rPr>
        <sz val="12"/>
        <color rgb="FF000000"/>
        <rFont val="Times New Roman"/>
        <family val="1"/>
      </rPr>
      <t> </t>
    </r>
  </si>
  <si>
    <r>
      <t>Reduction (tons/yr)</t>
    </r>
    <r>
      <rPr>
        <sz val="12"/>
        <color rgb="FF000000"/>
        <rFont val="Times New Roman"/>
        <family val="1"/>
      </rPr>
      <t xml:space="preserve"> </t>
    </r>
  </si>
  <si>
    <r>
      <t>($)</t>
    </r>
    <r>
      <rPr>
        <sz val="12"/>
        <color rgb="FF000000"/>
        <rFont val="Times New Roman"/>
        <family val="1"/>
      </rPr>
      <t> </t>
    </r>
  </si>
  <si>
    <r>
      <t>(yrs)</t>
    </r>
    <r>
      <rPr>
        <sz val="12"/>
        <color rgb="FF000000"/>
        <rFont val="Times New Roman"/>
        <family val="1"/>
      </rPr>
      <t> </t>
    </r>
  </si>
  <si>
    <t>Purchase Optimum Sized Air Compressor with More Suitable Substitutes</t>
  </si>
  <si>
    <t>Energy Cost Savings ($/yr)</t>
  </si>
  <si>
    <r>
      <t>CO</t>
    </r>
    <r>
      <rPr>
        <b/>
        <vertAlign val="subscript"/>
        <sz val="11"/>
        <color rgb="FF000000"/>
        <rFont val="Times New Roman"/>
        <family val="1"/>
      </rPr>
      <t>2</t>
    </r>
    <r>
      <rPr>
        <b/>
        <sz val="11"/>
        <color rgb="FF000000"/>
        <rFont val="Times New Roman"/>
        <family val="1"/>
      </rPr>
      <t xml:space="preserve"> Reduction (tons/yr)</t>
    </r>
  </si>
  <si>
    <t xml:space="preserve">Payback Period </t>
  </si>
  <si>
    <t>Install Sub - Metering Equipment</t>
  </si>
  <si>
    <t>Electrical Energy Savings</t>
  </si>
  <si>
    <t>Electrical Energy Cost Savings</t>
  </si>
  <si>
    <t>Natural Gas Savings (MMBtu/yr)</t>
  </si>
  <si>
    <r>
      <t>CO</t>
    </r>
    <r>
      <rPr>
        <b/>
        <vertAlign val="sub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 xml:space="preserve"> Reduction (Tons/yr)</t>
    </r>
  </si>
  <si>
    <t>(kWh/yr)</t>
  </si>
  <si>
    <t>Use Solar Heat to Genearte Electricity</t>
  </si>
  <si>
    <r>
      <t>Energy Savings (kWh/yr)</t>
    </r>
    <r>
      <rPr>
        <sz val="11"/>
        <color rgb="FF000000"/>
        <rFont val="Times New Roman"/>
        <family val="1"/>
      </rPr>
      <t> </t>
    </r>
  </si>
  <si>
    <r>
      <t>($/yr)</t>
    </r>
    <r>
      <rPr>
        <sz val="11"/>
        <color rgb="FF000000"/>
        <rFont val="Times New Roman"/>
        <family val="1"/>
      </rPr>
      <t> </t>
    </r>
  </si>
  <si>
    <r>
      <t>Reduction (tons/yr)</t>
    </r>
    <r>
      <rPr>
        <sz val="11"/>
        <color rgb="FF000000"/>
        <rFont val="Times New Roman"/>
        <family val="1"/>
      </rPr>
      <t xml:space="preserve"> </t>
    </r>
  </si>
  <si>
    <r>
      <t>($)</t>
    </r>
    <r>
      <rPr>
        <sz val="11"/>
        <color rgb="FF000000"/>
        <rFont val="Times New Roman"/>
        <family val="1"/>
      </rPr>
      <t> </t>
    </r>
  </si>
  <si>
    <r>
      <t>(yrs)</t>
    </r>
    <r>
      <rPr>
        <sz val="11"/>
        <color rgb="FF000000"/>
        <rFont val="Times New Roman"/>
        <family val="1"/>
      </rPr>
      <t> </t>
    </r>
  </si>
  <si>
    <t>Replace Existing HVAC with Higher Efficiency Model</t>
  </si>
  <si>
    <t>CO2 Reduction (Tons/yr) </t>
  </si>
  <si>
    <t>(yr)</t>
  </si>
  <si>
    <t>Replace Fossil Fuel Equipment with Electrical Equipment</t>
  </si>
  <si>
    <r>
      <t>Propane Energy Savings (MMBtu/yr)</t>
    </r>
    <r>
      <rPr>
        <sz val="12"/>
        <color rgb="FF000000"/>
        <rFont val="Times New Roman"/>
        <family val="1"/>
      </rPr>
      <t> </t>
    </r>
  </si>
  <si>
    <r>
      <t>Propane Energy Cost Savings ($/yr)</t>
    </r>
    <r>
      <rPr>
        <sz val="12"/>
        <color rgb="FF000000"/>
        <rFont val="Times New Roman"/>
        <family val="1"/>
      </rPr>
      <t> </t>
    </r>
  </si>
  <si>
    <t>Electrical Energy Usage</t>
  </si>
  <si>
    <t>Electrical Energy</t>
  </si>
  <si>
    <t>Operation Cost Savings</t>
  </si>
  <si>
    <t>Energy Application</t>
  </si>
  <si>
    <t>Power (hp)</t>
  </si>
  <si>
    <t>Quantity</t>
  </si>
  <si>
    <t>Total Power (hp)</t>
  </si>
  <si>
    <t>Percentage</t>
  </si>
  <si>
    <t>CNC Machine</t>
  </si>
  <si>
    <t>Machine Center</t>
  </si>
  <si>
    <t>A/C Units</t>
  </si>
  <si>
    <t>Production Line</t>
  </si>
  <si>
    <t>CNC Lathes</t>
  </si>
  <si>
    <t>Horizontal Machining Center</t>
  </si>
  <si>
    <t>CNC Turning Center</t>
  </si>
  <si>
    <t>Vertical Machining Center</t>
  </si>
  <si>
    <t>Air Compressor</t>
  </si>
  <si>
    <t>HVAC</t>
  </si>
  <si>
    <t>Blower</t>
  </si>
  <si>
    <t>Grinder</t>
  </si>
  <si>
    <t>Drag Machine</t>
  </si>
  <si>
    <t>Miling Machine</t>
  </si>
  <si>
    <t>Destoner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</si>
</sst>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&quot;$&quot;* #,##0_);_(&quot;$&quot;* \(#,##0\);_(&quot;$&quot;* &quot;-&quot;??_);_(@_)"/>
    <numFmt numFmtId="166" formatCode="&quot;$&quot;#,##0"/>
    <numFmt numFmtId="167" formatCode="0.000"/>
    <numFmt numFmtId="168" formatCode="0.0000"/>
    <numFmt numFmtId="169" formatCode="0.0%"/>
    <numFmt numFmtId="170" formatCode="#,##0.0000"/>
    <numFmt numFmtId="171" formatCode="_-* #,##0.00_-;\-* #,##0.00_-;_-* &quot;-&quot;??_-;_-@_-"/>
    <numFmt numFmtId="172" formatCode="&quot;$&quot;#,##0.00"/>
    <numFmt numFmtId="173" formatCode="0.0000000"/>
    <numFmt numFmtId="174" formatCode="0.000000"/>
  </numFmts>
  <fonts count="31"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 (Body)_x0000_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323130"/>
      <name val="Calibri"/>
      <family val="2"/>
      <scheme val="minor"/>
    </font>
    <font>
      <sz val="11"/>
      <color rgb="FF3F3F3F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Times New Roman"/>
      <family val="1"/>
    </font>
    <font>
      <b/>
      <sz val="12"/>
      <color rgb="FF000000"/>
      <name val="Times New Roman"/>
      <family val="1"/>
    </font>
    <font>
      <b/>
      <vertAlign val="subscript"/>
      <sz val="9.5"/>
      <color rgb="FF000000"/>
      <name val="Times New Roman"/>
      <family val="1"/>
    </font>
    <font>
      <b/>
      <vertAlign val="subscript"/>
      <sz val="12"/>
      <color rgb="FF000000"/>
      <name val="Times New Roman"/>
      <family val="1"/>
    </font>
    <font>
      <sz val="11"/>
      <color rgb="FF000000"/>
      <name val="Times New Roman"/>
      <family val="1"/>
    </font>
    <font>
      <b/>
      <sz val="11"/>
      <color rgb="FF000000"/>
      <name val="Times New Roman"/>
      <family val="1"/>
    </font>
    <font>
      <b/>
      <vertAlign val="subscript"/>
      <sz val="11"/>
      <color rgb="FF000000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Calibri"/>
      <family val="2"/>
    </font>
    <font>
      <sz val="12"/>
      <color theme="1"/>
      <name val="Times New Roman"/>
      <family val="1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4" tint="0.79998168889431442"/>
        <bgColor indexed="64"/>
      </patternFill>
    </fill>
  </fills>
  <borders count="35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indexed="64"/>
      </right>
      <top style="medium">
        <color rgb="FF000000"/>
      </top>
      <bottom/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/>
      <right style="medium">
        <color auto="1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1">
    <xf numFmtId="0" fontId="0" fillId="0" borderId="0" applyBorder="0"/>
    <xf numFmtId="0" fontId="6" fillId="2" borderId="1" applyNumberFormat="0" applyAlignment="0" applyProtection="0"/>
    <xf numFmtId="0" fontId="5" fillId="0" borderId="0"/>
    <xf numFmtId="0" fontId="9" fillId="0" borderId="0" applyNumberFormat="0" applyFill="0" applyBorder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0"/>
    <xf numFmtId="0" fontId="3" fillId="0" borderId="0"/>
    <xf numFmtId="9" fontId="27" fillId="0" borderId="0" applyFont="0" applyFill="0" applyBorder="0" applyAlignment="0" applyProtection="0"/>
  </cellStyleXfs>
  <cellXfs count="235">
    <xf numFmtId="0" fontId="0" fillId="0" borderId="0" xfId="0"/>
    <xf numFmtId="0" fontId="5" fillId="3" borderId="0" xfId="2" applyFill="1" applyAlignment="1">
      <alignment horizontal="left"/>
    </xf>
    <xf numFmtId="0" fontId="5" fillId="0" borderId="0" xfId="2"/>
    <xf numFmtId="0" fontId="9" fillId="0" borderId="0" xfId="3"/>
    <xf numFmtId="0" fontId="5" fillId="0" borderId="2" xfId="2" applyBorder="1" applyAlignment="1">
      <alignment horizontal="left"/>
    </xf>
    <xf numFmtId="1" fontId="6" fillId="3" borderId="1" xfId="1" applyNumberFormat="1" applyFill="1" applyAlignment="1">
      <alignment horizontal="center"/>
    </xf>
    <xf numFmtId="0" fontId="5" fillId="0" borderId="2" xfId="2" applyBorder="1"/>
    <xf numFmtId="1" fontId="6" fillId="3" borderId="1" xfId="1" applyNumberFormat="1" applyFill="1" applyAlignment="1">
      <alignment horizontal="right"/>
    </xf>
    <xf numFmtId="14" fontId="6" fillId="3" borderId="1" xfId="1" applyNumberFormat="1" applyFill="1" applyAlignment="1">
      <alignment horizontal="center"/>
    </xf>
    <xf numFmtId="164" fontId="6" fillId="3" borderId="1" xfId="1" applyNumberFormat="1" applyFill="1" applyAlignment="1">
      <alignment horizontal="right"/>
    </xf>
    <xf numFmtId="2" fontId="5" fillId="0" borderId="0" xfId="2" applyNumberFormat="1"/>
    <xf numFmtId="0" fontId="6" fillId="3" borderId="1" xfId="1" applyFill="1" applyAlignment="1">
      <alignment horizontal="center"/>
    </xf>
    <xf numFmtId="165" fontId="6" fillId="3" borderId="1" xfId="1" applyNumberFormat="1" applyFill="1" applyAlignment="1">
      <alignment horizontal="right"/>
    </xf>
    <xf numFmtId="2" fontId="6" fillId="3" borderId="1" xfId="1" applyNumberFormat="1" applyFill="1" applyAlignment="1">
      <alignment horizontal="right"/>
    </xf>
    <xf numFmtId="164" fontId="6" fillId="3" borderId="1" xfId="4" applyNumberFormat="1" applyFont="1" applyFill="1" applyBorder="1" applyAlignment="1">
      <alignment horizontal="center"/>
    </xf>
    <xf numFmtId="0" fontId="10" fillId="0" borderId="0" xfId="2" applyFont="1"/>
    <xf numFmtId="164" fontId="6" fillId="3" borderId="1" xfId="1" applyNumberFormat="1" applyFill="1" applyAlignment="1">
      <alignment horizontal="center"/>
    </xf>
    <xf numFmtId="0" fontId="5" fillId="0" borderId="0" xfId="2" applyAlignment="1">
      <alignment horizontal="left"/>
    </xf>
    <xf numFmtId="166" fontId="5" fillId="0" borderId="0" xfId="2" applyNumberFormat="1"/>
    <xf numFmtId="164" fontId="6" fillId="3" borderId="1" xfId="1" applyNumberFormat="1" applyFill="1"/>
    <xf numFmtId="166" fontId="6" fillId="3" borderId="1" xfId="1" applyNumberFormat="1" applyFill="1"/>
    <xf numFmtId="167" fontId="6" fillId="3" borderId="1" xfId="1" applyNumberFormat="1" applyFill="1"/>
    <xf numFmtId="168" fontId="6" fillId="3" borderId="1" xfId="1" applyNumberFormat="1" applyFill="1"/>
    <xf numFmtId="166" fontId="6" fillId="2" borderId="1" xfId="1" applyNumberFormat="1"/>
    <xf numFmtId="169" fontId="6" fillId="2" borderId="1" xfId="1" applyNumberFormat="1"/>
    <xf numFmtId="2" fontId="6" fillId="3" borderId="1" xfId="1" applyNumberFormat="1" applyFill="1"/>
    <xf numFmtId="164" fontId="6" fillId="2" borderId="1" xfId="1" applyNumberFormat="1"/>
    <xf numFmtId="2" fontId="6" fillId="2" borderId="1" xfId="1" applyNumberFormat="1"/>
    <xf numFmtId="0" fontId="6" fillId="2" borderId="1" xfId="1"/>
    <xf numFmtId="164" fontId="8" fillId="3" borderId="2" xfId="4" applyNumberFormat="1" applyFont="1" applyFill="1" applyBorder="1"/>
    <xf numFmtId="164" fontId="0" fillId="3" borderId="2" xfId="4" applyNumberFormat="1" applyFont="1" applyFill="1" applyBorder="1"/>
    <xf numFmtId="14" fontId="5" fillId="0" borderId="0" xfId="2" applyNumberFormat="1"/>
    <xf numFmtId="0" fontId="7" fillId="0" borderId="3" xfId="2" applyFont="1" applyBorder="1" applyAlignment="1">
      <alignment horizontal="left"/>
    </xf>
    <xf numFmtId="0" fontId="5" fillId="0" borderId="4" xfId="2" applyBorder="1"/>
    <xf numFmtId="0" fontId="5" fillId="0" borderId="5" xfId="2" applyBorder="1"/>
    <xf numFmtId="0" fontId="5" fillId="4" borderId="6" xfId="2" applyFill="1" applyBorder="1" applyAlignment="1">
      <alignment horizontal="left"/>
    </xf>
    <xf numFmtId="2" fontId="5" fillId="4" borderId="0" xfId="2" applyNumberFormat="1" applyFill="1" applyAlignment="1">
      <alignment horizontal="center"/>
    </xf>
    <xf numFmtId="0" fontId="5" fillId="4" borderId="0" xfId="2" applyFill="1" applyAlignment="1">
      <alignment horizontal="center"/>
    </xf>
    <xf numFmtId="0" fontId="5" fillId="4" borderId="7" xfId="2" applyFill="1" applyBorder="1" applyAlignment="1">
      <alignment horizontal="center"/>
    </xf>
    <xf numFmtId="0" fontId="5" fillId="0" borderId="6" xfId="2" applyBorder="1" applyAlignment="1">
      <alignment horizontal="left"/>
    </xf>
    <xf numFmtId="0" fontId="5" fillId="5" borderId="0" xfId="2" applyFill="1" applyAlignment="1">
      <alignment horizontal="center"/>
    </xf>
    <xf numFmtId="2" fontId="5" fillId="0" borderId="0" xfId="2" applyNumberFormat="1" applyAlignment="1">
      <alignment horizontal="center"/>
    </xf>
    <xf numFmtId="0" fontId="5" fillId="0" borderId="0" xfId="2" applyAlignment="1">
      <alignment horizontal="center"/>
    </xf>
    <xf numFmtId="0" fontId="9" fillId="0" borderId="7" xfId="3" applyBorder="1" applyAlignment="1">
      <alignment horizontal="left"/>
    </xf>
    <xf numFmtId="0" fontId="11" fillId="0" borderId="7" xfId="2" applyFont="1" applyBorder="1" applyAlignment="1">
      <alignment horizontal="center"/>
    </xf>
    <xf numFmtId="0" fontId="7" fillId="0" borderId="6" xfId="2" applyFont="1" applyBorder="1" applyAlignment="1">
      <alignment horizontal="left"/>
    </xf>
    <xf numFmtId="0" fontId="7" fillId="0" borderId="0" xfId="2" applyFont="1"/>
    <xf numFmtId="0" fontId="5" fillId="0" borderId="7" xfId="2" applyBorder="1"/>
    <xf numFmtId="1" fontId="5" fillId="5" borderId="0" xfId="2" applyNumberFormat="1" applyFill="1" applyAlignment="1">
      <alignment horizontal="center"/>
    </xf>
    <xf numFmtId="0" fontId="9" fillId="0" borderId="7" xfId="3" applyBorder="1"/>
    <xf numFmtId="14" fontId="5" fillId="5" borderId="0" xfId="2" applyNumberFormat="1" applyFill="1" applyAlignment="1">
      <alignment horizontal="center"/>
    </xf>
    <xf numFmtId="14" fontId="5" fillId="0" borderId="0" xfId="2" applyNumberFormat="1" applyAlignment="1">
      <alignment horizontal="center"/>
    </xf>
    <xf numFmtId="164" fontId="12" fillId="5" borderId="0" xfId="4" applyNumberFormat="1" applyFont="1" applyFill="1" applyAlignment="1">
      <alignment horizontal="center"/>
    </xf>
    <xf numFmtId="0" fontId="5" fillId="0" borderId="7" xfId="2" applyBorder="1" applyAlignment="1">
      <alignment horizontal="center"/>
    </xf>
    <xf numFmtId="0" fontId="13" fillId="5" borderId="0" xfId="2" applyFont="1" applyFill="1" applyAlignment="1">
      <alignment horizontal="center"/>
    </xf>
    <xf numFmtId="165" fontId="12" fillId="5" borderId="0" xfId="5" applyNumberFormat="1" applyFont="1" applyFill="1" applyAlignment="1">
      <alignment vertical="center"/>
    </xf>
    <xf numFmtId="44" fontId="0" fillId="0" borderId="0" xfId="5" applyFont="1" applyAlignment="1">
      <alignment horizontal="center"/>
    </xf>
    <xf numFmtId="3" fontId="14" fillId="6" borderId="0" xfId="2" applyNumberFormat="1" applyFont="1" applyFill="1"/>
    <xf numFmtId="11" fontId="5" fillId="0" borderId="6" xfId="2" applyNumberFormat="1" applyBorder="1" applyAlignment="1">
      <alignment horizontal="left"/>
    </xf>
    <xf numFmtId="1" fontId="5" fillId="0" borderId="0" xfId="2" applyNumberFormat="1" applyAlignment="1">
      <alignment horizontal="center"/>
    </xf>
    <xf numFmtId="0" fontId="13" fillId="0" borderId="0" xfId="2" applyFont="1" applyAlignment="1">
      <alignment horizontal="center"/>
    </xf>
    <xf numFmtId="165" fontId="15" fillId="5" borderId="0" xfId="1" applyNumberFormat="1" applyFont="1" applyFill="1" applyBorder="1" applyAlignment="1">
      <alignment horizontal="center"/>
    </xf>
    <xf numFmtId="2" fontId="13" fillId="4" borderId="0" xfId="2" applyNumberFormat="1" applyFont="1" applyFill="1" applyAlignment="1">
      <alignment horizontal="center"/>
    </xf>
    <xf numFmtId="1" fontId="13" fillId="5" borderId="0" xfId="1" applyNumberFormat="1" applyFont="1" applyFill="1" applyBorder="1" applyAlignment="1">
      <alignment horizontal="center"/>
    </xf>
    <xf numFmtId="2" fontId="13" fillId="0" borderId="0" xfId="2" applyNumberFormat="1" applyFont="1" applyAlignment="1">
      <alignment horizontal="center"/>
    </xf>
    <xf numFmtId="0" fontId="13" fillId="0" borderId="0" xfId="2" applyFont="1"/>
    <xf numFmtId="0" fontId="5" fillId="0" borderId="8" xfId="2" applyBorder="1" applyAlignment="1">
      <alignment horizontal="left"/>
    </xf>
    <xf numFmtId="1" fontId="12" fillId="5" borderId="9" xfId="2" applyNumberFormat="1" applyFont="1" applyFill="1" applyBorder="1" applyAlignment="1">
      <alignment horizontal="center"/>
    </xf>
    <xf numFmtId="2" fontId="5" fillId="0" borderId="9" xfId="2" applyNumberFormat="1" applyBorder="1" applyAlignment="1">
      <alignment horizontal="center"/>
    </xf>
    <xf numFmtId="0" fontId="5" fillId="0" borderId="9" xfId="2" applyBorder="1" applyAlignment="1">
      <alignment horizontal="center"/>
    </xf>
    <xf numFmtId="0" fontId="5" fillId="0" borderId="10" xfId="2" applyBorder="1"/>
    <xf numFmtId="2" fontId="13" fillId="0" borderId="4" xfId="2" applyNumberFormat="1" applyFont="1" applyBorder="1" applyAlignment="1">
      <alignment horizontal="center"/>
    </xf>
    <xf numFmtId="2" fontId="5" fillId="0" borderId="4" xfId="2" applyNumberFormat="1" applyBorder="1" applyAlignment="1">
      <alignment horizontal="center"/>
    </xf>
    <xf numFmtId="0" fontId="7" fillId="0" borderId="4" xfId="2" applyFont="1" applyBorder="1" applyAlignment="1">
      <alignment horizontal="center"/>
    </xf>
    <xf numFmtId="0" fontId="11" fillId="0" borderId="5" xfId="2" applyFont="1" applyBorder="1" applyAlignment="1">
      <alignment horizontal="center"/>
    </xf>
    <xf numFmtId="165" fontId="13" fillId="5" borderId="0" xfId="5" applyNumberFormat="1" applyFont="1" applyFill="1" applyAlignment="1">
      <alignment horizontal="center"/>
    </xf>
    <xf numFmtId="0" fontId="7" fillId="0" borderId="0" xfId="2" applyFont="1" applyAlignment="1">
      <alignment horizontal="center"/>
    </xf>
    <xf numFmtId="164" fontId="13" fillId="5" borderId="0" xfId="4" applyNumberFormat="1" applyFont="1" applyFill="1" applyAlignment="1">
      <alignment horizontal="center"/>
    </xf>
    <xf numFmtId="165" fontId="13" fillId="5" borderId="0" xfId="1" applyNumberFormat="1" applyFont="1" applyFill="1" applyBorder="1" applyAlignment="1">
      <alignment horizontal="center" vertical="center"/>
    </xf>
    <xf numFmtId="165" fontId="13" fillId="0" borderId="0" xfId="1" applyNumberFormat="1" applyFont="1" applyFill="1" applyBorder="1" applyAlignment="1">
      <alignment horizontal="center" vertical="center"/>
    </xf>
    <xf numFmtId="43" fontId="13" fillId="0" borderId="0" xfId="4" applyFont="1" applyAlignment="1">
      <alignment horizontal="center"/>
    </xf>
    <xf numFmtId="0" fontId="13" fillId="0" borderId="0" xfId="1" applyFont="1" applyFill="1" applyBorder="1"/>
    <xf numFmtId="0" fontId="5" fillId="0" borderId="7" xfId="2" applyBorder="1" applyAlignment="1">
      <alignment horizontal="left"/>
    </xf>
    <xf numFmtId="167" fontId="13" fillId="0" borderId="0" xfId="2" applyNumberFormat="1" applyFont="1" applyAlignment="1">
      <alignment horizontal="center"/>
    </xf>
    <xf numFmtId="2" fontId="13" fillId="0" borderId="0" xfId="1" applyNumberFormat="1" applyFont="1" applyFill="1" applyBorder="1" applyAlignment="1">
      <alignment horizontal="center"/>
    </xf>
    <xf numFmtId="164" fontId="13" fillId="5" borderId="0" xfId="4" applyNumberFormat="1" applyFont="1" applyFill="1"/>
    <xf numFmtId="168" fontId="13" fillId="0" borderId="0" xfId="1" applyNumberFormat="1" applyFont="1" applyFill="1" applyBorder="1" applyAlignment="1">
      <alignment horizontal="center"/>
    </xf>
    <xf numFmtId="0" fontId="5" fillId="0" borderId="6" xfId="2" applyBorder="1"/>
    <xf numFmtId="44" fontId="13" fillId="0" borderId="0" xfId="5" applyFont="1" applyAlignment="1">
      <alignment horizontal="center"/>
    </xf>
    <xf numFmtId="167" fontId="13" fillId="5" borderId="1" xfId="1" applyNumberFormat="1" applyFont="1" applyFill="1" applyAlignment="1">
      <alignment horizontal="center"/>
    </xf>
    <xf numFmtId="167" fontId="5" fillId="0" borderId="9" xfId="2" applyNumberFormat="1" applyBorder="1" applyAlignment="1">
      <alignment horizontal="center"/>
    </xf>
    <xf numFmtId="0" fontId="5" fillId="0" borderId="9" xfId="2" applyBorder="1"/>
    <xf numFmtId="167" fontId="5" fillId="0" borderId="9" xfId="2" applyNumberFormat="1" applyBorder="1"/>
    <xf numFmtId="0" fontId="5" fillId="0" borderId="10" xfId="2" applyBorder="1" applyAlignment="1">
      <alignment horizontal="center"/>
    </xf>
    <xf numFmtId="0" fontId="5" fillId="0" borderId="5" xfId="2" applyBorder="1" applyAlignment="1">
      <alignment horizontal="center"/>
    </xf>
    <xf numFmtId="1" fontId="13" fillId="5" borderId="0" xfId="1" applyNumberFormat="1" applyFont="1" applyFill="1" applyBorder="1"/>
    <xf numFmtId="164" fontId="13" fillId="0" borderId="0" xfId="4" applyNumberFormat="1" applyFont="1" applyAlignment="1">
      <alignment horizontal="center"/>
    </xf>
    <xf numFmtId="168" fontId="13" fillId="0" borderId="0" xfId="2" applyNumberFormat="1" applyFont="1" applyAlignment="1">
      <alignment horizontal="center"/>
    </xf>
    <xf numFmtId="167" fontId="13" fillId="0" borderId="1" xfId="1" applyNumberFormat="1" applyFont="1" applyFill="1" applyAlignment="1">
      <alignment horizontal="center"/>
    </xf>
    <xf numFmtId="2" fontId="13" fillId="0" borderId="1" xfId="1" applyNumberFormat="1" applyFont="1" applyFill="1" applyAlignment="1">
      <alignment horizontal="center"/>
    </xf>
    <xf numFmtId="1" fontId="13" fillId="5" borderId="0" xfId="2" applyNumberFormat="1" applyFont="1" applyFill="1" applyAlignment="1">
      <alignment horizontal="center"/>
    </xf>
    <xf numFmtId="1" fontId="13" fillId="0" borderId="0" xfId="2" applyNumberFormat="1" applyFont="1" applyAlignment="1">
      <alignment horizontal="center"/>
    </xf>
    <xf numFmtId="1" fontId="13" fillId="0" borderId="0" xfId="1" applyNumberFormat="1" applyFont="1" applyFill="1" applyBorder="1" applyAlignment="1">
      <alignment horizontal="center"/>
    </xf>
    <xf numFmtId="2" fontId="13" fillId="0" borderId="9" xfId="1" applyNumberFormat="1" applyFont="1" applyFill="1" applyBorder="1" applyAlignment="1">
      <alignment horizontal="center"/>
    </xf>
    <xf numFmtId="0" fontId="13" fillId="0" borderId="0" xfId="2" applyFont="1" applyAlignment="1">
      <alignment horizontal="left"/>
    </xf>
    <xf numFmtId="1" fontId="13" fillId="0" borderId="9" xfId="2" applyNumberFormat="1" applyFont="1" applyBorder="1" applyAlignment="1">
      <alignment horizontal="center"/>
    </xf>
    <xf numFmtId="0" fontId="11" fillId="0" borderId="10" xfId="2" applyFont="1" applyBorder="1" applyAlignment="1">
      <alignment horizontal="center"/>
    </xf>
    <xf numFmtId="0" fontId="11" fillId="0" borderId="0" xfId="2" applyFont="1" applyAlignment="1">
      <alignment horizontal="center"/>
    </xf>
    <xf numFmtId="0" fontId="13" fillId="0" borderId="6" xfId="2" applyFont="1" applyBorder="1" applyAlignment="1">
      <alignment horizontal="left"/>
    </xf>
    <xf numFmtId="3" fontId="13" fillId="0" borderId="0" xfId="2" applyNumberFormat="1" applyFont="1" applyAlignment="1">
      <alignment horizontal="center"/>
    </xf>
    <xf numFmtId="3" fontId="5" fillId="0" borderId="0" xfId="2" applyNumberFormat="1" applyAlignment="1">
      <alignment horizontal="center"/>
    </xf>
    <xf numFmtId="170" fontId="13" fillId="0" borderId="0" xfId="2" applyNumberFormat="1" applyFont="1" applyAlignment="1">
      <alignment horizontal="center"/>
    </xf>
    <xf numFmtId="170" fontId="5" fillId="0" borderId="0" xfId="2" applyNumberFormat="1" applyAlignment="1">
      <alignment horizontal="center"/>
    </xf>
    <xf numFmtId="0" fontId="18" fillId="0" borderId="3" xfId="2" applyFont="1" applyBorder="1" applyAlignment="1">
      <alignment horizontal="center"/>
    </xf>
    <xf numFmtId="0" fontId="18" fillId="0" borderId="4" xfId="2" applyFont="1" applyBorder="1" applyAlignment="1">
      <alignment horizontal="center" wrapText="1"/>
    </xf>
    <xf numFmtId="0" fontId="18" fillId="0" borderId="4" xfId="2" applyFont="1" applyBorder="1" applyAlignment="1">
      <alignment horizontal="center"/>
    </xf>
    <xf numFmtId="1" fontId="18" fillId="0" borderId="4" xfId="2" applyNumberFormat="1" applyFont="1" applyBorder="1" applyAlignment="1">
      <alignment horizontal="center"/>
    </xf>
    <xf numFmtId="1" fontId="18" fillId="3" borderId="4" xfId="2" applyNumberFormat="1" applyFont="1" applyFill="1" applyBorder="1" applyAlignment="1">
      <alignment horizontal="center"/>
    </xf>
    <xf numFmtId="2" fontId="18" fillId="0" borderId="5" xfId="2" applyNumberFormat="1" applyFont="1" applyBorder="1" applyAlignment="1">
      <alignment horizontal="center"/>
    </xf>
    <xf numFmtId="0" fontId="18" fillId="0" borderId="9" xfId="2" applyFont="1" applyBorder="1" applyAlignment="1">
      <alignment horizontal="center" wrapText="1"/>
    </xf>
    <xf numFmtId="0" fontId="18" fillId="0" borderId="9" xfId="2" applyFont="1" applyBorder="1" applyAlignment="1">
      <alignment horizontal="center"/>
    </xf>
    <xf numFmtId="1" fontId="18" fillId="0" borderId="9" xfId="2" applyNumberFormat="1" applyFont="1" applyBorder="1" applyAlignment="1">
      <alignment horizontal="center"/>
    </xf>
    <xf numFmtId="2" fontId="18" fillId="0" borderId="10" xfId="2" applyNumberFormat="1" applyFont="1" applyBorder="1" applyAlignment="1">
      <alignment horizontal="center"/>
    </xf>
    <xf numFmtId="0" fontId="18" fillId="0" borderId="0" xfId="2" applyFont="1" applyAlignment="1">
      <alignment horizontal="center" wrapText="1"/>
    </xf>
    <xf numFmtId="0" fontId="18" fillId="3" borderId="8" xfId="2" applyFont="1" applyFill="1" applyBorder="1" applyAlignment="1">
      <alignment horizontal="center"/>
    </xf>
    <xf numFmtId="9" fontId="0" fillId="0" borderId="0" xfId="7" applyFont="1"/>
    <xf numFmtId="0" fontId="19" fillId="0" borderId="12" xfId="2" applyFont="1" applyBorder="1" applyAlignment="1">
      <alignment horizontal="center" vertical="center"/>
    </xf>
    <xf numFmtId="0" fontId="19" fillId="0" borderId="10" xfId="2" applyFont="1" applyBorder="1" applyAlignment="1">
      <alignment horizontal="center" vertical="center"/>
    </xf>
    <xf numFmtId="0" fontId="19" fillId="0" borderId="12" xfId="2" applyFont="1" applyBorder="1" applyAlignment="1">
      <alignment horizontal="center" vertical="center" wrapText="1"/>
    </xf>
    <xf numFmtId="9" fontId="5" fillId="0" borderId="0" xfId="2" applyNumberFormat="1"/>
    <xf numFmtId="0" fontId="24" fillId="0" borderId="5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 wrapText="1"/>
    </xf>
    <xf numFmtId="0" fontId="20" fillId="0" borderId="5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3" fontId="19" fillId="0" borderId="12" xfId="0" applyNumberFormat="1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3" fontId="19" fillId="0" borderId="10" xfId="0" applyNumberFormat="1" applyFont="1" applyBorder="1" applyAlignment="1">
      <alignment horizontal="center" vertical="center" wrapText="1"/>
    </xf>
    <xf numFmtId="9" fontId="0" fillId="0" borderId="6" xfId="7" applyFont="1" applyBorder="1" applyAlignment="1">
      <alignment horizontal="center"/>
    </xf>
    <xf numFmtId="3" fontId="26" fillId="0" borderId="12" xfId="0" applyNumberFormat="1" applyFont="1" applyBorder="1" applyAlignment="1">
      <alignment horizontal="center" vertical="center" wrapText="1"/>
    </xf>
    <xf numFmtId="3" fontId="26" fillId="0" borderId="10" xfId="0" applyNumberFormat="1" applyFont="1" applyBorder="1" applyAlignment="1">
      <alignment horizontal="center" vertical="center" wrapText="1"/>
    </xf>
    <xf numFmtId="0" fontId="26" fillId="0" borderId="10" xfId="0" applyFont="1" applyBorder="1" applyAlignment="1">
      <alignment horizontal="center" vertical="center" wrapText="1"/>
    </xf>
    <xf numFmtId="9" fontId="19" fillId="0" borderId="10" xfId="2" applyNumberFormat="1" applyFont="1" applyBorder="1" applyAlignment="1">
      <alignment horizontal="center" vertical="center"/>
    </xf>
    <xf numFmtId="0" fontId="27" fillId="0" borderId="0" xfId="8" applyFont="1"/>
    <xf numFmtId="0" fontId="20" fillId="0" borderId="14" xfId="2" applyFont="1" applyBorder="1" applyAlignment="1">
      <alignment horizontal="center" vertical="center"/>
    </xf>
    <xf numFmtId="0" fontId="20" fillId="0" borderId="15" xfId="2" applyFont="1" applyBorder="1" applyAlignment="1">
      <alignment horizontal="center" vertical="center"/>
    </xf>
    <xf numFmtId="0" fontId="28" fillId="0" borderId="0" xfId="2" applyFont="1" applyAlignment="1">
      <alignment horizontal="center" vertical="center"/>
    </xf>
    <xf numFmtId="10" fontId="27" fillId="0" borderId="0" xfId="8" applyNumberFormat="1" applyFont="1"/>
    <xf numFmtId="3" fontId="27" fillId="0" borderId="0" xfId="8" applyNumberFormat="1" applyFont="1"/>
    <xf numFmtId="0" fontId="23" fillId="0" borderId="0" xfId="8" applyFont="1"/>
    <xf numFmtId="3" fontId="19" fillId="0" borderId="10" xfId="2" applyNumberFormat="1" applyFont="1" applyBorder="1" applyAlignment="1">
      <alignment horizontal="center" vertical="center"/>
    </xf>
    <xf numFmtId="0" fontId="29" fillId="0" borderId="0" xfId="8" applyFont="1"/>
    <xf numFmtId="9" fontId="27" fillId="0" borderId="0" xfId="8" applyNumberFormat="1" applyFont="1"/>
    <xf numFmtId="0" fontId="20" fillId="0" borderId="11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3" fillId="0" borderId="0" xfId="9"/>
    <xf numFmtId="0" fontId="8" fillId="8" borderId="13" xfId="9" applyFont="1" applyFill="1" applyBorder="1"/>
    <xf numFmtId="17" fontId="3" fillId="7" borderId="16" xfId="9" applyNumberFormat="1" applyFill="1" applyBorder="1" applyAlignment="1">
      <alignment horizontal="center" vertical="center" wrapText="1"/>
    </xf>
    <xf numFmtId="17" fontId="3" fillId="7" borderId="17" xfId="9" applyNumberFormat="1" applyFill="1" applyBorder="1" applyAlignment="1">
      <alignment horizontal="center" vertical="center" wrapText="1"/>
    </xf>
    <xf numFmtId="17" fontId="3" fillId="7" borderId="18" xfId="9" applyNumberFormat="1" applyFill="1" applyBorder="1" applyAlignment="1">
      <alignment horizontal="center" vertical="center" wrapText="1"/>
    </xf>
    <xf numFmtId="17" fontId="3" fillId="0" borderId="0" xfId="9" applyNumberFormat="1" applyAlignment="1">
      <alignment horizontal="center" vertical="center" wrapText="1"/>
    </xf>
    <xf numFmtId="3" fontId="30" fillId="0" borderId="2" xfId="9" applyNumberFormat="1" applyFont="1" applyBorder="1" applyAlignment="1">
      <alignment horizontal="left" vertical="center"/>
    </xf>
    <xf numFmtId="172" fontId="3" fillId="0" borderId="2" xfId="9" applyNumberFormat="1" applyBorder="1"/>
    <xf numFmtId="172" fontId="3" fillId="0" borderId="0" xfId="9" applyNumberFormat="1"/>
    <xf numFmtId="3" fontId="30" fillId="9" borderId="2" xfId="9" applyNumberFormat="1" applyFont="1" applyFill="1" applyBorder="1" applyAlignment="1">
      <alignment horizontal="left" vertical="center"/>
    </xf>
    <xf numFmtId="172" fontId="3" fillId="9" borderId="2" xfId="9" applyNumberFormat="1" applyFill="1" applyBorder="1"/>
    <xf numFmtId="167" fontId="3" fillId="0" borderId="2" xfId="9" applyNumberFormat="1" applyBorder="1"/>
    <xf numFmtId="2" fontId="3" fillId="0" borderId="2" xfId="9" applyNumberFormat="1" applyBorder="1"/>
    <xf numFmtId="173" fontId="3" fillId="9" borderId="2" xfId="9" applyNumberFormat="1" applyFill="1" applyBorder="1"/>
    <xf numFmtId="174" fontId="3" fillId="9" borderId="2" xfId="9" applyNumberFormat="1" applyFill="1" applyBorder="1"/>
    <xf numFmtId="3" fontId="3" fillId="0" borderId="2" xfId="9" applyNumberFormat="1" applyBorder="1"/>
    <xf numFmtId="17" fontId="8" fillId="7" borderId="15" xfId="9" applyNumberFormat="1" applyFont="1" applyFill="1" applyBorder="1" applyAlignment="1">
      <alignment horizontal="center" vertical="center"/>
    </xf>
    <xf numFmtId="0" fontId="3" fillId="7" borderId="14" xfId="9" applyFill="1" applyBorder="1"/>
    <xf numFmtId="17" fontId="3" fillId="7" borderId="15" xfId="9" applyNumberFormat="1" applyFill="1" applyBorder="1" applyAlignment="1">
      <alignment horizontal="center" vertical="center"/>
    </xf>
    <xf numFmtId="172" fontId="3" fillId="0" borderId="19" xfId="9" applyNumberFormat="1" applyBorder="1"/>
    <xf numFmtId="172" fontId="3" fillId="0" borderId="20" xfId="9" applyNumberFormat="1" applyBorder="1"/>
    <xf numFmtId="167" fontId="3" fillId="0" borderId="21" xfId="9" applyNumberFormat="1" applyBorder="1"/>
    <xf numFmtId="3" fontId="3" fillId="0" borderId="22" xfId="9" applyNumberFormat="1" applyBorder="1"/>
    <xf numFmtId="17" fontId="8" fillId="7" borderId="2" xfId="9" applyNumberFormat="1" applyFont="1" applyFill="1" applyBorder="1" applyAlignment="1">
      <alignment horizontal="center" vertical="center"/>
    </xf>
    <xf numFmtId="0" fontId="3" fillId="7" borderId="2" xfId="9" applyFill="1" applyBorder="1"/>
    <xf numFmtId="0" fontId="3" fillId="7" borderId="2" xfId="9" applyFill="1" applyBorder="1" applyAlignment="1">
      <alignment horizontal="center"/>
    </xf>
    <xf numFmtId="17" fontId="3" fillId="7" borderId="2" xfId="9" applyNumberFormat="1" applyFill="1" applyBorder="1" applyAlignment="1">
      <alignment horizontal="center" vertical="center"/>
    </xf>
    <xf numFmtId="0" fontId="2" fillId="0" borderId="0" xfId="2" applyFont="1" applyAlignment="1">
      <alignment horizontal="center"/>
    </xf>
    <xf numFmtId="0" fontId="19" fillId="0" borderId="12" xfId="0" applyFont="1" applyBorder="1" applyAlignment="1">
      <alignment horizontal="center" vertical="center" wrapText="1"/>
    </xf>
    <xf numFmtId="0" fontId="19" fillId="0" borderId="23" xfId="0" applyFont="1" applyBorder="1" applyAlignment="1">
      <alignment horizontal="center" vertical="center" wrapText="1"/>
    </xf>
    <xf numFmtId="0" fontId="19" fillId="0" borderId="24" xfId="0" applyFont="1" applyBorder="1" applyAlignment="1">
      <alignment horizontal="center" vertical="center" wrapText="1"/>
    </xf>
    <xf numFmtId="3" fontId="19" fillId="0" borderId="24" xfId="0" applyNumberFormat="1" applyFont="1" applyBorder="1" applyAlignment="1">
      <alignment horizontal="center" vertical="center" wrapText="1"/>
    </xf>
    <xf numFmtId="0" fontId="20" fillId="0" borderId="27" xfId="0" applyFont="1" applyBorder="1" applyAlignment="1">
      <alignment horizontal="center" vertical="center" wrapText="1"/>
    </xf>
    <xf numFmtId="0" fontId="20" fillId="0" borderId="29" xfId="0" applyFont="1" applyBorder="1" applyAlignment="1">
      <alignment horizontal="center" vertical="center" wrapText="1"/>
    </xf>
    <xf numFmtId="0" fontId="19" fillId="0" borderId="25" xfId="0" applyFont="1" applyBorder="1" applyAlignment="1">
      <alignment horizontal="center" vertical="center" wrapText="1"/>
    </xf>
    <xf numFmtId="164" fontId="2" fillId="0" borderId="0" xfId="4" applyNumberFormat="1" applyFont="1" applyBorder="1" applyAlignment="1">
      <alignment horizontal="center"/>
    </xf>
    <xf numFmtId="3" fontId="19" fillId="0" borderId="0" xfId="0" applyNumberFormat="1" applyFont="1"/>
    <xf numFmtId="3" fontId="2" fillId="0" borderId="0" xfId="2" applyNumberFormat="1" applyFont="1" applyAlignment="1">
      <alignment horizontal="center"/>
    </xf>
    <xf numFmtId="3" fontId="23" fillId="0" borderId="12" xfId="0" applyNumberFormat="1" applyFont="1" applyBorder="1" applyAlignment="1">
      <alignment horizontal="center" vertical="center" wrapText="1"/>
    </xf>
    <xf numFmtId="3" fontId="23" fillId="0" borderId="10" xfId="0" applyNumberFormat="1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3" fontId="3" fillId="0" borderId="0" xfId="9" applyNumberFormat="1"/>
    <xf numFmtId="0" fontId="20" fillId="0" borderId="7" xfId="0" applyFont="1" applyBorder="1" applyAlignment="1">
      <alignment horizontal="center" vertical="center" wrapText="1"/>
    </xf>
    <xf numFmtId="0" fontId="0" fillId="0" borderId="10" xfId="0" applyBorder="1" applyAlignment="1">
      <alignment vertical="center" wrapText="1"/>
    </xf>
    <xf numFmtId="0" fontId="20" fillId="0" borderId="11" xfId="2" applyFont="1" applyBorder="1" applyAlignment="1">
      <alignment horizontal="center" vertical="center"/>
    </xf>
    <xf numFmtId="0" fontId="20" fillId="0" borderId="5" xfId="2" applyFont="1" applyBorder="1" applyAlignment="1">
      <alignment horizontal="center" vertical="center"/>
    </xf>
    <xf numFmtId="9" fontId="5" fillId="0" borderId="2" xfId="2" applyNumberFormat="1" applyBorder="1" applyAlignment="1">
      <alignment horizontal="center"/>
    </xf>
    <xf numFmtId="0" fontId="1" fillId="0" borderId="2" xfId="2" applyFont="1" applyBorder="1" applyAlignment="1">
      <alignment horizontal="center"/>
    </xf>
    <xf numFmtId="0" fontId="5" fillId="0" borderId="2" xfId="2" applyBorder="1" applyAlignment="1">
      <alignment horizontal="center"/>
    </xf>
    <xf numFmtId="0" fontId="1" fillId="0" borderId="34" xfId="2" applyFont="1" applyBorder="1" applyAlignment="1">
      <alignment horizontal="center" vertical="center"/>
    </xf>
    <xf numFmtId="0" fontId="1" fillId="0" borderId="0" xfId="9" applyFont="1"/>
    <xf numFmtId="17" fontId="1" fillId="7" borderId="0" xfId="9" applyNumberFormat="1" applyFont="1" applyFill="1" applyAlignment="1">
      <alignment horizontal="center" vertical="center"/>
    </xf>
    <xf numFmtId="0" fontId="1" fillId="5" borderId="0" xfId="2" applyFont="1" applyFill="1" applyAlignment="1">
      <alignment horizontal="center"/>
    </xf>
    <xf numFmtId="1" fontId="2" fillId="0" borderId="0" xfId="2" applyNumberFormat="1" applyFont="1" applyAlignment="1">
      <alignment horizontal="center"/>
    </xf>
    <xf numFmtId="2" fontId="2" fillId="0" borderId="0" xfId="2" applyNumberFormat="1" applyFont="1" applyAlignment="1">
      <alignment horizontal="center"/>
    </xf>
    <xf numFmtId="0" fontId="2" fillId="0" borderId="8" xfId="2" applyFont="1" applyBorder="1" applyAlignment="1">
      <alignment horizontal="center"/>
    </xf>
    <xf numFmtId="0" fontId="2" fillId="0" borderId="6" xfId="2" applyFont="1" applyBorder="1" applyAlignment="1">
      <alignment horizontal="center"/>
    </xf>
    <xf numFmtId="4" fontId="2" fillId="0" borderId="7" xfId="2" applyNumberFormat="1" applyFont="1" applyBorder="1" applyAlignment="1">
      <alignment horizontal="center"/>
    </xf>
    <xf numFmtId="0" fontId="2" fillId="0" borderId="0" xfId="2" applyFont="1" applyAlignment="1">
      <alignment horizontal="center" wrapText="1"/>
    </xf>
    <xf numFmtId="3" fontId="2" fillId="0" borderId="0" xfId="2" applyNumberFormat="1" applyFont="1" applyAlignment="1">
      <alignment horizontal="right"/>
    </xf>
    <xf numFmtId="164" fontId="2" fillId="0" borderId="0" xfId="4" applyNumberFormat="1" applyFont="1" applyAlignment="1">
      <alignment horizontal="center" wrapText="1"/>
    </xf>
    <xf numFmtId="0" fontId="2" fillId="3" borderId="9" xfId="2" applyFont="1" applyFill="1" applyBorder="1" applyAlignment="1">
      <alignment horizontal="center"/>
    </xf>
    <xf numFmtId="164" fontId="2" fillId="3" borderId="9" xfId="6" applyNumberFormat="1" applyFont="1" applyFill="1" applyBorder="1" applyAlignment="1">
      <alignment horizontal="center"/>
    </xf>
    <xf numFmtId="4" fontId="2" fillId="3" borderId="10" xfId="2" applyNumberFormat="1" applyFont="1" applyFill="1" applyBorder="1" applyAlignment="1">
      <alignment horizontal="center"/>
    </xf>
    <xf numFmtId="10" fontId="2" fillId="3" borderId="0" xfId="2" applyNumberFormat="1" applyFont="1" applyFill="1" applyAlignment="1">
      <alignment horizontal="center"/>
    </xf>
    <xf numFmtId="0" fontId="1" fillId="3" borderId="0" xfId="2" applyFont="1" applyFill="1"/>
    <xf numFmtId="0" fontId="1" fillId="0" borderId="0" xfId="2" applyFont="1"/>
    <xf numFmtId="9" fontId="1" fillId="0" borderId="2" xfId="10" applyFont="1" applyBorder="1" applyAlignment="1">
      <alignment horizontal="center" vertical="center"/>
    </xf>
    <xf numFmtId="9" fontId="1" fillId="0" borderId="2" xfId="10" applyFont="1" applyBorder="1" applyAlignment="1">
      <alignment horizontal="center"/>
    </xf>
    <xf numFmtId="0" fontId="20" fillId="0" borderId="11" xfId="0" applyFont="1" applyBorder="1" applyAlignment="1">
      <alignment horizontal="center" vertical="center" wrapText="1"/>
    </xf>
    <xf numFmtId="0" fontId="20" fillId="0" borderId="31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4" fillId="0" borderId="11" xfId="0" applyFont="1" applyBorder="1" applyAlignment="1">
      <alignment horizontal="center" vertical="center" wrapText="1"/>
    </xf>
    <xf numFmtId="0" fontId="24" fillId="0" borderId="12" xfId="0" applyFont="1" applyBorder="1" applyAlignment="1">
      <alignment horizontal="center" vertical="center" wrapText="1"/>
    </xf>
    <xf numFmtId="0" fontId="20" fillId="0" borderId="26" xfId="0" applyFont="1" applyBorder="1" applyAlignment="1">
      <alignment horizontal="center" vertical="center" wrapText="1"/>
    </xf>
    <xf numFmtId="0" fontId="20" fillId="0" borderId="28" xfId="0" applyFont="1" applyBorder="1" applyAlignment="1">
      <alignment horizontal="center" vertical="center" wrapText="1"/>
    </xf>
    <xf numFmtId="0" fontId="20" fillId="0" borderId="30" xfId="0" applyFont="1" applyBorder="1" applyAlignment="1">
      <alignment horizontal="center" vertical="center" wrapText="1"/>
    </xf>
    <xf numFmtId="0" fontId="1" fillId="0" borderId="32" xfId="2" applyFont="1" applyBorder="1" applyAlignment="1">
      <alignment horizontal="center" vertical="center"/>
    </xf>
    <xf numFmtId="0" fontId="1" fillId="0" borderId="33" xfId="2" applyFont="1" applyBorder="1" applyAlignment="1">
      <alignment horizontal="center" vertical="center"/>
    </xf>
    <xf numFmtId="0" fontId="1" fillId="0" borderId="34" xfId="2" applyFont="1" applyBorder="1" applyAlignment="1">
      <alignment horizontal="center" vertical="center"/>
    </xf>
    <xf numFmtId="9" fontId="1" fillId="0" borderId="2" xfId="10" applyFont="1" applyBorder="1" applyAlignment="1">
      <alignment horizontal="center" vertical="center"/>
    </xf>
  </cellXfs>
  <cellStyles count="11">
    <cellStyle name="Comma 2" xfId="4" xr:uid="{9B7E9EDF-59B0-4E3D-9225-220725AD93D5}"/>
    <cellStyle name="Comma 2 2" xfId="6" xr:uid="{13F70409-D1F9-4312-982B-88E1A0EFF0BD}"/>
    <cellStyle name="Currency 2" xfId="5" xr:uid="{6039EC24-9A53-40F4-970C-F50C3DF7E76B}"/>
    <cellStyle name="Hyperlink 2 2" xfId="3" xr:uid="{95D96204-9FEA-4F5B-9187-44CA71260216}"/>
    <cellStyle name="Normal" xfId="0" builtinId="0"/>
    <cellStyle name="Normal 2" xfId="8" xr:uid="{02377692-60AB-2E4F-B012-6D74CCF2221A}"/>
    <cellStyle name="Normal 3" xfId="2" xr:uid="{EEA7CD18-C2D8-4FCE-8125-93DAEB0B4427}"/>
    <cellStyle name="Normal 4" xfId="9" xr:uid="{3E645A5D-1973-254D-B3A8-651FEFAA38AB}"/>
    <cellStyle name="Output" xfId="1" builtinId="21"/>
    <cellStyle name="Percent" xfId="10" builtinId="5"/>
    <cellStyle name="Percent 2" xfId="7" xr:uid="{24D26160-7A99-4283-BD89-F3D6D8E6949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Demand Usage(kW)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'Electricity Main'!$A$7</c:f>
              <c:strCache>
                <c:ptCount val="1"/>
                <c:pt idx="0">
                  <c:v>Demand Usage (kW)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5FF-234F-8483-3DAFACFF9E88}"/>
              </c:ext>
            </c:extLst>
          </c:dPt>
          <c:cat>
            <c:numRef>
              <c:f>'Electricity Main'!$B$2:$M$2</c:f>
              <c:numCache>
                <c:formatCode>mmm\-yy</c:formatCode>
                <c:ptCount val="12"/>
                <c:pt idx="0">
                  <c:v>45170</c:v>
                </c:pt>
                <c:pt idx="1">
                  <c:v>45200</c:v>
                </c:pt>
                <c:pt idx="2">
                  <c:v>45231</c:v>
                </c:pt>
                <c:pt idx="3">
                  <c:v>45261</c:v>
                </c:pt>
                <c:pt idx="4">
                  <c:v>45292</c:v>
                </c:pt>
                <c:pt idx="5">
                  <c:v>45323</c:v>
                </c:pt>
                <c:pt idx="6">
                  <c:v>45352</c:v>
                </c:pt>
                <c:pt idx="7">
                  <c:v>45383</c:v>
                </c:pt>
                <c:pt idx="8">
                  <c:v>45413</c:v>
                </c:pt>
                <c:pt idx="9">
                  <c:v>45444</c:v>
                </c:pt>
                <c:pt idx="10">
                  <c:v>45474</c:v>
                </c:pt>
                <c:pt idx="11">
                  <c:v>45505</c:v>
                </c:pt>
              </c:numCache>
            </c:numRef>
          </c:cat>
          <c:val>
            <c:numRef>
              <c:f>'Electricity Main'!$B$7:$M$7</c:f>
              <c:numCache>
                <c:formatCode>0.000</c:formatCode>
                <c:ptCount val="12"/>
                <c:pt idx="0">
                  <c:v>252.96</c:v>
                </c:pt>
                <c:pt idx="1">
                  <c:v>238.48</c:v>
                </c:pt>
                <c:pt idx="2">
                  <c:v>222.64</c:v>
                </c:pt>
                <c:pt idx="3">
                  <c:v>212.08</c:v>
                </c:pt>
                <c:pt idx="4">
                  <c:v>192.72</c:v>
                </c:pt>
                <c:pt idx="5">
                  <c:v>176</c:v>
                </c:pt>
                <c:pt idx="6">
                  <c:v>209.52</c:v>
                </c:pt>
                <c:pt idx="7">
                  <c:v>218.16</c:v>
                </c:pt>
                <c:pt idx="8" formatCode="0.00">
                  <c:v>231.6</c:v>
                </c:pt>
                <c:pt idx="9">
                  <c:v>249.2</c:v>
                </c:pt>
                <c:pt idx="10">
                  <c:v>257.04000000000002</c:v>
                </c:pt>
                <c:pt idx="11">
                  <c:v>265.92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FF-234F-8483-3DAFACFF9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4575312"/>
        <c:axId val="164573872"/>
      </c:barChart>
      <c:lineChart>
        <c:grouping val="standard"/>
        <c:varyColors val="0"/>
        <c:ser>
          <c:idx val="1"/>
          <c:order val="1"/>
          <c:tx>
            <c:strRef>
              <c:f>'Electricity Main'!$A$7</c:f>
              <c:strCache>
                <c:ptCount val="1"/>
                <c:pt idx="0">
                  <c:v>Demand Usage (kW)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Main'!$B$2:$M$2</c:f>
              <c:numCache>
                <c:formatCode>mmm\-yy</c:formatCode>
                <c:ptCount val="12"/>
                <c:pt idx="0">
                  <c:v>45170</c:v>
                </c:pt>
                <c:pt idx="1">
                  <c:v>45200</c:v>
                </c:pt>
                <c:pt idx="2">
                  <c:v>45231</c:v>
                </c:pt>
                <c:pt idx="3">
                  <c:v>45261</c:v>
                </c:pt>
                <c:pt idx="4">
                  <c:v>45292</c:v>
                </c:pt>
                <c:pt idx="5">
                  <c:v>45323</c:v>
                </c:pt>
                <c:pt idx="6">
                  <c:v>45352</c:v>
                </c:pt>
                <c:pt idx="7">
                  <c:v>45383</c:v>
                </c:pt>
                <c:pt idx="8">
                  <c:v>45413</c:v>
                </c:pt>
                <c:pt idx="9">
                  <c:v>45444</c:v>
                </c:pt>
                <c:pt idx="10">
                  <c:v>45474</c:v>
                </c:pt>
                <c:pt idx="11">
                  <c:v>45505</c:v>
                </c:pt>
              </c:numCache>
            </c:numRef>
          </c:cat>
          <c:val>
            <c:numRef>
              <c:f>'Electricity Main'!$B$7:$M$7</c:f>
              <c:numCache>
                <c:formatCode>0.000</c:formatCode>
                <c:ptCount val="12"/>
                <c:pt idx="0">
                  <c:v>252.96</c:v>
                </c:pt>
                <c:pt idx="1">
                  <c:v>238.48</c:v>
                </c:pt>
                <c:pt idx="2">
                  <c:v>222.64</c:v>
                </c:pt>
                <c:pt idx="3">
                  <c:v>212.08</c:v>
                </c:pt>
                <c:pt idx="4">
                  <c:v>192.72</c:v>
                </c:pt>
                <c:pt idx="5">
                  <c:v>176</c:v>
                </c:pt>
                <c:pt idx="6">
                  <c:v>209.52</c:v>
                </c:pt>
                <c:pt idx="7">
                  <c:v>218.16</c:v>
                </c:pt>
                <c:pt idx="8" formatCode="0.00">
                  <c:v>231.6</c:v>
                </c:pt>
                <c:pt idx="9">
                  <c:v>249.2</c:v>
                </c:pt>
                <c:pt idx="10">
                  <c:v>257.04000000000002</c:v>
                </c:pt>
                <c:pt idx="11">
                  <c:v>265.92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FF-234F-8483-3DAFACFF9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575312"/>
        <c:axId val="164573872"/>
      </c:lineChart>
      <c:dateAx>
        <c:axId val="164575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73872"/>
        <c:crosses val="autoZero"/>
        <c:auto val="1"/>
        <c:lblOffset val="100"/>
        <c:baseTimeUnit val="months"/>
      </c:dateAx>
      <c:valAx>
        <c:axId val="16457387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Demand</a:t>
                </a:r>
                <a:r>
                  <a:rPr lang="en-US" b="1" baseline="0"/>
                  <a:t> Usage (kW)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75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Demand Cost ($)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'Electricity Main'!$A$4</c:f>
              <c:strCache>
                <c:ptCount val="1"/>
                <c:pt idx="0">
                  <c:v>Demand Charge ($)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'Electricity Main'!$B$2:$M$2</c:f>
              <c:numCache>
                <c:formatCode>mmm\-yy</c:formatCode>
                <c:ptCount val="12"/>
                <c:pt idx="0">
                  <c:v>45170</c:v>
                </c:pt>
                <c:pt idx="1">
                  <c:v>45200</c:v>
                </c:pt>
                <c:pt idx="2">
                  <c:v>45231</c:v>
                </c:pt>
                <c:pt idx="3">
                  <c:v>45261</c:v>
                </c:pt>
                <c:pt idx="4">
                  <c:v>45292</c:v>
                </c:pt>
                <c:pt idx="5">
                  <c:v>45323</c:v>
                </c:pt>
                <c:pt idx="6">
                  <c:v>45352</c:v>
                </c:pt>
                <c:pt idx="7">
                  <c:v>45383</c:v>
                </c:pt>
                <c:pt idx="8">
                  <c:v>45413</c:v>
                </c:pt>
                <c:pt idx="9">
                  <c:v>45444</c:v>
                </c:pt>
                <c:pt idx="10">
                  <c:v>45474</c:v>
                </c:pt>
                <c:pt idx="11">
                  <c:v>45505</c:v>
                </c:pt>
              </c:numCache>
            </c:numRef>
          </c:cat>
          <c:val>
            <c:numRef>
              <c:f>'Electricity Main'!$B$4:$M$4</c:f>
              <c:numCache>
                <c:formatCode>"$"#,##0.00</c:formatCode>
                <c:ptCount val="12"/>
                <c:pt idx="0">
                  <c:v>799.85951999999997</c:v>
                </c:pt>
                <c:pt idx="1">
                  <c:v>997.8</c:v>
                </c:pt>
                <c:pt idx="2">
                  <c:v>931.53</c:v>
                </c:pt>
                <c:pt idx="3">
                  <c:v>887.34</c:v>
                </c:pt>
                <c:pt idx="4">
                  <c:v>1984.63</c:v>
                </c:pt>
                <c:pt idx="5">
                  <c:v>736.38</c:v>
                </c:pt>
                <c:pt idx="6">
                  <c:v>876.63</c:v>
                </c:pt>
                <c:pt idx="7">
                  <c:v>912.78</c:v>
                </c:pt>
                <c:pt idx="8">
                  <c:v>968.01</c:v>
                </c:pt>
                <c:pt idx="9">
                  <c:v>1042.6500000000001</c:v>
                </c:pt>
                <c:pt idx="10">
                  <c:v>1075.46</c:v>
                </c:pt>
                <c:pt idx="11">
                  <c:v>1112.6099999999999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AF-6442-A389-9AC9C0DF2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75023616"/>
        <c:axId val="375025056"/>
      </c:barChart>
      <c:lineChart>
        <c:grouping val="standard"/>
        <c:varyColors val="0"/>
        <c:ser>
          <c:idx val="1"/>
          <c:order val="1"/>
          <c:tx>
            <c:strRef>
              <c:f>'Electricity Main'!$A$4:$M$4</c:f>
              <c:strCache>
                <c:ptCount val="13"/>
                <c:pt idx="0">
                  <c:v>Demand Charge ($)</c:v>
                </c:pt>
                <c:pt idx="1">
                  <c:v>$799.86</c:v>
                </c:pt>
                <c:pt idx="2">
                  <c:v>$997.80</c:v>
                </c:pt>
                <c:pt idx="3">
                  <c:v>$931.53</c:v>
                </c:pt>
                <c:pt idx="4">
                  <c:v>$887.34</c:v>
                </c:pt>
                <c:pt idx="5">
                  <c:v>$1,984.63</c:v>
                </c:pt>
                <c:pt idx="6">
                  <c:v>$736.38</c:v>
                </c:pt>
                <c:pt idx="7">
                  <c:v>$876.63</c:v>
                </c:pt>
                <c:pt idx="8">
                  <c:v>$912.78</c:v>
                </c:pt>
                <c:pt idx="9">
                  <c:v>$968.01</c:v>
                </c:pt>
                <c:pt idx="10">
                  <c:v>$1,042.65</c:v>
                </c:pt>
                <c:pt idx="11">
                  <c:v>$1,075.46</c:v>
                </c:pt>
                <c:pt idx="12">
                  <c:v>$1,112.61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Main'!$B$2:$M$2</c:f>
              <c:numCache>
                <c:formatCode>mmm\-yy</c:formatCode>
                <c:ptCount val="12"/>
                <c:pt idx="0">
                  <c:v>45170</c:v>
                </c:pt>
                <c:pt idx="1">
                  <c:v>45200</c:v>
                </c:pt>
                <c:pt idx="2">
                  <c:v>45231</c:v>
                </c:pt>
                <c:pt idx="3">
                  <c:v>45261</c:v>
                </c:pt>
                <c:pt idx="4">
                  <c:v>45292</c:v>
                </c:pt>
                <c:pt idx="5">
                  <c:v>45323</c:v>
                </c:pt>
                <c:pt idx="6">
                  <c:v>45352</c:v>
                </c:pt>
                <c:pt idx="7">
                  <c:v>45383</c:v>
                </c:pt>
                <c:pt idx="8">
                  <c:v>45413</c:v>
                </c:pt>
                <c:pt idx="9">
                  <c:v>45444</c:v>
                </c:pt>
                <c:pt idx="10">
                  <c:v>45474</c:v>
                </c:pt>
                <c:pt idx="11">
                  <c:v>45505</c:v>
                </c:pt>
              </c:numCache>
            </c:numRef>
          </c:cat>
          <c:val>
            <c:numRef>
              <c:f>'Electricity Main'!$B$4:$M$4</c:f>
              <c:numCache>
                <c:formatCode>"$"#,##0.00</c:formatCode>
                <c:ptCount val="12"/>
                <c:pt idx="0">
                  <c:v>799.85951999999997</c:v>
                </c:pt>
                <c:pt idx="1">
                  <c:v>997.8</c:v>
                </c:pt>
                <c:pt idx="2">
                  <c:v>931.53</c:v>
                </c:pt>
                <c:pt idx="3">
                  <c:v>887.34</c:v>
                </c:pt>
                <c:pt idx="4">
                  <c:v>1984.63</c:v>
                </c:pt>
                <c:pt idx="5">
                  <c:v>736.38</c:v>
                </c:pt>
                <c:pt idx="6">
                  <c:v>876.63</c:v>
                </c:pt>
                <c:pt idx="7">
                  <c:v>912.78</c:v>
                </c:pt>
                <c:pt idx="8">
                  <c:v>968.01</c:v>
                </c:pt>
                <c:pt idx="9">
                  <c:v>1042.6500000000001</c:v>
                </c:pt>
                <c:pt idx="10">
                  <c:v>1075.46</c:v>
                </c:pt>
                <c:pt idx="11">
                  <c:v>1112.6099999999999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AF-6442-A389-9AC9C0DF2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023616"/>
        <c:axId val="375025056"/>
      </c:lineChart>
      <c:dateAx>
        <c:axId val="375023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025056"/>
        <c:crosses val="autoZero"/>
        <c:auto val="1"/>
        <c:lblOffset val="100"/>
        <c:baseTimeUnit val="months"/>
      </c:dateAx>
      <c:valAx>
        <c:axId val="37502505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Demand Cost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023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Monthly</a:t>
            </a:r>
            <a:r>
              <a:rPr lang="en-US" b="1" baseline="0"/>
              <a:t> </a:t>
            </a:r>
            <a:r>
              <a:rPr lang="en-US" b="1"/>
              <a:t>Total Charge ($)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74197322388796"/>
          <c:y val="0.27400651465798048"/>
          <c:w val="0.79214089314608538"/>
          <c:h val="0.574188617302316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'Electricity Main'!$A$3</c:f>
              <c:strCache>
                <c:ptCount val="1"/>
                <c:pt idx="0">
                  <c:v>Total Charge ($)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'Electricity Main'!$B$2:$M$2</c:f>
              <c:numCache>
                <c:formatCode>mmm\-yy</c:formatCode>
                <c:ptCount val="12"/>
                <c:pt idx="0">
                  <c:v>45170</c:v>
                </c:pt>
                <c:pt idx="1">
                  <c:v>45200</c:v>
                </c:pt>
                <c:pt idx="2">
                  <c:v>45231</c:v>
                </c:pt>
                <c:pt idx="3">
                  <c:v>45261</c:v>
                </c:pt>
                <c:pt idx="4">
                  <c:v>45292</c:v>
                </c:pt>
                <c:pt idx="5">
                  <c:v>45323</c:v>
                </c:pt>
                <c:pt idx="6">
                  <c:v>45352</c:v>
                </c:pt>
                <c:pt idx="7">
                  <c:v>45383</c:v>
                </c:pt>
                <c:pt idx="8">
                  <c:v>45413</c:v>
                </c:pt>
                <c:pt idx="9">
                  <c:v>45444</c:v>
                </c:pt>
                <c:pt idx="10">
                  <c:v>45474</c:v>
                </c:pt>
                <c:pt idx="11">
                  <c:v>45505</c:v>
                </c:pt>
              </c:numCache>
            </c:numRef>
          </c:cat>
          <c:val>
            <c:numRef>
              <c:f>'Electricity Main'!$B$3:$M$3</c:f>
              <c:numCache>
                <c:formatCode>"$"#,##0.00</c:formatCode>
                <c:ptCount val="12"/>
                <c:pt idx="0">
                  <c:v>8163.91</c:v>
                </c:pt>
                <c:pt idx="1">
                  <c:v>6369.0499999999993</c:v>
                </c:pt>
                <c:pt idx="2">
                  <c:v>5879.31</c:v>
                </c:pt>
                <c:pt idx="3">
                  <c:v>5067.07</c:v>
                </c:pt>
                <c:pt idx="4">
                  <c:v>4522.72</c:v>
                </c:pt>
                <c:pt idx="5">
                  <c:v>5199.91</c:v>
                </c:pt>
                <c:pt idx="6">
                  <c:v>5849.8899999999994</c:v>
                </c:pt>
                <c:pt idx="7">
                  <c:v>6418.22</c:v>
                </c:pt>
                <c:pt idx="8">
                  <c:v>7022.67</c:v>
                </c:pt>
                <c:pt idx="9">
                  <c:v>7850.73</c:v>
                </c:pt>
                <c:pt idx="10">
                  <c:v>7925.27</c:v>
                </c:pt>
                <c:pt idx="11">
                  <c:v>8193.92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78-7A43-95C0-D12BA477C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45173616"/>
        <c:axId val="245174576"/>
      </c:barChart>
      <c:lineChart>
        <c:grouping val="standard"/>
        <c:varyColors val="0"/>
        <c:ser>
          <c:idx val="1"/>
          <c:order val="1"/>
          <c:tx>
            <c:strRef>
              <c:f>'Electricity Main'!$A$3</c:f>
              <c:strCache>
                <c:ptCount val="1"/>
                <c:pt idx="0">
                  <c:v>Total Charge ($)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Main'!$B$2:$M$2</c:f>
              <c:numCache>
                <c:formatCode>mmm\-yy</c:formatCode>
                <c:ptCount val="12"/>
                <c:pt idx="0">
                  <c:v>45170</c:v>
                </c:pt>
                <c:pt idx="1">
                  <c:v>45200</c:v>
                </c:pt>
                <c:pt idx="2">
                  <c:v>45231</c:v>
                </c:pt>
                <c:pt idx="3">
                  <c:v>45261</c:v>
                </c:pt>
                <c:pt idx="4">
                  <c:v>45292</c:v>
                </c:pt>
                <c:pt idx="5">
                  <c:v>45323</c:v>
                </c:pt>
                <c:pt idx="6">
                  <c:v>45352</c:v>
                </c:pt>
                <c:pt idx="7">
                  <c:v>45383</c:v>
                </c:pt>
                <c:pt idx="8">
                  <c:v>45413</c:v>
                </c:pt>
                <c:pt idx="9">
                  <c:v>45444</c:v>
                </c:pt>
                <c:pt idx="10">
                  <c:v>45474</c:v>
                </c:pt>
                <c:pt idx="11">
                  <c:v>45505</c:v>
                </c:pt>
              </c:numCache>
            </c:numRef>
          </c:cat>
          <c:val>
            <c:numRef>
              <c:f>'Electricity Main'!$B$3:$M$3</c:f>
              <c:numCache>
                <c:formatCode>"$"#,##0.00</c:formatCode>
                <c:ptCount val="12"/>
                <c:pt idx="0">
                  <c:v>8163.91</c:v>
                </c:pt>
                <c:pt idx="1">
                  <c:v>6369.0499999999993</c:v>
                </c:pt>
                <c:pt idx="2">
                  <c:v>5879.31</c:v>
                </c:pt>
                <c:pt idx="3">
                  <c:v>5067.07</c:v>
                </c:pt>
                <c:pt idx="4">
                  <c:v>4522.72</c:v>
                </c:pt>
                <c:pt idx="5">
                  <c:v>5199.91</c:v>
                </c:pt>
                <c:pt idx="6">
                  <c:v>5849.8899999999994</c:v>
                </c:pt>
                <c:pt idx="7">
                  <c:v>6418.22</c:v>
                </c:pt>
                <c:pt idx="8">
                  <c:v>7022.67</c:v>
                </c:pt>
                <c:pt idx="9">
                  <c:v>7850.73</c:v>
                </c:pt>
                <c:pt idx="10">
                  <c:v>7925.27</c:v>
                </c:pt>
                <c:pt idx="11">
                  <c:v>8193.92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78-7A43-95C0-D12BA477C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173616"/>
        <c:axId val="245174576"/>
      </c:lineChart>
      <c:dateAx>
        <c:axId val="245173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174576"/>
        <c:crosses val="autoZero"/>
        <c:auto val="1"/>
        <c:lblOffset val="100"/>
        <c:baseTimeUnit val="months"/>
      </c:dateAx>
      <c:valAx>
        <c:axId val="24517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 Charge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173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Electricity Cost ($)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'Electricity Main'!$A$6</c:f>
              <c:strCache>
                <c:ptCount val="1"/>
                <c:pt idx="0">
                  <c:v>Energy Charge ($)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'Electricity Main'!$B$2:$M$2</c:f>
              <c:numCache>
                <c:formatCode>mmm\-yy</c:formatCode>
                <c:ptCount val="12"/>
                <c:pt idx="0">
                  <c:v>45170</c:v>
                </c:pt>
                <c:pt idx="1">
                  <c:v>45200</c:v>
                </c:pt>
                <c:pt idx="2">
                  <c:v>45231</c:v>
                </c:pt>
                <c:pt idx="3">
                  <c:v>45261</c:v>
                </c:pt>
                <c:pt idx="4">
                  <c:v>45292</c:v>
                </c:pt>
                <c:pt idx="5">
                  <c:v>45323</c:v>
                </c:pt>
                <c:pt idx="6">
                  <c:v>45352</c:v>
                </c:pt>
                <c:pt idx="7">
                  <c:v>45383</c:v>
                </c:pt>
                <c:pt idx="8">
                  <c:v>45413</c:v>
                </c:pt>
                <c:pt idx="9">
                  <c:v>45444</c:v>
                </c:pt>
                <c:pt idx="10">
                  <c:v>45474</c:v>
                </c:pt>
                <c:pt idx="11">
                  <c:v>45505</c:v>
                </c:pt>
              </c:numCache>
            </c:numRef>
          </c:cat>
          <c:val>
            <c:numRef>
              <c:f>'Electricity Main'!$B$6:$M$6</c:f>
              <c:numCache>
                <c:formatCode>"$"#,##0.00</c:formatCode>
                <c:ptCount val="12"/>
                <c:pt idx="0">
                  <c:v>4092.5058399999998</c:v>
                </c:pt>
                <c:pt idx="1">
                  <c:v>2894.73</c:v>
                </c:pt>
                <c:pt idx="2">
                  <c:v>2775.09</c:v>
                </c:pt>
                <c:pt idx="3">
                  <c:v>2335</c:v>
                </c:pt>
                <c:pt idx="4">
                  <c:v>806.34</c:v>
                </c:pt>
                <c:pt idx="5">
                  <c:v>2232.4499999999998</c:v>
                </c:pt>
                <c:pt idx="6">
                  <c:v>2407.64</c:v>
                </c:pt>
                <c:pt idx="7">
                  <c:v>2548.59</c:v>
                </c:pt>
                <c:pt idx="8">
                  <c:v>3018.6</c:v>
                </c:pt>
                <c:pt idx="9">
                  <c:v>3426.17</c:v>
                </c:pt>
                <c:pt idx="10">
                  <c:v>3484.98</c:v>
                </c:pt>
                <c:pt idx="11">
                  <c:v>3641.81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E5-E646-8F2C-495DBAB58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7838944"/>
        <c:axId val="107839424"/>
      </c:barChart>
      <c:lineChart>
        <c:grouping val="standard"/>
        <c:varyColors val="0"/>
        <c:ser>
          <c:idx val="1"/>
          <c:order val="1"/>
          <c:tx>
            <c:strRef>
              <c:f>'Electricity Main'!$A$6</c:f>
              <c:strCache>
                <c:ptCount val="1"/>
                <c:pt idx="0">
                  <c:v>Energy Charge ($)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Main'!$B$2:$M$2</c:f>
              <c:numCache>
                <c:formatCode>mmm\-yy</c:formatCode>
                <c:ptCount val="12"/>
                <c:pt idx="0">
                  <c:v>45170</c:v>
                </c:pt>
                <c:pt idx="1">
                  <c:v>45200</c:v>
                </c:pt>
                <c:pt idx="2">
                  <c:v>45231</c:v>
                </c:pt>
                <c:pt idx="3">
                  <c:v>45261</c:v>
                </c:pt>
                <c:pt idx="4">
                  <c:v>45292</c:v>
                </c:pt>
                <c:pt idx="5">
                  <c:v>45323</c:v>
                </c:pt>
                <c:pt idx="6">
                  <c:v>45352</c:v>
                </c:pt>
                <c:pt idx="7">
                  <c:v>45383</c:v>
                </c:pt>
                <c:pt idx="8">
                  <c:v>45413</c:v>
                </c:pt>
                <c:pt idx="9">
                  <c:v>45444</c:v>
                </c:pt>
                <c:pt idx="10">
                  <c:v>45474</c:v>
                </c:pt>
                <c:pt idx="11">
                  <c:v>45505</c:v>
                </c:pt>
              </c:numCache>
            </c:numRef>
          </c:cat>
          <c:val>
            <c:numRef>
              <c:f>'Electricity Main'!$B$6:$M$6</c:f>
              <c:numCache>
                <c:formatCode>"$"#,##0.00</c:formatCode>
                <c:ptCount val="12"/>
                <c:pt idx="0">
                  <c:v>4092.5058399999998</c:v>
                </c:pt>
                <c:pt idx="1">
                  <c:v>2894.73</c:v>
                </c:pt>
                <c:pt idx="2">
                  <c:v>2775.09</c:v>
                </c:pt>
                <c:pt idx="3">
                  <c:v>2335</c:v>
                </c:pt>
                <c:pt idx="4">
                  <c:v>806.34</c:v>
                </c:pt>
                <c:pt idx="5">
                  <c:v>2232.4499999999998</c:v>
                </c:pt>
                <c:pt idx="6">
                  <c:v>2407.64</c:v>
                </c:pt>
                <c:pt idx="7">
                  <c:v>2548.59</c:v>
                </c:pt>
                <c:pt idx="8">
                  <c:v>3018.6</c:v>
                </c:pt>
                <c:pt idx="9">
                  <c:v>3426.17</c:v>
                </c:pt>
                <c:pt idx="10">
                  <c:v>3484.98</c:v>
                </c:pt>
                <c:pt idx="11">
                  <c:v>3641.81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E5-E646-8F2C-495DBAB58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838944"/>
        <c:axId val="107839424"/>
      </c:lineChart>
      <c:dateAx>
        <c:axId val="107838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39424"/>
        <c:crosses val="autoZero"/>
        <c:auto val="1"/>
        <c:lblOffset val="100"/>
        <c:baseTimeUnit val="months"/>
      </c:dateAx>
      <c:valAx>
        <c:axId val="10783942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Electricity</a:t>
                </a:r>
                <a:r>
                  <a:rPr lang="en-US" b="1" baseline="0"/>
                  <a:t> </a:t>
                </a:r>
                <a:r>
                  <a:rPr lang="en-US" b="1"/>
                  <a:t>Cost($)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38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Monthly</a:t>
            </a:r>
            <a:r>
              <a:rPr lang="en-US" b="1" baseline="0"/>
              <a:t> PCA Charge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'Electricity Main'!$A$5</c:f>
              <c:strCache>
                <c:ptCount val="1"/>
                <c:pt idx="0">
                  <c:v>PCA Charge ($)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'Electricity Main'!$B$2:$M$2</c:f>
              <c:numCache>
                <c:formatCode>mmm\-yy</c:formatCode>
                <c:ptCount val="12"/>
                <c:pt idx="0">
                  <c:v>45170</c:v>
                </c:pt>
                <c:pt idx="1">
                  <c:v>45200</c:v>
                </c:pt>
                <c:pt idx="2">
                  <c:v>45231</c:v>
                </c:pt>
                <c:pt idx="3">
                  <c:v>45261</c:v>
                </c:pt>
                <c:pt idx="4">
                  <c:v>45292</c:v>
                </c:pt>
                <c:pt idx="5">
                  <c:v>45323</c:v>
                </c:pt>
                <c:pt idx="6">
                  <c:v>45352</c:v>
                </c:pt>
                <c:pt idx="7">
                  <c:v>45383</c:v>
                </c:pt>
                <c:pt idx="8">
                  <c:v>45413</c:v>
                </c:pt>
                <c:pt idx="9">
                  <c:v>45444</c:v>
                </c:pt>
                <c:pt idx="10">
                  <c:v>45474</c:v>
                </c:pt>
                <c:pt idx="11">
                  <c:v>45505</c:v>
                </c:pt>
              </c:numCache>
            </c:numRef>
          </c:cat>
          <c:val>
            <c:numRef>
              <c:f>'Electricity Main'!$B$5:$M$5</c:f>
              <c:numCache>
                <c:formatCode>"$"#,##0.00</c:formatCode>
                <c:ptCount val="12"/>
                <c:pt idx="0">
                  <c:v>3271.5446400000001</c:v>
                </c:pt>
                <c:pt idx="1">
                  <c:v>2476.52</c:v>
                </c:pt>
                <c:pt idx="2">
                  <c:v>2172.69</c:v>
                </c:pt>
                <c:pt idx="3">
                  <c:v>1844.73</c:v>
                </c:pt>
                <c:pt idx="4">
                  <c:v>1731.75</c:v>
                </c:pt>
                <c:pt idx="5">
                  <c:v>2231.08</c:v>
                </c:pt>
                <c:pt idx="6">
                  <c:v>2565.62</c:v>
                </c:pt>
                <c:pt idx="7">
                  <c:v>2956.85</c:v>
                </c:pt>
                <c:pt idx="8">
                  <c:v>3036.06</c:v>
                </c:pt>
                <c:pt idx="9">
                  <c:v>3381.91</c:v>
                </c:pt>
                <c:pt idx="10">
                  <c:v>3364.83</c:v>
                </c:pt>
                <c:pt idx="11">
                  <c:v>3439.5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3D-2E4C-B40A-E3C6F2256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9031440"/>
        <c:axId val="169031920"/>
      </c:barChart>
      <c:lineChart>
        <c:grouping val="standard"/>
        <c:varyColors val="0"/>
        <c:ser>
          <c:idx val="1"/>
          <c:order val="1"/>
          <c:tx>
            <c:strRef>
              <c:f>'Electricity Main'!$A$5</c:f>
              <c:strCache>
                <c:ptCount val="1"/>
                <c:pt idx="0">
                  <c:v>PCA Charge ($)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Main'!$B$2:$M$2</c:f>
              <c:numCache>
                <c:formatCode>mmm\-yy</c:formatCode>
                <c:ptCount val="12"/>
                <c:pt idx="0">
                  <c:v>45170</c:v>
                </c:pt>
                <c:pt idx="1">
                  <c:v>45200</c:v>
                </c:pt>
                <c:pt idx="2">
                  <c:v>45231</c:v>
                </c:pt>
                <c:pt idx="3">
                  <c:v>45261</c:v>
                </c:pt>
                <c:pt idx="4">
                  <c:v>45292</c:v>
                </c:pt>
                <c:pt idx="5">
                  <c:v>45323</c:v>
                </c:pt>
                <c:pt idx="6">
                  <c:v>45352</c:v>
                </c:pt>
                <c:pt idx="7">
                  <c:v>45383</c:v>
                </c:pt>
                <c:pt idx="8">
                  <c:v>45413</c:v>
                </c:pt>
                <c:pt idx="9">
                  <c:v>45444</c:v>
                </c:pt>
                <c:pt idx="10">
                  <c:v>45474</c:v>
                </c:pt>
                <c:pt idx="11">
                  <c:v>45505</c:v>
                </c:pt>
              </c:numCache>
            </c:numRef>
          </c:cat>
          <c:val>
            <c:numRef>
              <c:f>'Electricity Main'!$B$5:$M$5</c:f>
              <c:numCache>
                <c:formatCode>"$"#,##0.00</c:formatCode>
                <c:ptCount val="12"/>
                <c:pt idx="0">
                  <c:v>3271.5446400000001</c:v>
                </c:pt>
                <c:pt idx="1">
                  <c:v>2476.52</c:v>
                </c:pt>
                <c:pt idx="2">
                  <c:v>2172.69</c:v>
                </c:pt>
                <c:pt idx="3">
                  <c:v>1844.73</c:v>
                </c:pt>
                <c:pt idx="4">
                  <c:v>1731.75</c:v>
                </c:pt>
                <c:pt idx="5">
                  <c:v>2231.08</c:v>
                </c:pt>
                <c:pt idx="6">
                  <c:v>2565.62</c:v>
                </c:pt>
                <c:pt idx="7">
                  <c:v>2956.85</c:v>
                </c:pt>
                <c:pt idx="8">
                  <c:v>3036.06</c:v>
                </c:pt>
                <c:pt idx="9">
                  <c:v>3381.91</c:v>
                </c:pt>
                <c:pt idx="10">
                  <c:v>3364.83</c:v>
                </c:pt>
                <c:pt idx="11">
                  <c:v>3439.5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3D-2E4C-B40A-E3C6F2256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1440"/>
        <c:axId val="169031920"/>
      </c:lineChart>
      <c:dateAx>
        <c:axId val="16903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31920"/>
        <c:crosses val="autoZero"/>
        <c:auto val="1"/>
        <c:lblOffset val="100"/>
        <c:baseTimeUnit val="months"/>
      </c:dateAx>
      <c:valAx>
        <c:axId val="16903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PCA Charge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31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Usage( kWh)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'Electricity Main'!$A$9</c:f>
              <c:strCache>
                <c:ptCount val="1"/>
                <c:pt idx="0">
                  <c:v>kWh Usage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'Electricity Main'!$B$2:$M$2</c:f>
              <c:numCache>
                <c:formatCode>mmm\-yy</c:formatCode>
                <c:ptCount val="12"/>
                <c:pt idx="0">
                  <c:v>45170</c:v>
                </c:pt>
                <c:pt idx="1">
                  <c:v>45200</c:v>
                </c:pt>
                <c:pt idx="2">
                  <c:v>45231</c:v>
                </c:pt>
                <c:pt idx="3">
                  <c:v>45261</c:v>
                </c:pt>
                <c:pt idx="4">
                  <c:v>45292</c:v>
                </c:pt>
                <c:pt idx="5">
                  <c:v>45323</c:v>
                </c:pt>
                <c:pt idx="6">
                  <c:v>45352</c:v>
                </c:pt>
                <c:pt idx="7">
                  <c:v>45383</c:v>
                </c:pt>
                <c:pt idx="8">
                  <c:v>45413</c:v>
                </c:pt>
                <c:pt idx="9">
                  <c:v>45444</c:v>
                </c:pt>
                <c:pt idx="10">
                  <c:v>45474</c:v>
                </c:pt>
                <c:pt idx="11">
                  <c:v>45505</c:v>
                </c:pt>
              </c:numCache>
            </c:numRef>
          </c:cat>
          <c:val>
            <c:numRef>
              <c:f>'Electricity Main'!$B$9:$M$9</c:f>
              <c:numCache>
                <c:formatCode>#,##0</c:formatCode>
                <c:ptCount val="12"/>
                <c:pt idx="0">
                  <c:v>72800</c:v>
                </c:pt>
                <c:pt idx="1">
                  <c:v>54160</c:v>
                </c:pt>
                <c:pt idx="2">
                  <c:v>51920</c:v>
                </c:pt>
                <c:pt idx="3">
                  <c:v>43680</c:v>
                </c:pt>
                <c:pt idx="4">
                  <c:v>37120</c:v>
                </c:pt>
                <c:pt idx="5">
                  <c:v>41760</c:v>
                </c:pt>
                <c:pt idx="6">
                  <c:v>45040</c:v>
                </c:pt>
                <c:pt idx="7">
                  <c:v>47680</c:v>
                </c:pt>
                <c:pt idx="8">
                  <c:v>56480</c:v>
                </c:pt>
                <c:pt idx="9">
                  <c:v>64480</c:v>
                </c:pt>
                <c:pt idx="10">
                  <c:v>65680</c:v>
                </c:pt>
                <c:pt idx="11">
                  <c:v>68880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87-3440-A1CD-9A0AB7C0D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38798351"/>
        <c:axId val="1038796431"/>
      </c:barChart>
      <c:lineChart>
        <c:grouping val="standard"/>
        <c:varyColors val="0"/>
        <c:ser>
          <c:idx val="1"/>
          <c:order val="1"/>
          <c:tx>
            <c:strRef>
              <c:f>'Electricity Main'!$A$9</c:f>
              <c:strCache>
                <c:ptCount val="1"/>
                <c:pt idx="0">
                  <c:v>kWh Usage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Main'!$B$2:$M$2</c:f>
              <c:numCache>
                <c:formatCode>mmm\-yy</c:formatCode>
                <c:ptCount val="12"/>
                <c:pt idx="0">
                  <c:v>45170</c:v>
                </c:pt>
                <c:pt idx="1">
                  <c:v>45200</c:v>
                </c:pt>
                <c:pt idx="2">
                  <c:v>45231</c:v>
                </c:pt>
                <c:pt idx="3">
                  <c:v>45261</c:v>
                </c:pt>
                <c:pt idx="4">
                  <c:v>45292</c:v>
                </c:pt>
                <c:pt idx="5">
                  <c:v>45323</c:v>
                </c:pt>
                <c:pt idx="6">
                  <c:v>45352</c:v>
                </c:pt>
                <c:pt idx="7">
                  <c:v>45383</c:v>
                </c:pt>
                <c:pt idx="8">
                  <c:v>45413</c:v>
                </c:pt>
                <c:pt idx="9">
                  <c:v>45444</c:v>
                </c:pt>
                <c:pt idx="10">
                  <c:v>45474</c:v>
                </c:pt>
                <c:pt idx="11">
                  <c:v>45505</c:v>
                </c:pt>
              </c:numCache>
            </c:numRef>
          </c:cat>
          <c:val>
            <c:numRef>
              <c:f>'Electricity Main'!$B$9:$M$9</c:f>
              <c:numCache>
                <c:formatCode>#,##0</c:formatCode>
                <c:ptCount val="12"/>
                <c:pt idx="0">
                  <c:v>72800</c:v>
                </c:pt>
                <c:pt idx="1">
                  <c:v>54160</c:v>
                </c:pt>
                <c:pt idx="2">
                  <c:v>51920</c:v>
                </c:pt>
                <c:pt idx="3">
                  <c:v>43680</c:v>
                </c:pt>
                <c:pt idx="4">
                  <c:v>37120</c:v>
                </c:pt>
                <c:pt idx="5">
                  <c:v>41760</c:v>
                </c:pt>
                <c:pt idx="6">
                  <c:v>45040</c:v>
                </c:pt>
                <c:pt idx="7">
                  <c:v>47680</c:v>
                </c:pt>
                <c:pt idx="8">
                  <c:v>56480</c:v>
                </c:pt>
                <c:pt idx="9">
                  <c:v>64480</c:v>
                </c:pt>
                <c:pt idx="10">
                  <c:v>65680</c:v>
                </c:pt>
                <c:pt idx="11">
                  <c:v>68880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87-3440-A1CD-9A0AB7C0D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8798351"/>
        <c:axId val="1038796431"/>
      </c:lineChart>
      <c:dateAx>
        <c:axId val="1038798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796431"/>
        <c:crosses val="autoZero"/>
        <c:auto val="1"/>
        <c:lblOffset val="100"/>
        <c:baseTimeUnit val="months"/>
      </c:dateAx>
      <c:valAx>
        <c:axId val="1038796431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Usage</a:t>
                </a:r>
                <a:r>
                  <a:rPr lang="en-US" baseline="0"/>
                  <a:t> </a:t>
                </a:r>
                <a:r>
                  <a:rPr lang="en-US"/>
                  <a:t>(kWh)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798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1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4229-0C44-A98B-812D66465F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4229-0C44-A98B-812D66465F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4229-0C44-A98B-812D66465F3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4229-0C44-A98B-812D66465F3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4229-0C44-A98B-812D66465F39}"/>
              </c:ext>
            </c:extLst>
          </c:dPt>
          <c:dLbls>
            <c:dLbl>
              <c:idx val="0"/>
              <c:layout>
                <c:manualLayout>
                  <c:x val="-0.18721672909166068"/>
                  <c:y val="-1.160939848949502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CNC Machine</a:t>
                    </a:r>
                  </a:p>
                  <a:p>
                    <a:pPr>
                      <a:defRPr sz="1000" b="1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50%</a:t>
                    </a:r>
                    <a:endParaRPr lang="en-US"/>
                  </a:p>
                </c:rich>
              </c:tx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  <c15:layout>
                    <c:manualLayout>
                      <c:w val="0.12087712920899001"/>
                      <c:h val="0.15995984569311136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1-4229-0C44-A98B-812D66465F39}"/>
                </c:ext>
              </c:extLst>
            </c:dLbl>
            <c:dLbl>
              <c:idx val="1"/>
              <c:layout>
                <c:manualLayout>
                  <c:x val="9.7101896252231062E-2"/>
                  <c:y val="-0.2354948453540753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Machine Center</a:t>
                    </a:r>
                  </a:p>
                  <a:p>
                    <a:pPr>
                      <a:defRPr sz="1000" b="1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13%</a:t>
                    </a:r>
                  </a:p>
                </c:rich>
              </c:tx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  <c15:layout>
                    <c:manualLayout>
                      <c:w val="0.14253168249961984"/>
                      <c:h val="0.13057879861757155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3-4229-0C44-A98B-812D66465F39}"/>
                </c:ext>
              </c:extLst>
            </c:dLbl>
            <c:dLbl>
              <c:idx val="2"/>
              <c:layout>
                <c:manualLayout>
                  <c:x val="0.14897386243273414"/>
                  <c:y val="1.81055567903965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A/C Units</a:t>
                    </a:r>
                  </a:p>
                  <a:p>
                    <a:pPr>
                      <a:defRPr sz="1000" b="1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28%</a:t>
                    </a:r>
                  </a:p>
                </c:rich>
              </c:tx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1163998243618183"/>
                      <c:h val="0.14346033963640217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5-4229-0C44-A98B-812D66465F39}"/>
                </c:ext>
              </c:extLst>
            </c:dLbl>
            <c:dLbl>
              <c:idx val="3"/>
              <c:layout>
                <c:manualLayout>
                  <c:x val="6.9307906210862857E-2"/>
                  <c:y val="6.309572053419505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Production </a:t>
                    </a:r>
                  </a:p>
                  <a:p>
                    <a:pPr>
                      <a:defRPr sz="1000" b="1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Line</a:t>
                    </a:r>
                  </a:p>
                  <a:p>
                    <a:pPr>
                      <a:defRPr sz="1000" b="1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9%</a:t>
                    </a:r>
                  </a:p>
                </c:rich>
              </c:tx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0457138634544406"/>
                      <c:h val="0.21873316237380169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7-4229-0C44-A98B-812D66465F39}"/>
                </c:ext>
              </c:extLst>
            </c:dLbl>
            <c:dLbl>
              <c:idx val="4"/>
              <c:layout>
                <c:manualLayout>
                  <c:x val="6.9791005596878536E-2"/>
                  <c:y val="5.918580990451961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CAS</a:t>
                    </a:r>
                  </a:p>
                  <a:p>
                    <a:pPr>
                      <a:defRPr sz="1000" b="1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F6D12F7-4E43-4F4A-A71F-B80303DA5FD6}" type="PERCENTAGE">
                      <a:rPr lang="en-US"/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[PERCENTAGE]</a:t>
                    </a:fld>
                    <a:endParaRPr lang="en-US"/>
                  </a:p>
                </c:rich>
              </c:tx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2874297990581743"/>
                      <c:h val="0.13218786732005144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229-0C44-A98B-812D66465F3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Messer Cutting Systems</a:t>
                    </a:r>
                  </a:p>
                  <a:p>
                    <a:fld id="{F8FB7B29-F475-E046-8C32-CF0E6C2DE152}" type="PERCENTAGE">
                      <a:rPr lang="en-US"/>
                      <a:pPr/>
                      <a:t>[PERCENTAGE]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A-4229-0C44-A98B-812D66465F39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eparator>, </c:separator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'Section 2 (2)'!$H$4:$H$7</c:f>
              <c:numCache>
                <c:formatCode>#,##0</c:formatCode>
                <c:ptCount val="4"/>
                <c:pt idx="0">
                  <c:v>720</c:v>
                </c:pt>
                <c:pt idx="1">
                  <c:v>180</c:v>
                </c:pt>
                <c:pt idx="2">
                  <c:v>400</c:v>
                </c:pt>
                <c:pt idx="3">
                  <c:v>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229-0C44-A98B-812D66465F39}"/>
            </c:ext>
          </c:extLst>
        </c:ser>
        <c:ser>
          <c:idx val="0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4229-0C44-A98B-812D66465F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4229-0C44-A98B-812D66465F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4229-0C44-A98B-812D66465F3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4229-0C44-A98B-812D66465F3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5-4229-0C44-A98B-812D66465F39}"/>
              </c:ext>
            </c:extLst>
          </c:dPt>
          <c:dLbls>
            <c:delete val="1"/>
          </c:dLbls>
          <c:val>
            <c:numRef>
              <c:f>'Section 2 (2)'!$H$4:$H$7</c:f>
              <c:numCache>
                <c:formatCode>#,##0</c:formatCode>
                <c:ptCount val="4"/>
                <c:pt idx="0">
                  <c:v>720</c:v>
                </c:pt>
                <c:pt idx="1">
                  <c:v>180</c:v>
                </c:pt>
                <c:pt idx="2">
                  <c:v>400</c:v>
                </c:pt>
                <c:pt idx="3">
                  <c:v>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229-0C44-A98B-812D66465F3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2C2A-4A2F-8D6C-817705983CD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2-2C2A-4A2F-8D6C-817705983CD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2C2A-4A2F-8D6C-817705983CD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4-2C2A-4A2F-8D6C-817705983CD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2C2A-4A2F-8D6C-817705983CD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6-2C2A-4A2F-8D6C-817705983CD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7-2C2A-4A2F-8D6C-817705983CD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8-2C2A-4A2F-8D6C-817705983CD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9-2C2A-4A2F-8D6C-817705983CD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A-2C2A-4A2F-8D6C-817705983CD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B-2C2A-4A2F-8D6C-817705983CD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C-2C2A-4A2F-8D6C-817705983CD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D-2C2A-4A2F-8D6C-817705983CD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E-2C2A-4A2F-8D6C-817705983CDD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2C2A-4A2F-8D6C-817705983CDD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2C2A-4A2F-8D6C-817705983CDD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2C2A-4A2F-8D6C-817705983CDD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2C2A-4A2F-8D6C-817705983CDD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2C2A-4A2F-8D6C-817705983CDD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2C2A-4A2F-8D6C-817705983CDD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2C2A-4A2F-8D6C-817705983CDD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8-2C2A-4A2F-8D6C-817705983CDD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2C2A-4A2F-8D6C-817705983CDD}"/>
                </c:ext>
              </c:extLst>
            </c:dLbl>
            <c:dLbl>
              <c:idx val="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A-2C2A-4A2F-8D6C-817705983CDD}"/>
                </c:ext>
              </c:extLst>
            </c:dLbl>
            <c:dLbl>
              <c:idx val="10"/>
              <c:layout>
                <c:manualLayout>
                  <c:x val="8.0906148867313912E-2"/>
                  <c:y val="-1.3748122645330927E-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C2A-4A2F-8D6C-817705983CDD}"/>
                </c:ext>
              </c:extLst>
            </c:dLbl>
            <c:dLbl>
              <c:idx val="1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C-2C2A-4A2F-8D6C-817705983CDD}"/>
                </c:ext>
              </c:extLst>
            </c:dLbl>
            <c:dLbl>
              <c:idx val="1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D-2C2A-4A2F-8D6C-817705983CDD}"/>
                </c:ext>
              </c:extLst>
            </c:dLbl>
            <c:dLbl>
              <c:idx val="1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E-2C2A-4A2F-8D6C-817705983CDD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'Section 2 (2)'!$E$14:$E$27</c:f>
              <c:strCache>
                <c:ptCount val="14"/>
                <c:pt idx="0">
                  <c:v>CNC Machine</c:v>
                </c:pt>
                <c:pt idx="4">
                  <c:v>CNC Lathes</c:v>
                </c:pt>
                <c:pt idx="6">
                  <c:v>Horizontal Machining Center</c:v>
                </c:pt>
                <c:pt idx="7">
                  <c:v>CNC Turning Center</c:v>
                </c:pt>
                <c:pt idx="10">
                  <c:v>Vertical Machining Center</c:v>
                </c:pt>
                <c:pt idx="12">
                  <c:v>Air Compressor</c:v>
                </c:pt>
                <c:pt idx="13">
                  <c:v>HVAC</c:v>
                </c:pt>
              </c:strCache>
            </c:strRef>
          </c:cat>
          <c:val>
            <c:numRef>
              <c:f>'Section 2 (2)'!$I$14:$I$27</c:f>
              <c:numCache>
                <c:formatCode>0%</c:formatCode>
                <c:ptCount val="14"/>
                <c:pt idx="0">
                  <c:v>0.3</c:v>
                </c:pt>
                <c:pt idx="4">
                  <c:v>8.5106382978723402E-2</c:v>
                </c:pt>
                <c:pt idx="6">
                  <c:v>3.4042553191489362E-2</c:v>
                </c:pt>
                <c:pt idx="7">
                  <c:v>7.7659574468085107E-2</c:v>
                </c:pt>
                <c:pt idx="10">
                  <c:v>3.9361702127659576E-2</c:v>
                </c:pt>
                <c:pt idx="12">
                  <c:v>6.3829787234042548E-2</c:v>
                </c:pt>
                <c:pt idx="13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2A-4A2F-8D6C-817705983CDD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5B4-41C2-8961-B3083317465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5B4-41C2-8961-B3083317465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5B4-41C2-8961-B3083317465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25B4-41C2-8961-B3083317465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25B4-41C2-8961-B3083317465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25B4-41C2-8961-B3083317465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25B4-41C2-8961-B3083317465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25B4-41C2-8961-B30833174658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Boiler</a:t>
                    </a:r>
                  </a:p>
                  <a:p>
                    <a:fld id="{F6C1DF51-9179-49C3-A6F0-CC808C834494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5B4-41C2-8961-B30833174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'Energy Consumption'!$C$3:$C$8</c:f>
              <c:strCache>
                <c:ptCount val="6"/>
                <c:pt idx="0">
                  <c:v>Blower</c:v>
                </c:pt>
                <c:pt idx="1">
                  <c:v>Grinder</c:v>
                </c:pt>
                <c:pt idx="2">
                  <c:v>Drag Machine</c:v>
                </c:pt>
                <c:pt idx="3">
                  <c:v>Miling Machine</c:v>
                </c:pt>
                <c:pt idx="4">
                  <c:v>Air Compressor</c:v>
                </c:pt>
                <c:pt idx="5">
                  <c:v>Destoner</c:v>
                </c:pt>
              </c:strCache>
            </c:strRef>
          </c:cat>
          <c:val>
            <c:numRef>
              <c:f>'Energy Consumption'!$G$3:$G$8</c:f>
              <c:numCache>
                <c:formatCode>0%</c:formatCode>
                <c:ptCount val="6"/>
                <c:pt idx="0">
                  <c:v>0.1360544217687075</c:v>
                </c:pt>
                <c:pt idx="1">
                  <c:v>0.1360544217687075</c:v>
                </c:pt>
                <c:pt idx="2">
                  <c:v>0.20408163265306123</c:v>
                </c:pt>
                <c:pt idx="3">
                  <c:v>0.21768707482993196</c:v>
                </c:pt>
                <c:pt idx="4">
                  <c:v>0.17006802721088435</c:v>
                </c:pt>
                <c:pt idx="5">
                  <c:v>0.1360544217687075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5B4-41C2-8961-B30833174658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2-25B4-41C2-8961-B3083317465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4-25B4-41C2-8961-B3083317465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6-25B4-41C2-8961-B3083317465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8-25B4-41C2-8961-B3083317465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A-25B4-41C2-8961-B3083317465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C-25B4-41C2-8961-B3083317465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E-25B4-41C2-8961-B3083317465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0-25B4-41C2-8961-B3083317465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'Energy Consumption'!$C$3:$C$8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5B4-41C2-8961-B3083317465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9787-4135-AC44-244127DC55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9787-4135-AC44-244127DC557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9787-4135-AC44-244127DC557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9787-4135-AC44-244127DC557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9787-4135-AC44-244127DC557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9787-4135-AC44-244127DC557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9787-4135-AC44-244127DC557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9787-4135-AC44-244127DC557F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'Energy Consumption'!$C$3:$C$8</c:f>
              <c:strCache>
                <c:ptCount val="6"/>
                <c:pt idx="0">
                  <c:v>Blower</c:v>
                </c:pt>
                <c:pt idx="1">
                  <c:v>Grinder</c:v>
                </c:pt>
                <c:pt idx="2">
                  <c:v>Drag Machine</c:v>
                </c:pt>
                <c:pt idx="3">
                  <c:v>Miling Machine</c:v>
                </c:pt>
                <c:pt idx="4">
                  <c:v>Air Compressor</c:v>
                </c:pt>
                <c:pt idx="5">
                  <c:v>Destoner</c:v>
                </c:pt>
              </c:strCache>
            </c:strRef>
          </c:cat>
          <c:val>
            <c:numRef>
              <c:f>'Energy Consumption'!$G$3:$G$8</c:f>
              <c:numCache>
                <c:formatCode>0%</c:formatCode>
                <c:ptCount val="6"/>
                <c:pt idx="0">
                  <c:v>0.1360544217687075</c:v>
                </c:pt>
                <c:pt idx="1">
                  <c:v>0.1360544217687075</c:v>
                </c:pt>
                <c:pt idx="2">
                  <c:v>0.20408163265306123</c:v>
                </c:pt>
                <c:pt idx="3">
                  <c:v>0.21768707482993196</c:v>
                </c:pt>
                <c:pt idx="4">
                  <c:v>0.17006802721088435</c:v>
                </c:pt>
                <c:pt idx="5">
                  <c:v>0.1360544217687075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87-4135-AC44-244127DC557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1.png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304322</xdr:colOff>
      <xdr:row>12</xdr:row>
      <xdr:rowOff>80644</xdr:rowOff>
    </xdr:from>
    <xdr:to>
      <xdr:col>9</xdr:col>
      <xdr:colOff>129223</xdr:colOff>
      <xdr:row>27</xdr:row>
      <xdr:rowOff>148274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CD84E1-C4C2-E24F-BDD6-5FBE5BD19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350676</xdr:colOff>
      <xdr:row>11</xdr:row>
      <xdr:rowOff>136208</xdr:rowOff>
    </xdr:from>
    <xdr:to>
      <xdr:col>17</xdr:col>
      <xdr:colOff>91439</xdr:colOff>
      <xdr:row>29</xdr:row>
      <xdr:rowOff>112396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8155DE-254C-8846-A13C-B4D467ABDF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959643</xdr:colOff>
      <xdr:row>60</xdr:row>
      <xdr:rowOff>51117</xdr:rowOff>
    </xdr:from>
    <xdr:to>
      <xdr:col>7</xdr:col>
      <xdr:colOff>808037</xdr:colOff>
      <xdr:row>75</xdr:row>
      <xdr:rowOff>79692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E6562E-3034-2B42-8AFF-ADAC5A5F01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381477</xdr:colOff>
      <xdr:row>30</xdr:row>
      <xdr:rowOff>64453</xdr:rowOff>
    </xdr:from>
    <xdr:to>
      <xdr:col>18</xdr:col>
      <xdr:colOff>53975</xdr:colOff>
      <xdr:row>47</xdr:row>
      <xdr:rowOff>112078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E9C651D-B25A-8E4B-8554-B708C27302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779780</xdr:colOff>
      <xdr:row>59</xdr:row>
      <xdr:rowOff>46038</xdr:rowOff>
    </xdr:from>
    <xdr:to>
      <xdr:col>15</xdr:col>
      <xdr:colOff>155415</xdr:colOff>
      <xdr:row>75</xdr:row>
      <xdr:rowOff>172403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955D1B-6914-894A-8AD5-E6E39DE78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843280</xdr:colOff>
      <xdr:row>30</xdr:row>
      <xdr:rowOff>98107</xdr:rowOff>
    </xdr:from>
    <xdr:to>
      <xdr:col>8</xdr:col>
      <xdr:colOff>843280</xdr:colOff>
      <xdr:row>45</xdr:row>
      <xdr:rowOff>126682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C9B76A2-3C8C-7C42-AA8A-0A75828AE1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109641</xdr:colOff>
      <xdr:row>3</xdr:row>
      <xdr:rowOff>38100</xdr:rowOff>
    </xdr:from>
    <xdr:to>
      <xdr:col>20</xdr:col>
      <xdr:colOff>31488</xdr:colOff>
      <xdr:row>18</xdr:row>
      <xdr:rowOff>36547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BBC62-057D-BC4B-92C0-75DB7AF0F8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805950</xdr:colOff>
      <xdr:row>40</xdr:row>
      <xdr:rowOff>81952</xdr:rowOff>
    </xdr:from>
    <xdr:to>
      <xdr:col>8</xdr:col>
      <xdr:colOff>811608</xdr:colOff>
      <xdr:row>58</xdr:row>
      <xdr:rowOff>30297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6A42ECED-3253-C40B-F9C5-FD8A7EE884AC}"/>
            </a:ext>
          </a:extLst>
        </xdr:cNvPr>
        <xdr:cNvGrpSpPr/>
      </xdr:nvGrpSpPr>
      <xdr:grpSpPr>
        <a:xfrm>
          <a:off x="2659515" y="7642897"/>
          <a:ext cx="5707323" cy="3236375"/>
          <a:chOff x="2832870" y="7122832"/>
          <a:chExt cx="5530158" cy="3377345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C42C26D-FEF5-AA7C-097B-2C5F5CEFD8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 rot="16200000">
            <a:off x="3909276" y="6046426"/>
            <a:ext cx="3377345" cy="5530158"/>
          </a:xfrm>
          <a:prstGeom prst="rect">
            <a:avLst/>
          </a:prstGeom>
        </xdr:spPr>
      </xdr:pic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8A61F694-1AD3-4CD3-B33F-85A1E84FE2D2}"/>
              </a:ext>
            </a:extLst>
          </xdr:cNvPr>
          <xdr:cNvSpPr txBox="1"/>
        </xdr:nvSpPr>
        <xdr:spPr>
          <a:xfrm>
            <a:off x="5326380" y="7802880"/>
            <a:ext cx="1117614" cy="264560"/>
          </a:xfrm>
          <a:prstGeom prst="rect">
            <a:avLst/>
          </a:prstGeom>
          <a:solidFill>
            <a:schemeClr val="accent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kern="1200">
                <a:solidFill>
                  <a:schemeClr val="bg1"/>
                </a:solidFill>
              </a:rPr>
              <a:t>Production</a:t>
            </a:r>
            <a:r>
              <a:rPr lang="en-US" sz="1100" kern="1200" baseline="0">
                <a:solidFill>
                  <a:schemeClr val="bg1"/>
                </a:solidFill>
              </a:rPr>
              <a:t> Area</a:t>
            </a:r>
            <a:endParaRPr lang="en-US" sz="1100" kern="1200">
              <a:solidFill>
                <a:schemeClr val="bg1"/>
              </a:solidFill>
            </a:endParaRP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B0DA1D24-330B-063F-6E76-F6B1304F99DA}"/>
              </a:ext>
            </a:extLst>
          </xdr:cNvPr>
          <xdr:cNvSpPr txBox="1"/>
        </xdr:nvSpPr>
        <xdr:spPr>
          <a:xfrm>
            <a:off x="4663440" y="8595360"/>
            <a:ext cx="826829" cy="264560"/>
          </a:xfrm>
          <a:prstGeom prst="rect">
            <a:avLst/>
          </a:prstGeom>
          <a:solidFill>
            <a:schemeClr val="accent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kern="1200">
                <a:solidFill>
                  <a:schemeClr val="bg1"/>
                </a:solidFill>
              </a:rPr>
              <a:t>Office</a:t>
            </a:r>
            <a:r>
              <a:rPr lang="en-US" sz="1100" kern="1200" baseline="0">
                <a:solidFill>
                  <a:schemeClr val="bg1"/>
                </a:solidFill>
              </a:rPr>
              <a:t> Area</a:t>
            </a:r>
            <a:endParaRPr lang="en-US" sz="1100" kern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10</xdr:col>
      <xdr:colOff>30480</xdr:colOff>
      <xdr:row>12</xdr:row>
      <xdr:rowOff>26670</xdr:rowOff>
    </xdr:from>
    <xdr:to>
      <xdr:col>19</xdr:col>
      <xdr:colOff>106680</xdr:colOff>
      <xdr:row>29</xdr:row>
      <xdr:rowOff>167640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7B3F3A4-7EFA-E4C6-CD95-15F2F29C7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</xdr:colOff>
      <xdr:row>7</xdr:row>
      <xdr:rowOff>0</xdr:rowOff>
    </xdr:from>
    <xdr:to>
      <xdr:col>17</xdr:col>
      <xdr:colOff>485775</xdr:colOff>
      <xdr:row>22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E09727-8C3E-4C1D-89DA-FB7A346164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622827</xdr:colOff>
      <xdr:row>16</xdr:row>
      <xdr:rowOff>118532</xdr:rowOff>
    </xdr:from>
    <xdr:to>
      <xdr:col>32</xdr:col>
      <xdr:colOff>68792</xdr:colOff>
      <xdr:row>35</xdr:row>
      <xdr:rowOff>137583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9E82C7-88FA-4F82-AE82-FA874A99AE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4</xdr:row>
      <xdr:rowOff>0</xdr:rowOff>
    </xdr:from>
    <xdr:to>
      <xdr:col>33</xdr:col>
      <xdr:colOff>479082</xdr:colOff>
      <xdr:row>12</xdr:row>
      <xdr:rowOff>34913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712E9694-A72F-9E12-F621-DD7573882B5A}"/>
            </a:ext>
          </a:extLst>
        </xdr:cNvPr>
        <xdr:cNvGrpSpPr/>
      </xdr:nvGrpSpPr>
      <xdr:grpSpPr>
        <a:xfrm>
          <a:off x="12503426" y="762000"/>
          <a:ext cx="10444717" cy="1598670"/>
          <a:chOff x="99199" y="775852"/>
          <a:chExt cx="10232682" cy="1635113"/>
        </a:xfrm>
      </xdr:grpSpPr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1533396F-022F-1A11-2B43-06AC8F0FA317}"/>
              </a:ext>
            </a:extLst>
          </xdr:cNvPr>
          <xdr:cNvSpPr/>
        </xdr:nvSpPr>
        <xdr:spPr>
          <a:xfrm>
            <a:off x="99199" y="775852"/>
            <a:ext cx="1318121" cy="60488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600">
                <a:solidFill>
                  <a:schemeClr val="tx1"/>
                </a:solidFill>
              </a:rPr>
              <a:t>Rough Rice Delivery</a:t>
            </a:r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33AEEE8D-38AE-EF06-F0A1-29F0E0585AF3}"/>
              </a:ext>
            </a:extLst>
          </xdr:cNvPr>
          <xdr:cNvSpPr/>
        </xdr:nvSpPr>
        <xdr:spPr>
          <a:xfrm>
            <a:off x="1883667" y="784997"/>
            <a:ext cx="1318122" cy="60488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600">
                <a:solidFill>
                  <a:schemeClr val="tx1"/>
                </a:solidFill>
              </a:rPr>
              <a:t>Cleaning of Rice</a:t>
            </a:r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D8992BEF-B9A2-0584-9D2B-D4F510DDE6CE}"/>
              </a:ext>
            </a:extLst>
          </xdr:cNvPr>
          <xdr:cNvSpPr/>
        </xdr:nvSpPr>
        <xdr:spPr>
          <a:xfrm>
            <a:off x="3668137" y="775852"/>
            <a:ext cx="1318122" cy="60488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600">
                <a:solidFill>
                  <a:schemeClr val="tx1"/>
                </a:solidFill>
              </a:rPr>
              <a:t>Milling Process</a:t>
            </a:r>
          </a:p>
        </xdr:txBody>
      </xdr:sp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5FFBAF6A-7936-BCB9-3750-D3B94F493839}"/>
              </a:ext>
            </a:extLst>
          </xdr:cNvPr>
          <xdr:cNvSpPr/>
        </xdr:nvSpPr>
        <xdr:spPr>
          <a:xfrm>
            <a:off x="5452606" y="775852"/>
            <a:ext cx="1318123" cy="60488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600">
                <a:solidFill>
                  <a:schemeClr val="tx1"/>
                </a:solidFill>
              </a:rPr>
              <a:t>Grading</a:t>
            </a:r>
          </a:p>
        </xdr:txBody>
      </xdr: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7A92E965-01E1-88F4-F384-2E92E17D0D9F}"/>
              </a:ext>
            </a:extLst>
          </xdr:cNvPr>
          <xdr:cNvSpPr/>
        </xdr:nvSpPr>
        <xdr:spPr>
          <a:xfrm>
            <a:off x="7233181" y="775852"/>
            <a:ext cx="1318124" cy="60488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600">
                <a:solidFill>
                  <a:schemeClr val="tx1"/>
                </a:solidFill>
              </a:rPr>
              <a:t>Color Sorting</a:t>
            </a:r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2BBA4C2F-0007-C1EA-3E3F-FDB846C98A8E}"/>
              </a:ext>
            </a:extLst>
          </xdr:cNvPr>
          <xdr:cNvSpPr/>
        </xdr:nvSpPr>
        <xdr:spPr>
          <a:xfrm>
            <a:off x="9013757" y="775852"/>
            <a:ext cx="1318124" cy="60488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600">
                <a:solidFill>
                  <a:schemeClr val="tx1"/>
                </a:solidFill>
              </a:rPr>
              <a:t>Quality Control</a:t>
            </a:r>
          </a:p>
        </xdr:txBody>
      </xdr:sp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8201B335-58E9-A9F5-1845-331236E8E6A6}"/>
              </a:ext>
            </a:extLst>
          </xdr:cNvPr>
          <xdr:cNvSpPr/>
        </xdr:nvSpPr>
        <xdr:spPr>
          <a:xfrm>
            <a:off x="9013757" y="1806076"/>
            <a:ext cx="1318124" cy="60488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600">
                <a:solidFill>
                  <a:schemeClr val="tx1"/>
                </a:solidFill>
              </a:rPr>
              <a:t>Storage</a:t>
            </a:r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CE562776-9AD0-05D6-5DBB-09671AC3BB4C}"/>
              </a:ext>
            </a:extLst>
          </xdr:cNvPr>
          <xdr:cNvCxnSpPr>
            <a:stCxn id="5" idx="3"/>
            <a:endCxn id="6" idx="1"/>
          </xdr:cNvCxnSpPr>
        </xdr:nvCxnSpPr>
        <xdr:spPr>
          <a:xfrm>
            <a:off x="1417320" y="1078297"/>
            <a:ext cx="466347" cy="9145"/>
          </a:xfrm>
          <a:prstGeom prst="straightConnector1">
            <a:avLst/>
          </a:prstGeom>
          <a:ln>
            <a:tailEnd type="triangl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Straight Arrow Connector 12">
            <a:extLst>
              <a:ext uri="{FF2B5EF4-FFF2-40B4-BE49-F238E27FC236}">
                <a16:creationId xmlns:a16="http://schemas.microsoft.com/office/drawing/2014/main" id="{C7B09DD4-8287-DF0E-BC0A-1C52888DF22E}"/>
              </a:ext>
            </a:extLst>
          </xdr:cNvPr>
          <xdr:cNvCxnSpPr>
            <a:stCxn id="6" idx="3"/>
            <a:endCxn id="7" idx="1"/>
          </xdr:cNvCxnSpPr>
        </xdr:nvCxnSpPr>
        <xdr:spPr>
          <a:xfrm flipV="1">
            <a:off x="3201789" y="1078297"/>
            <a:ext cx="466348" cy="9145"/>
          </a:xfrm>
          <a:prstGeom prst="straightConnector1">
            <a:avLst/>
          </a:prstGeom>
          <a:ln>
            <a:tailEnd type="triangl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14C4463F-1C7C-1721-2379-0F78D2F111B6}"/>
              </a:ext>
            </a:extLst>
          </xdr:cNvPr>
          <xdr:cNvCxnSpPr>
            <a:endCxn id="8" idx="1"/>
          </xdr:cNvCxnSpPr>
        </xdr:nvCxnSpPr>
        <xdr:spPr>
          <a:xfrm>
            <a:off x="4986259" y="1078296"/>
            <a:ext cx="466347" cy="1"/>
          </a:xfrm>
          <a:prstGeom prst="straightConnector1">
            <a:avLst/>
          </a:prstGeom>
          <a:ln>
            <a:tailEnd type="triangl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5" name="Straight Arrow Connector 14">
            <a:extLst>
              <a:ext uri="{FF2B5EF4-FFF2-40B4-BE49-F238E27FC236}">
                <a16:creationId xmlns:a16="http://schemas.microsoft.com/office/drawing/2014/main" id="{C7312256-7440-4183-9E0B-52FC5992BE05}"/>
              </a:ext>
            </a:extLst>
          </xdr:cNvPr>
          <xdr:cNvCxnSpPr>
            <a:stCxn id="8" idx="3"/>
            <a:endCxn id="9" idx="1"/>
          </xdr:cNvCxnSpPr>
        </xdr:nvCxnSpPr>
        <xdr:spPr>
          <a:xfrm>
            <a:off x="6770729" y="1078297"/>
            <a:ext cx="462452" cy="0"/>
          </a:xfrm>
          <a:prstGeom prst="straightConnector1">
            <a:avLst/>
          </a:prstGeom>
          <a:ln>
            <a:tailEnd type="triangl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6" name="Straight Arrow Connector 15">
            <a:extLst>
              <a:ext uri="{FF2B5EF4-FFF2-40B4-BE49-F238E27FC236}">
                <a16:creationId xmlns:a16="http://schemas.microsoft.com/office/drawing/2014/main" id="{1EBC6BCE-B678-E1B9-36F3-EDFDBAB7F622}"/>
              </a:ext>
            </a:extLst>
          </xdr:cNvPr>
          <xdr:cNvCxnSpPr>
            <a:stCxn id="9" idx="3"/>
            <a:endCxn id="10" idx="1"/>
          </xdr:cNvCxnSpPr>
        </xdr:nvCxnSpPr>
        <xdr:spPr>
          <a:xfrm>
            <a:off x="8551305" y="1078297"/>
            <a:ext cx="462452" cy="0"/>
          </a:xfrm>
          <a:prstGeom prst="straightConnector1">
            <a:avLst/>
          </a:prstGeom>
          <a:ln>
            <a:tailEnd type="triangl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7" name="Straight Arrow Connector 16">
            <a:extLst>
              <a:ext uri="{FF2B5EF4-FFF2-40B4-BE49-F238E27FC236}">
                <a16:creationId xmlns:a16="http://schemas.microsoft.com/office/drawing/2014/main" id="{E698EDFF-DE01-9EA4-7B30-B61C87BAFCB6}"/>
              </a:ext>
            </a:extLst>
          </xdr:cNvPr>
          <xdr:cNvCxnSpPr>
            <a:stCxn id="10" idx="2"/>
            <a:endCxn id="11" idx="0"/>
          </xdr:cNvCxnSpPr>
        </xdr:nvCxnSpPr>
        <xdr:spPr>
          <a:xfrm>
            <a:off x="9672819" y="1380741"/>
            <a:ext cx="0" cy="425335"/>
          </a:xfrm>
          <a:prstGeom prst="straightConnector1">
            <a:avLst/>
          </a:prstGeom>
          <a:ln>
            <a:tailEnd type="triangl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445614</xdr:colOff>
      <xdr:row>52</xdr:row>
      <xdr:rowOff>42948</xdr:rowOff>
    </xdr:from>
    <xdr:ext cx="1198020" cy="30410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C186839A-D285-7E2C-522D-485C3A57E7DD}"/>
            </a:ext>
          </a:extLst>
        </xdr:cNvPr>
        <xdr:cNvSpPr txBox="1"/>
      </xdr:nvSpPr>
      <xdr:spPr>
        <a:xfrm>
          <a:off x="4660542" y="10080243"/>
          <a:ext cx="1198020" cy="30410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200" kern="1200">
              <a:solidFill>
                <a:schemeClr val="bg1"/>
              </a:solidFill>
            </a:rPr>
            <a:t>Production Area</a:t>
          </a:r>
        </a:p>
      </xdr:txBody>
    </xdr:sp>
    <xdr:clientData/>
  </xdr:oneCellAnchor>
  <xdr:twoCellAnchor editAs="oneCell">
    <xdr:from>
      <xdr:col>11</xdr:col>
      <xdr:colOff>552726</xdr:colOff>
      <xdr:row>38</xdr:row>
      <xdr:rowOff>109761</xdr:rowOff>
    </xdr:from>
    <xdr:to>
      <xdr:col>22</xdr:col>
      <xdr:colOff>607898</xdr:colOff>
      <xdr:row>64</xdr:row>
      <xdr:rowOff>39579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A7DADEE-34C3-9C45-AFA6-3A82924D6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63016" y="7484350"/>
          <a:ext cx="7777370" cy="4874843"/>
        </a:xfrm>
        <a:prstGeom prst="rect">
          <a:avLst/>
        </a:prstGeom>
      </xdr:spPr>
    </xdr:pic>
    <xdr:clientData/>
  </xdr:twoCellAnchor>
  <xdr:twoCellAnchor>
    <xdr:from>
      <xdr:col>1</xdr:col>
      <xdr:colOff>1321537</xdr:colOff>
      <xdr:row>39</xdr:row>
      <xdr:rowOff>44235</xdr:rowOff>
    </xdr:from>
    <xdr:to>
      <xdr:col>10</xdr:col>
      <xdr:colOff>687457</xdr:colOff>
      <xdr:row>64</xdr:row>
      <xdr:rowOff>164247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9DC06E43-F7A1-5D84-55D4-6EB96499ABFF}"/>
            </a:ext>
          </a:extLst>
        </xdr:cNvPr>
        <xdr:cNvGrpSpPr/>
      </xdr:nvGrpSpPr>
      <xdr:grpSpPr>
        <a:xfrm>
          <a:off x="1944389" y="7379313"/>
          <a:ext cx="6825569" cy="4758273"/>
          <a:chOff x="2020957" y="7609018"/>
          <a:chExt cx="7777370" cy="4874843"/>
        </a:xfrm>
      </xdr:grpSpPr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C7BF4065-B53B-43B6-CAD9-3F71601467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020957" y="7609018"/>
            <a:ext cx="7777370" cy="4874843"/>
          </a:xfrm>
          <a:prstGeom prst="rect">
            <a:avLst/>
          </a:prstGeom>
        </xdr:spPr>
      </xdr:pic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24632980-76AF-3244-ACA3-26AAFAEF1B4F}"/>
              </a:ext>
            </a:extLst>
          </xdr:cNvPr>
          <xdr:cNvSpPr txBox="1"/>
        </xdr:nvSpPr>
        <xdr:spPr>
          <a:xfrm>
            <a:off x="4438754" y="9809309"/>
            <a:ext cx="1198020" cy="304100"/>
          </a:xfrm>
          <a:prstGeom prst="rect">
            <a:avLst/>
          </a:prstGeom>
          <a:solidFill>
            <a:schemeClr val="tx2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200" kern="1200">
                <a:solidFill>
                  <a:schemeClr val="bg1"/>
                </a:solidFill>
              </a:rPr>
              <a:t>Production Area</a:t>
            </a:r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34341C78-6B1C-1142-B162-2C3222531B95}"/>
              </a:ext>
            </a:extLst>
          </xdr:cNvPr>
          <xdr:cNvSpPr txBox="1"/>
        </xdr:nvSpPr>
        <xdr:spPr>
          <a:xfrm rot="16010757">
            <a:off x="7969218" y="10296351"/>
            <a:ext cx="1129975" cy="304100"/>
          </a:xfrm>
          <a:prstGeom prst="rect">
            <a:avLst/>
          </a:prstGeom>
          <a:solidFill>
            <a:schemeClr val="tx2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200" kern="1200">
                <a:solidFill>
                  <a:schemeClr val="bg1"/>
                </a:solidFill>
              </a:rPr>
              <a:t>Building 1</a:t>
            </a:r>
          </a:p>
        </xdr:txBody>
      </xdr:sp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7DDD72D7-BBFD-2F4F-ABDF-1FF2D3E6DE0F}"/>
              </a:ext>
            </a:extLst>
          </xdr:cNvPr>
          <xdr:cNvSpPr txBox="1"/>
        </xdr:nvSpPr>
        <xdr:spPr>
          <a:xfrm rot="16010757">
            <a:off x="7929564" y="8995751"/>
            <a:ext cx="1065352" cy="239621"/>
          </a:xfrm>
          <a:prstGeom prst="rect">
            <a:avLst/>
          </a:prstGeom>
          <a:solidFill>
            <a:schemeClr val="tx2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200" kern="1200">
                <a:solidFill>
                  <a:schemeClr val="bg1"/>
                </a:solidFill>
              </a:rPr>
              <a:t>Building 2</a:t>
            </a:r>
          </a:p>
        </xdr:txBody>
      </xdr:sp>
    </xdr:grp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ia.gov/tools/faqs/faq.cfm?id=45&amp;t=8" TargetMode="External"/><Relationship Id="rId13" Type="http://schemas.openxmlformats.org/officeDocument/2006/relationships/hyperlink" Target="https://www.eia.gov/energyexplained/index.cfm/index.cfm?page=about_btu" TargetMode="External"/><Relationship Id="rId3" Type="http://schemas.openxmlformats.org/officeDocument/2006/relationships/hyperlink" Target="https://www.google.com/webhp?sourceid=chrome-instant&amp;rlz=1C1CAFA_enUS654US654&amp;ion=1&amp;espv=2&amp;ie=UTF-8" TargetMode="External"/><Relationship Id="rId7" Type="http://schemas.openxmlformats.org/officeDocument/2006/relationships/hyperlink" Target="https://en.wikipedia.org/wiki/Standard_Industrial_Classification" TargetMode="External"/><Relationship Id="rId12" Type="http://schemas.openxmlformats.org/officeDocument/2006/relationships/hyperlink" Target="https://www.convertunits.com/from/gallon/to/ton" TargetMode="External"/><Relationship Id="rId2" Type="http://schemas.openxmlformats.org/officeDocument/2006/relationships/hyperlink" Target="https://www.google.com/webhp?sourceid=chrome-instant&amp;rlz=1C1CAFA_enUS654US654&amp;ion=1&amp;espv=2&amp;ie=UTF-8" TargetMode="External"/><Relationship Id="rId1" Type="http://schemas.openxmlformats.org/officeDocument/2006/relationships/hyperlink" Target="https://www.epa.gov/sites/production/files/2015-10/documents/egrid2012_ghgoutputrates_0.pdf" TargetMode="External"/><Relationship Id="rId6" Type="http://schemas.openxmlformats.org/officeDocument/2006/relationships/hyperlink" Target="https://www.eia.gov/environment/emissions/co2_vol_mass.cfm" TargetMode="External"/><Relationship Id="rId11" Type="http://schemas.openxmlformats.org/officeDocument/2006/relationships/hyperlink" Target="https://www.eia.gov/tools/faqs/faq.cfm?id=45&amp;t=8" TargetMode="External"/><Relationship Id="rId5" Type="http://schemas.openxmlformats.org/officeDocument/2006/relationships/hyperlink" Target="https://www.eia.gov/environment/emissions/co2_vol_mass.cfm" TargetMode="External"/><Relationship Id="rId10" Type="http://schemas.openxmlformats.org/officeDocument/2006/relationships/hyperlink" Target="https://www.census.gov/eos/www/naics/2017NAICS/2017_NAICS_Manual.pdf" TargetMode="External"/><Relationship Id="rId4" Type="http://schemas.openxmlformats.org/officeDocument/2006/relationships/hyperlink" Target="https://www.census.gov/eos/www/naics/2017NAICS/2017_NAICS_Manual.pdf" TargetMode="External"/><Relationship Id="rId9" Type="http://schemas.openxmlformats.org/officeDocument/2006/relationships/hyperlink" Target="https://en.wikipedia.org/wiki/Standard_Industrial_Classification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61A33-A156-F247-AD54-A482CB6E91BB}">
  <dimension ref="A1:Q23"/>
  <sheetViews>
    <sheetView zoomScale="125" workbookViewId="0">
      <selection activeCell="B22" sqref="B22"/>
    </sheetView>
  </sheetViews>
  <sheetFormatPr defaultColWidth="8.88671875" defaultRowHeight="14.4"/>
  <cols>
    <col min="1" max="1" width="20.33203125" style="154" bestFit="1" customWidth="1"/>
    <col min="2" max="2" width="13.33203125" style="154" bestFit="1" customWidth="1"/>
    <col min="3" max="5" width="11.109375" style="154" bestFit="1" customWidth="1"/>
    <col min="6" max="6" width="10.88671875" style="154" bestFit="1" customWidth="1"/>
    <col min="7" max="7" width="11.109375" style="154" bestFit="1" customWidth="1"/>
    <col min="8" max="8" width="10.88671875" style="154" bestFit="1" customWidth="1"/>
    <col min="9" max="9" width="11.109375" style="154" bestFit="1" customWidth="1"/>
    <col min="10" max="13" width="10.88671875" style="154" bestFit="1" customWidth="1"/>
    <col min="14" max="14" width="12" style="154" bestFit="1" customWidth="1"/>
    <col min="15" max="15" width="10.33203125" style="154" bestFit="1" customWidth="1"/>
    <col min="16" max="17" width="9.33203125" style="154" bestFit="1" customWidth="1"/>
    <col min="18" max="16384" width="8.88671875" style="154"/>
  </cols>
  <sheetData>
    <row r="1" spans="1:17" ht="15" thickBot="1"/>
    <row r="2" spans="1:17">
      <c r="A2" s="155" t="s">
        <v>0</v>
      </c>
      <c r="B2" s="156">
        <f t="shared" ref="B2:K2" si="0">EDATE(C2,-1)</f>
        <v>45170</v>
      </c>
      <c r="C2" s="157">
        <f t="shared" si="0"/>
        <v>45200</v>
      </c>
      <c r="D2" s="157">
        <f t="shared" si="0"/>
        <v>45231</v>
      </c>
      <c r="E2" s="157">
        <f t="shared" si="0"/>
        <v>45261</v>
      </c>
      <c r="F2" s="157">
        <f t="shared" si="0"/>
        <v>45292</v>
      </c>
      <c r="G2" s="157">
        <f t="shared" si="0"/>
        <v>45323</v>
      </c>
      <c r="H2" s="157">
        <f t="shared" si="0"/>
        <v>45352</v>
      </c>
      <c r="I2" s="157">
        <f t="shared" si="0"/>
        <v>45383</v>
      </c>
      <c r="J2" s="157">
        <f t="shared" si="0"/>
        <v>45413</v>
      </c>
      <c r="K2" s="157">
        <f t="shared" si="0"/>
        <v>45444</v>
      </c>
      <c r="L2" s="157">
        <f>EDATE(M2,-1)</f>
        <v>45474</v>
      </c>
      <c r="M2" s="158">
        <v>45505</v>
      </c>
      <c r="N2" s="159"/>
      <c r="P2" s="162">
        <f>5233-E3</f>
        <v>165.93000000000029</v>
      </c>
      <c r="Q2" s="162">
        <f>P2*12</f>
        <v>1991.1600000000035</v>
      </c>
    </row>
    <row r="3" spans="1:17">
      <c r="A3" s="160" t="s">
        <v>1</v>
      </c>
      <c r="B3" s="161">
        <f>B4+B5+B6</f>
        <v>8163.91</v>
      </c>
      <c r="C3" s="161">
        <f t="shared" ref="C3:M3" si="1">C4+C5+C6</f>
        <v>6369.0499999999993</v>
      </c>
      <c r="D3" s="161">
        <f t="shared" si="1"/>
        <v>5879.31</v>
      </c>
      <c r="E3" s="161">
        <f>E4+E5+E6</f>
        <v>5067.07</v>
      </c>
      <c r="F3" s="161">
        <f t="shared" si="1"/>
        <v>4522.72</v>
      </c>
      <c r="G3" s="161">
        <f t="shared" si="1"/>
        <v>5199.91</v>
      </c>
      <c r="H3" s="161">
        <f t="shared" si="1"/>
        <v>5849.8899999999994</v>
      </c>
      <c r="I3" s="161">
        <f>I4+I5+I6</f>
        <v>6418.22</v>
      </c>
      <c r="J3" s="161">
        <f t="shared" si="1"/>
        <v>7022.67</v>
      </c>
      <c r="K3" s="161">
        <f t="shared" si="1"/>
        <v>7850.73</v>
      </c>
      <c r="L3" s="161">
        <f t="shared" si="1"/>
        <v>7925.27</v>
      </c>
      <c r="M3" s="161">
        <f t="shared" si="1"/>
        <v>8193.92</v>
      </c>
      <c r="N3" s="162"/>
    </row>
    <row r="4" spans="1:17">
      <c r="A4" s="163" t="s">
        <v>2</v>
      </c>
      <c r="B4" s="164">
        <v>799.85951999999997</v>
      </c>
      <c r="C4" s="164">
        <v>997.8</v>
      </c>
      <c r="D4" s="164">
        <v>931.53</v>
      </c>
      <c r="E4" s="164">
        <v>887.34</v>
      </c>
      <c r="F4" s="164">
        <v>1984.63</v>
      </c>
      <c r="G4" s="164">
        <v>736.38</v>
      </c>
      <c r="H4" s="164">
        <v>876.63</v>
      </c>
      <c r="I4" s="164">
        <v>912.78</v>
      </c>
      <c r="J4" s="164">
        <v>968.01</v>
      </c>
      <c r="K4" s="164">
        <v>1042.6500000000001</v>
      </c>
      <c r="L4" s="164">
        <v>1075.46</v>
      </c>
      <c r="M4" s="164">
        <v>1112.6099999999999</v>
      </c>
      <c r="N4" s="162"/>
      <c r="P4" s="162">
        <f>D3-D7</f>
        <v>5656.67</v>
      </c>
    </row>
    <row r="5" spans="1:17">
      <c r="A5" s="160" t="s">
        <v>3</v>
      </c>
      <c r="B5" s="161">
        <v>3271.5446400000001</v>
      </c>
      <c r="C5" s="161">
        <v>2476.52</v>
      </c>
      <c r="D5" s="161">
        <v>2172.69</v>
      </c>
      <c r="E5" s="161">
        <v>1844.73</v>
      </c>
      <c r="F5" s="161">
        <v>1731.75</v>
      </c>
      <c r="G5" s="161">
        <v>2231.08</v>
      </c>
      <c r="H5" s="161">
        <v>2565.62</v>
      </c>
      <c r="I5" s="161">
        <v>2956.85</v>
      </c>
      <c r="J5" s="161">
        <v>3036.06</v>
      </c>
      <c r="K5" s="161">
        <v>3381.91</v>
      </c>
      <c r="L5" s="161">
        <v>3364.83</v>
      </c>
      <c r="M5" s="161">
        <v>3439.5</v>
      </c>
      <c r="N5" s="162"/>
    </row>
    <row r="6" spans="1:17">
      <c r="A6" s="163" t="s">
        <v>4</v>
      </c>
      <c r="B6" s="164">
        <v>4092.5058399999998</v>
      </c>
      <c r="C6" s="164">
        <v>2894.73</v>
      </c>
      <c r="D6" s="164">
        <v>2775.09</v>
      </c>
      <c r="E6" s="164">
        <v>2335</v>
      </c>
      <c r="F6" s="164">
        <v>806.34</v>
      </c>
      <c r="G6" s="164">
        <v>2232.4499999999998</v>
      </c>
      <c r="H6" s="164">
        <v>2407.64</v>
      </c>
      <c r="I6" s="164">
        <v>2548.59</v>
      </c>
      <c r="J6" s="164">
        <v>3018.6</v>
      </c>
      <c r="K6" s="164">
        <v>3426.17</v>
      </c>
      <c r="L6" s="164">
        <v>3484.98</v>
      </c>
      <c r="M6" s="164">
        <v>3641.81</v>
      </c>
      <c r="N6" s="162"/>
      <c r="O6" s="162"/>
    </row>
    <row r="7" spans="1:17">
      <c r="A7" s="160" t="s">
        <v>5</v>
      </c>
      <c r="B7" s="165">
        <v>252.96</v>
      </c>
      <c r="C7" s="165">
        <v>238.48</v>
      </c>
      <c r="D7" s="165">
        <v>222.64</v>
      </c>
      <c r="E7" s="165">
        <v>212.08</v>
      </c>
      <c r="F7" s="165">
        <v>192.72</v>
      </c>
      <c r="G7" s="165">
        <v>176</v>
      </c>
      <c r="H7" s="165">
        <v>209.52</v>
      </c>
      <c r="I7" s="165">
        <v>218.16</v>
      </c>
      <c r="J7" s="166">
        <v>231.6</v>
      </c>
      <c r="K7" s="165">
        <v>249.2</v>
      </c>
      <c r="L7" s="165">
        <v>257.04000000000002</v>
      </c>
      <c r="M7" s="165">
        <v>265.92</v>
      </c>
    </row>
    <row r="8" spans="1:17">
      <c r="A8" s="163" t="s">
        <v>6</v>
      </c>
      <c r="B8" s="167">
        <v>4.4938800000000001E-2</v>
      </c>
      <c r="C8" s="167">
        <v>4.5726000000000003E-2</v>
      </c>
      <c r="D8" s="167">
        <v>4.1846899999999999E-2</v>
      </c>
      <c r="E8" s="167">
        <v>4.2232800000000001E-2</v>
      </c>
      <c r="F8" s="168">
        <v>4.6653E-2</v>
      </c>
      <c r="G8" s="167">
        <v>5.34262E-2</v>
      </c>
      <c r="H8" s="168">
        <v>5.6963E-2</v>
      </c>
      <c r="I8" s="167">
        <v>6.2014600000000003E-2</v>
      </c>
      <c r="J8" s="167">
        <v>5.37546E-2</v>
      </c>
      <c r="K8" s="168">
        <v>5.2449000000000003E-2</v>
      </c>
      <c r="L8" s="167">
        <v>5.1230600000000001E-2</v>
      </c>
      <c r="M8" s="167">
        <v>4.9934600000000003E-2</v>
      </c>
    </row>
    <row r="9" spans="1:17">
      <c r="A9" s="160" t="s">
        <v>7</v>
      </c>
      <c r="B9" s="169">
        <v>72800</v>
      </c>
      <c r="C9" s="169">
        <v>54160</v>
      </c>
      <c r="D9" s="169">
        <v>51920</v>
      </c>
      <c r="E9" s="169">
        <v>43680</v>
      </c>
      <c r="F9" s="169">
        <v>37120</v>
      </c>
      <c r="G9" s="169">
        <v>41760</v>
      </c>
      <c r="H9" s="169">
        <v>45040</v>
      </c>
      <c r="I9" s="169">
        <v>47680</v>
      </c>
      <c r="J9" s="169">
        <v>56480</v>
      </c>
      <c r="K9" s="169">
        <v>64480</v>
      </c>
      <c r="L9" s="169">
        <v>65680</v>
      </c>
      <c r="M9" s="169">
        <v>68880</v>
      </c>
      <c r="O9" s="195"/>
    </row>
    <row r="10" spans="1:17">
      <c r="A10" s="204" t="s">
        <v>8</v>
      </c>
      <c r="B10" s="162">
        <f>B3-B4</f>
        <v>7364.0504799999999</v>
      </c>
      <c r="C10" s="162">
        <f t="shared" ref="C10:M10" si="2">C3-C4</f>
        <v>5371.2499999999991</v>
      </c>
      <c r="D10" s="162">
        <f t="shared" si="2"/>
        <v>4947.7800000000007</v>
      </c>
      <c r="E10" s="162">
        <f t="shared" si="2"/>
        <v>4179.7299999999996</v>
      </c>
      <c r="F10" s="162">
        <f t="shared" si="2"/>
        <v>2538.09</v>
      </c>
      <c r="G10" s="162">
        <f t="shared" si="2"/>
        <v>4463.53</v>
      </c>
      <c r="H10" s="162">
        <f t="shared" si="2"/>
        <v>4973.2599999999993</v>
      </c>
      <c r="I10" s="162">
        <f t="shared" si="2"/>
        <v>5505.4400000000005</v>
      </c>
      <c r="J10" s="162">
        <f t="shared" si="2"/>
        <v>6054.66</v>
      </c>
      <c r="K10" s="162">
        <f t="shared" si="2"/>
        <v>6808.08</v>
      </c>
      <c r="L10" s="162">
        <f t="shared" si="2"/>
        <v>6849.81</v>
      </c>
      <c r="M10" s="162">
        <f t="shared" si="2"/>
        <v>7081.31</v>
      </c>
    </row>
    <row r="11" spans="1:17" ht="15" thickBot="1"/>
    <row r="12" spans="1:17" ht="15" thickBot="1">
      <c r="A12" s="170" t="s">
        <v>9</v>
      </c>
      <c r="B12" s="171"/>
    </row>
    <row r="13" spans="1:17" ht="15" thickBot="1">
      <c r="A13" s="172" t="s">
        <v>10</v>
      </c>
      <c r="B13" s="173">
        <f>SUM(B3:M3)</f>
        <v>78462.67</v>
      </c>
    </row>
    <row r="14" spans="1:17" ht="15" thickBot="1">
      <c r="A14" s="172" t="s">
        <v>11</v>
      </c>
      <c r="B14" s="174">
        <f>SUM(B4:M4)</f>
        <v>12325.679520000002</v>
      </c>
    </row>
    <row r="15" spans="1:17" ht="15" thickBot="1">
      <c r="A15" s="172" t="s">
        <v>12</v>
      </c>
      <c r="B15" s="174">
        <f>SUM(B5:M5)</f>
        <v>32473.084640000001</v>
      </c>
    </row>
    <row r="16" spans="1:17" ht="15" thickBot="1">
      <c r="A16" s="172" t="s">
        <v>13</v>
      </c>
      <c r="B16" s="174">
        <f>SUM(B6:M6)</f>
        <v>33663.905839999999</v>
      </c>
    </row>
    <row r="17" spans="1:2" ht="15" thickBot="1">
      <c r="A17" s="172" t="s">
        <v>14</v>
      </c>
      <c r="B17" s="175">
        <f>SUM(B7:M7)</f>
        <v>2726.3199999999997</v>
      </c>
    </row>
    <row r="18" spans="1:2" ht="15" thickBot="1">
      <c r="A18" s="172" t="s">
        <v>15</v>
      </c>
      <c r="B18" s="176">
        <f>SUM(B9:M9)</f>
        <v>649680</v>
      </c>
    </row>
    <row r="19" spans="1:2">
      <c r="A19" s="205" t="s">
        <v>16</v>
      </c>
      <c r="B19" s="195">
        <f>SUM(B10:M10)</f>
        <v>66136.990479999993</v>
      </c>
    </row>
    <row r="21" spans="1:2">
      <c r="A21" s="177" t="s">
        <v>17</v>
      </c>
      <c r="B21" s="178"/>
    </row>
    <row r="22" spans="1:2">
      <c r="A22" s="179" t="s">
        <v>18</v>
      </c>
      <c r="B22" s="165">
        <f>B19/B18</f>
        <v>0.1017993327176456</v>
      </c>
    </row>
    <row r="23" spans="1:2">
      <c r="A23" s="180" t="s">
        <v>19</v>
      </c>
      <c r="B23" s="165">
        <f>B14/B17</f>
        <v>4.5209951583086365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BDDDE-213F-437A-AB1B-803D0A73BAB8}">
  <dimension ref="B3:M231"/>
  <sheetViews>
    <sheetView topLeftCell="A4" zoomScaleNormal="100" workbookViewId="0">
      <selection activeCell="D30" sqref="D30"/>
    </sheetView>
  </sheetViews>
  <sheetFormatPr defaultColWidth="8.6640625" defaultRowHeight="14.4"/>
  <cols>
    <col min="1" max="1" width="8.6640625" style="2"/>
    <col min="2" max="2" width="5.44140625" style="2" customWidth="1"/>
    <col min="3" max="3" width="25" style="17" bestFit="1" customWidth="1"/>
    <col min="4" max="4" width="47.33203125" style="2" bestFit="1" customWidth="1"/>
    <col min="5" max="5" width="23.33203125" style="2" bestFit="1" customWidth="1"/>
    <col min="6" max="6" width="50" style="2" bestFit="1" customWidth="1"/>
    <col min="7" max="7" width="69.6640625" style="2" bestFit="1" customWidth="1"/>
    <col min="8" max="8" width="48.33203125" style="2" bestFit="1" customWidth="1"/>
    <col min="9" max="9" width="8.6640625" style="2"/>
    <col min="10" max="10" width="10.109375" style="2" bestFit="1" customWidth="1"/>
    <col min="11" max="11" width="8.6640625" style="2"/>
    <col min="12" max="12" width="10.109375" style="2" bestFit="1" customWidth="1"/>
    <col min="13" max="16384" width="8.6640625" style="2"/>
  </cols>
  <sheetData>
    <row r="3" spans="3:11">
      <c r="C3" s="1" t="s">
        <v>20</v>
      </c>
      <c r="G3" s="3" t="s">
        <v>21</v>
      </c>
    </row>
    <row r="4" spans="3:11">
      <c r="C4" s="4" t="s">
        <v>22</v>
      </c>
      <c r="D4" s="5">
        <f>D35</f>
        <v>3599</v>
      </c>
      <c r="E4" s="6" t="s">
        <v>23</v>
      </c>
      <c r="F4" s="7">
        <f>D40</f>
        <v>332710</v>
      </c>
      <c r="G4" s="3" t="s">
        <v>24</v>
      </c>
      <c r="H4" s="2" t="s">
        <v>25</v>
      </c>
    </row>
    <row r="5" spans="3:11">
      <c r="C5" s="4" t="s">
        <v>26</v>
      </c>
      <c r="D5" s="8">
        <f>D44</f>
        <v>45621</v>
      </c>
      <c r="E5" s="6" t="s">
        <v>27</v>
      </c>
      <c r="F5" s="9">
        <f>D48</f>
        <v>1800000</v>
      </c>
      <c r="G5" s="10" t="s">
        <v>28</v>
      </c>
    </row>
    <row r="6" spans="3:11">
      <c r="C6" s="4" t="s">
        <v>29</v>
      </c>
      <c r="D6" s="11" t="str">
        <f>D52</f>
        <v>Duson, LA</v>
      </c>
      <c r="E6" s="6" t="s">
        <v>30</v>
      </c>
      <c r="F6" s="12">
        <f>D62</f>
        <v>10400000</v>
      </c>
      <c r="G6" s="2" t="s">
        <v>31</v>
      </c>
    </row>
    <row r="7" spans="3:11">
      <c r="C7" s="4" t="s">
        <v>32</v>
      </c>
      <c r="D7" s="11">
        <f>D57</f>
        <v>44</v>
      </c>
      <c r="E7" s="6" t="s">
        <v>33</v>
      </c>
      <c r="F7" s="13">
        <f>F6/F5</f>
        <v>5.7777777777777777</v>
      </c>
      <c r="G7" s="2" t="s">
        <v>34</v>
      </c>
    </row>
    <row r="8" spans="3:11">
      <c r="C8" s="4" t="s">
        <v>35</v>
      </c>
      <c r="D8" s="14">
        <f>D71</f>
        <v>53544</v>
      </c>
      <c r="E8" s="6" t="s">
        <v>36</v>
      </c>
      <c r="F8" s="9">
        <f>D77</f>
        <v>2216.7991152</v>
      </c>
      <c r="G8" s="2" t="s">
        <v>37</v>
      </c>
      <c r="H8" s="15"/>
    </row>
    <row r="9" spans="3:11">
      <c r="C9" s="4" t="s">
        <v>38</v>
      </c>
      <c r="D9" s="11" t="str">
        <f>D82</f>
        <v>Precision CNC Machined Parts</v>
      </c>
      <c r="E9" s="6" t="s">
        <v>39</v>
      </c>
      <c r="F9" s="9">
        <f>ROUND((D87+F21),0)</f>
        <v>66137</v>
      </c>
      <c r="G9" s="2" t="s">
        <v>40</v>
      </c>
    </row>
    <row r="10" spans="3:11">
      <c r="C10" s="4" t="s">
        <v>41</v>
      </c>
      <c r="D10" s="16">
        <f>D92</f>
        <v>4862</v>
      </c>
      <c r="E10" s="6" t="s">
        <v>42</v>
      </c>
      <c r="F10" s="7">
        <f>D100</f>
        <v>8</v>
      </c>
      <c r="J10" s="2">
        <f>1.037/1000</f>
        <v>1.0369999999999999E-3</v>
      </c>
      <c r="K10" s="2">
        <f>231/80/J10</f>
        <v>2784.4744455159116</v>
      </c>
    </row>
    <row r="11" spans="3:11">
      <c r="J11" s="2">
        <f>J10*80</f>
        <v>8.2959999999999992E-2</v>
      </c>
      <c r="K11" s="2">
        <f>231/J11</f>
        <v>2784.4744455159116</v>
      </c>
    </row>
    <row r="12" spans="3:11">
      <c r="C12" s="1" t="s">
        <v>43</v>
      </c>
      <c r="D12" s="18"/>
    </row>
    <row r="13" spans="3:11">
      <c r="C13" s="4" t="s">
        <v>44</v>
      </c>
      <c r="D13" s="6" t="s">
        <v>45</v>
      </c>
      <c r="E13" s="6"/>
      <c r="F13" s="6" t="s">
        <v>46</v>
      </c>
      <c r="G13" s="6" t="s">
        <v>47</v>
      </c>
    </row>
    <row r="14" spans="3:11">
      <c r="C14" s="4" t="s">
        <v>48</v>
      </c>
      <c r="D14" s="19">
        <f>D108</f>
        <v>649680</v>
      </c>
      <c r="E14" s="6" t="s">
        <v>49</v>
      </c>
      <c r="F14" s="20">
        <f>ROUND(D112,0)</f>
        <v>66137</v>
      </c>
      <c r="G14" s="21">
        <f>D125</f>
        <v>0.1017993327176456</v>
      </c>
      <c r="H14" s="2" t="s">
        <v>18</v>
      </c>
    </row>
    <row r="15" spans="3:11">
      <c r="C15" s="4" t="s">
        <v>48</v>
      </c>
      <c r="D15" s="19">
        <f>D120</f>
        <v>2216.7991152</v>
      </c>
      <c r="E15" s="6" t="s">
        <v>50</v>
      </c>
    </row>
    <row r="16" spans="3:11">
      <c r="C16" s="4" t="s">
        <v>51</v>
      </c>
      <c r="D16" s="19">
        <f>D130</f>
        <v>2726.3199999999997</v>
      </c>
      <c r="E16" s="6" t="s">
        <v>52</v>
      </c>
      <c r="F16" s="20">
        <f>ROUND(D135,0)</f>
        <v>12326</v>
      </c>
      <c r="G16" s="22">
        <f>D139</f>
        <v>4.5209951583086365</v>
      </c>
      <c r="H16" s="2" t="s">
        <v>19</v>
      </c>
    </row>
    <row r="17" spans="3:12">
      <c r="C17" s="4" t="s">
        <v>53</v>
      </c>
      <c r="D17" s="6" t="s">
        <v>54</v>
      </c>
      <c r="E17" s="6"/>
      <c r="F17" s="23">
        <f>D143</f>
        <v>0</v>
      </c>
      <c r="G17" s="24">
        <f>D147</f>
        <v>0</v>
      </c>
    </row>
    <row r="18" spans="3:12">
      <c r="C18" s="4" t="s">
        <v>55</v>
      </c>
      <c r="D18" s="19">
        <f>D155</f>
        <v>0</v>
      </c>
      <c r="E18" s="6" t="s">
        <v>50</v>
      </c>
      <c r="F18" s="20">
        <f>ROUND(D160,0)</f>
        <v>0</v>
      </c>
      <c r="G18" s="21" t="e">
        <f>D164</f>
        <v>#DIV/0!</v>
      </c>
      <c r="H18" s="2" t="s">
        <v>56</v>
      </c>
    </row>
    <row r="19" spans="3:12">
      <c r="C19" s="4" t="s">
        <v>57</v>
      </c>
      <c r="D19" s="19">
        <f>D192</f>
        <v>0</v>
      </c>
      <c r="E19" s="6" t="s">
        <v>50</v>
      </c>
      <c r="F19" s="20">
        <f>D197</f>
        <v>0</v>
      </c>
      <c r="G19" s="25">
        <f>D201</f>
        <v>0</v>
      </c>
      <c r="H19" s="2" t="s">
        <v>56</v>
      </c>
    </row>
    <row r="20" spans="3:12">
      <c r="C20" s="4" t="s">
        <v>58</v>
      </c>
      <c r="D20" s="19">
        <f>D172</f>
        <v>38</v>
      </c>
      <c r="E20" s="6" t="s">
        <v>50</v>
      </c>
      <c r="F20" s="20">
        <f>ROUND(D177,0)</f>
        <v>1045</v>
      </c>
      <c r="G20" s="25">
        <f>F20/D20</f>
        <v>27.5</v>
      </c>
      <c r="H20" s="2" t="s">
        <v>56</v>
      </c>
      <c r="I20" s="2" t="s">
        <v>59</v>
      </c>
    </row>
    <row r="21" spans="3:12">
      <c r="C21" s="4" t="s">
        <v>60</v>
      </c>
      <c r="D21" s="26"/>
      <c r="E21" s="6" t="s">
        <v>61</v>
      </c>
      <c r="F21" s="23"/>
      <c r="G21" s="27" t="e">
        <f>F21/D21</f>
        <v>#DIV/0!</v>
      </c>
      <c r="H21" s="2" t="s">
        <v>62</v>
      </c>
    </row>
    <row r="22" spans="3:12">
      <c r="C22" s="4"/>
      <c r="D22" s="26"/>
      <c r="E22" s="6"/>
      <c r="F22" s="23"/>
      <c r="G22" s="27"/>
    </row>
    <row r="23" spans="3:12">
      <c r="C23" s="4" t="s">
        <v>63</v>
      </c>
      <c r="D23" s="26"/>
      <c r="E23" s="6" t="s">
        <v>61</v>
      </c>
      <c r="F23" s="23"/>
      <c r="G23" s="28"/>
      <c r="H23" s="2" t="s">
        <v>62</v>
      </c>
    </row>
    <row r="24" spans="3:12">
      <c r="C24" s="4" t="s">
        <v>64</v>
      </c>
      <c r="D24" s="29">
        <f>SUM(D15,D18,D20)</f>
        <v>2254.7991152</v>
      </c>
      <c r="E24" s="6" t="s">
        <v>50</v>
      </c>
      <c r="F24" s="20">
        <f>ROUND(SUM(F18,F14,F16,D116,F20,F21,F19),0)</f>
        <v>79508</v>
      </c>
      <c r="G24" s="2" t="s">
        <v>40</v>
      </c>
    </row>
    <row r="25" spans="3:12">
      <c r="F25" s="18">
        <f>F21+F18+F16+F14+F20</f>
        <v>79508</v>
      </c>
    </row>
    <row r="26" spans="3:12">
      <c r="C26" s="1" t="s">
        <v>65</v>
      </c>
    </row>
    <row r="27" spans="3:12">
      <c r="C27" s="4" t="s">
        <v>66</v>
      </c>
      <c r="D27" s="30">
        <f>D215</f>
        <v>247.85291999999998</v>
      </c>
      <c r="E27" s="6" t="s">
        <v>67</v>
      </c>
      <c r="G27" s="18">
        <f>SUM(F14,F16,F18)</f>
        <v>78463</v>
      </c>
    </row>
    <row r="28" spans="3:12">
      <c r="C28" s="4" t="s">
        <v>55</v>
      </c>
      <c r="D28" s="30">
        <f>D216</f>
        <v>0</v>
      </c>
      <c r="E28" s="6" t="s">
        <v>67</v>
      </c>
    </row>
    <row r="29" spans="3:12">
      <c r="C29" s="4" t="s">
        <v>58</v>
      </c>
      <c r="D29" s="30">
        <f>D218</f>
        <v>2.6339699999999997</v>
      </c>
      <c r="E29" s="6" t="s">
        <v>67</v>
      </c>
      <c r="L29" s="10"/>
    </row>
    <row r="30" spans="3:12">
      <c r="C30" s="4" t="s">
        <v>68</v>
      </c>
      <c r="D30" s="30">
        <f>SUM(D27:D29)</f>
        <v>250.48688999999999</v>
      </c>
      <c r="E30" s="6" t="s">
        <v>67</v>
      </c>
      <c r="G30" s="31"/>
    </row>
    <row r="32" spans="3:12" ht="15" thickBot="1"/>
    <row r="33" spans="2:8">
      <c r="C33" s="32" t="s">
        <v>69</v>
      </c>
      <c r="D33" s="33"/>
      <c r="E33" s="33"/>
      <c r="F33" s="33"/>
      <c r="G33" s="33"/>
      <c r="H33" s="34"/>
    </row>
    <row r="34" spans="2:8">
      <c r="C34" s="35" t="s">
        <v>70</v>
      </c>
      <c r="D34" s="36" t="s">
        <v>71</v>
      </c>
      <c r="E34" s="36" t="s">
        <v>72</v>
      </c>
      <c r="F34" s="37" t="s">
        <v>73</v>
      </c>
      <c r="G34" s="37" t="s">
        <v>74</v>
      </c>
      <c r="H34" s="38" t="s">
        <v>75</v>
      </c>
    </row>
    <row r="35" spans="2:8">
      <c r="B35" s="2" t="s">
        <v>76</v>
      </c>
      <c r="C35" s="39" t="s">
        <v>77</v>
      </c>
      <c r="D35" s="40">
        <v>3599</v>
      </c>
      <c r="E35" s="41"/>
      <c r="F35" s="42" t="s">
        <v>78</v>
      </c>
      <c r="G35" s="2" t="s">
        <v>79</v>
      </c>
      <c r="H35" s="43" t="s">
        <v>21</v>
      </c>
    </row>
    <row r="36" spans="2:8">
      <c r="C36" s="39"/>
      <c r="D36" s="41"/>
      <c r="E36" s="41"/>
      <c r="H36" s="44"/>
    </row>
    <row r="37" spans="2:8">
      <c r="C37" s="39"/>
      <c r="D37" s="41"/>
      <c r="E37" s="41"/>
      <c r="H37" s="44"/>
    </row>
    <row r="38" spans="2:8">
      <c r="C38" s="45" t="s">
        <v>80</v>
      </c>
      <c r="F38" s="46"/>
      <c r="H38" s="47"/>
    </row>
    <row r="39" spans="2:8">
      <c r="C39" s="35" t="s">
        <v>70</v>
      </c>
      <c r="D39" s="36" t="s">
        <v>71</v>
      </c>
      <c r="E39" s="36" t="s">
        <v>72</v>
      </c>
      <c r="F39" s="37" t="s">
        <v>73</v>
      </c>
      <c r="G39" s="37" t="s">
        <v>74</v>
      </c>
      <c r="H39" s="38" t="s">
        <v>75</v>
      </c>
    </row>
    <row r="40" spans="2:8">
      <c r="B40" s="2" t="s">
        <v>76</v>
      </c>
      <c r="C40" s="39" t="s">
        <v>81</v>
      </c>
      <c r="D40" s="48">
        <v>332710</v>
      </c>
      <c r="E40" s="41"/>
      <c r="F40" s="42" t="s">
        <v>82</v>
      </c>
      <c r="H40" s="49" t="s">
        <v>24</v>
      </c>
    </row>
    <row r="41" spans="2:8">
      <c r="C41" s="39"/>
      <c r="H41" s="47"/>
    </row>
    <row r="42" spans="2:8">
      <c r="C42" s="45" t="s">
        <v>83</v>
      </c>
      <c r="F42" s="46"/>
      <c r="H42" s="47"/>
    </row>
    <row r="43" spans="2:8">
      <c r="C43" s="35" t="s">
        <v>70</v>
      </c>
      <c r="D43" s="36" t="s">
        <v>71</v>
      </c>
      <c r="E43" s="36" t="s">
        <v>72</v>
      </c>
      <c r="F43" s="37" t="s">
        <v>73</v>
      </c>
      <c r="G43" s="37" t="s">
        <v>74</v>
      </c>
      <c r="H43" s="38" t="s">
        <v>75</v>
      </c>
    </row>
    <row r="44" spans="2:8">
      <c r="B44" s="2" t="s">
        <v>76</v>
      </c>
      <c r="C44" s="39" t="s">
        <v>84</v>
      </c>
      <c r="D44" s="50">
        <v>45621</v>
      </c>
      <c r="E44" s="51"/>
      <c r="F44" s="42" t="s">
        <v>85</v>
      </c>
      <c r="G44" s="2" t="s">
        <v>86</v>
      </c>
      <c r="H44" s="47"/>
    </row>
    <row r="45" spans="2:8">
      <c r="C45" s="39"/>
      <c r="H45" s="47"/>
    </row>
    <row r="46" spans="2:8">
      <c r="C46" s="45" t="s">
        <v>27</v>
      </c>
      <c r="F46" s="46"/>
      <c r="H46" s="47"/>
    </row>
    <row r="47" spans="2:8">
      <c r="C47" s="35" t="s">
        <v>70</v>
      </c>
      <c r="D47" s="36" t="s">
        <v>71</v>
      </c>
      <c r="E47" s="36" t="s">
        <v>72</v>
      </c>
      <c r="F47" s="37" t="s">
        <v>73</v>
      </c>
      <c r="G47" s="37" t="s">
        <v>74</v>
      </c>
      <c r="H47" s="38" t="s">
        <v>75</v>
      </c>
    </row>
    <row r="48" spans="2:8">
      <c r="B48" s="2" t="s">
        <v>76</v>
      </c>
      <c r="C48" s="39" t="s">
        <v>87</v>
      </c>
      <c r="D48" s="52">
        <v>1800000</v>
      </c>
      <c r="E48" s="41" t="s">
        <v>88</v>
      </c>
      <c r="F48" s="42" t="s">
        <v>89</v>
      </c>
      <c r="G48" s="2" t="s">
        <v>90</v>
      </c>
      <c r="H48" s="53" t="s">
        <v>91</v>
      </c>
    </row>
    <row r="49" spans="2:11">
      <c r="C49" s="39"/>
      <c r="H49" s="47"/>
    </row>
    <row r="50" spans="2:11">
      <c r="C50" s="45" t="s">
        <v>29</v>
      </c>
      <c r="F50" s="46"/>
      <c r="H50" s="47"/>
    </row>
    <row r="51" spans="2:11">
      <c r="C51" s="35" t="s">
        <v>70</v>
      </c>
      <c r="D51" s="36" t="s">
        <v>71</v>
      </c>
      <c r="E51" s="36" t="s">
        <v>72</v>
      </c>
      <c r="F51" s="37" t="s">
        <v>73</v>
      </c>
      <c r="G51" s="37" t="s">
        <v>74</v>
      </c>
      <c r="H51" s="38" t="s">
        <v>75</v>
      </c>
    </row>
    <row r="52" spans="2:11">
      <c r="B52" s="2" t="s">
        <v>76</v>
      </c>
      <c r="C52" s="39" t="s">
        <v>29</v>
      </c>
      <c r="D52" s="206" t="s">
        <v>92</v>
      </c>
      <c r="E52" s="42"/>
      <c r="F52" s="42" t="s">
        <v>93</v>
      </c>
      <c r="H52" s="53" t="s">
        <v>91</v>
      </c>
      <c r="K52" s="2">
        <f>40*52</f>
        <v>2080</v>
      </c>
    </row>
    <row r="53" spans="2:11">
      <c r="C53" s="39"/>
      <c r="H53" s="47"/>
    </row>
    <row r="54" spans="2:11">
      <c r="C54" s="39"/>
      <c r="H54" s="47"/>
    </row>
    <row r="55" spans="2:11">
      <c r="C55" s="45" t="s">
        <v>94</v>
      </c>
      <c r="F55" s="46"/>
      <c r="H55" s="47"/>
    </row>
    <row r="56" spans="2:11">
      <c r="C56" s="35" t="s">
        <v>70</v>
      </c>
      <c r="D56" s="36" t="s">
        <v>71</v>
      </c>
      <c r="E56" s="36" t="s">
        <v>72</v>
      </c>
      <c r="F56" s="37" t="s">
        <v>73</v>
      </c>
      <c r="G56" s="37" t="s">
        <v>74</v>
      </c>
      <c r="H56" s="38" t="s">
        <v>75</v>
      </c>
    </row>
    <row r="57" spans="2:11">
      <c r="C57" s="39" t="s">
        <v>95</v>
      </c>
      <c r="D57" s="54">
        <v>44</v>
      </c>
      <c r="E57" s="42"/>
      <c r="F57" s="42" t="s">
        <v>96</v>
      </c>
      <c r="G57" s="42"/>
      <c r="H57" s="53" t="s">
        <v>91</v>
      </c>
    </row>
    <row r="58" spans="2:11">
      <c r="C58" s="39"/>
      <c r="H58" s="47"/>
    </row>
    <row r="59" spans="2:11">
      <c r="C59" s="39"/>
      <c r="H59" s="47"/>
    </row>
    <row r="60" spans="2:11">
      <c r="C60" s="45" t="s">
        <v>30</v>
      </c>
      <c r="F60" s="46"/>
      <c r="H60" s="47"/>
    </row>
    <row r="61" spans="2:11">
      <c r="C61" s="35" t="s">
        <v>70</v>
      </c>
      <c r="D61" s="36" t="s">
        <v>71</v>
      </c>
      <c r="E61" s="36" t="s">
        <v>72</v>
      </c>
      <c r="F61" s="37" t="s">
        <v>73</v>
      </c>
      <c r="G61" s="37" t="s">
        <v>74</v>
      </c>
      <c r="H61" s="38" t="s">
        <v>75</v>
      </c>
    </row>
    <row r="62" spans="2:11">
      <c r="B62" s="2" t="s">
        <v>76</v>
      </c>
      <c r="C62" s="39" t="s">
        <v>97</v>
      </c>
      <c r="D62" s="55">
        <v>10400000</v>
      </c>
      <c r="E62" s="56" t="s">
        <v>98</v>
      </c>
      <c r="F62" s="42" t="s">
        <v>99</v>
      </c>
      <c r="H62" s="53" t="s">
        <v>91</v>
      </c>
    </row>
    <row r="63" spans="2:11">
      <c r="C63" s="39"/>
      <c r="D63" s="56"/>
      <c r="E63" s="56"/>
      <c r="F63" s="42"/>
      <c r="H63" s="53"/>
    </row>
    <row r="64" spans="2:11">
      <c r="C64" s="39"/>
      <c r="D64" s="56"/>
      <c r="E64" s="56"/>
      <c r="F64" s="42"/>
      <c r="H64" s="53"/>
    </row>
    <row r="65" spans="2:8">
      <c r="C65" s="45" t="s">
        <v>100</v>
      </c>
      <c r="F65" s="46"/>
      <c r="H65" s="47"/>
    </row>
    <row r="66" spans="2:8">
      <c r="C66" s="35" t="s">
        <v>70</v>
      </c>
      <c r="D66" s="36" t="s">
        <v>71</v>
      </c>
      <c r="E66" s="36" t="s">
        <v>72</v>
      </c>
      <c r="F66" s="37" t="s">
        <v>73</v>
      </c>
      <c r="G66" s="37" t="s">
        <v>74</v>
      </c>
      <c r="H66" s="38" t="s">
        <v>75</v>
      </c>
    </row>
    <row r="67" spans="2:8">
      <c r="B67" s="2" t="s">
        <v>76</v>
      </c>
      <c r="C67" s="39" t="s">
        <v>101</v>
      </c>
      <c r="D67" s="41">
        <f>D62/D48</f>
        <v>5.7777777777777777</v>
      </c>
      <c r="E67" s="41"/>
      <c r="F67" s="42" t="s">
        <v>102</v>
      </c>
      <c r="G67" s="2" t="s">
        <v>103</v>
      </c>
      <c r="H67" s="44" t="s">
        <v>104</v>
      </c>
    </row>
    <row r="68" spans="2:8">
      <c r="C68" s="39"/>
      <c r="D68" s="56"/>
      <c r="E68" s="56"/>
      <c r="F68" s="42"/>
      <c r="H68" s="53"/>
    </row>
    <row r="69" spans="2:8">
      <c r="C69" s="45" t="s">
        <v>105</v>
      </c>
      <c r="F69" s="46"/>
      <c r="H69" s="47"/>
    </row>
    <row r="70" spans="2:8">
      <c r="C70" s="35" t="s">
        <v>70</v>
      </c>
      <c r="D70" s="36" t="s">
        <v>71</v>
      </c>
      <c r="E70" s="36" t="s">
        <v>72</v>
      </c>
      <c r="F70" s="37" t="s">
        <v>73</v>
      </c>
      <c r="G70" s="37" t="s">
        <v>74</v>
      </c>
      <c r="H70" s="38" t="s">
        <v>75</v>
      </c>
    </row>
    <row r="71" spans="2:8">
      <c r="B71" s="2" t="s">
        <v>76</v>
      </c>
      <c r="C71" s="39" t="s">
        <v>106</v>
      </c>
      <c r="D71" s="57">
        <v>53544</v>
      </c>
      <c r="E71" s="41" t="s">
        <v>107</v>
      </c>
      <c r="F71" s="42" t="s">
        <v>108</v>
      </c>
      <c r="H71" s="47"/>
    </row>
    <row r="72" spans="2:8">
      <c r="C72" s="39"/>
      <c r="D72" s="41"/>
      <c r="E72" s="41" t="s">
        <v>109</v>
      </c>
      <c r="F72" s="42"/>
      <c r="H72" s="53"/>
    </row>
    <row r="73" spans="2:8">
      <c r="C73" s="58"/>
      <c r="D73" s="41"/>
      <c r="E73" s="2" t="s">
        <v>110</v>
      </c>
      <c r="F73" s="42" t="s">
        <v>111</v>
      </c>
      <c r="H73" s="43"/>
    </row>
    <row r="74" spans="2:8">
      <c r="C74" s="39"/>
      <c r="H74" s="47"/>
    </row>
    <row r="75" spans="2:8">
      <c r="C75" s="45" t="s">
        <v>112</v>
      </c>
      <c r="F75" s="46"/>
      <c r="H75" s="47"/>
    </row>
    <row r="76" spans="2:8">
      <c r="C76" s="35" t="s">
        <v>70</v>
      </c>
      <c r="D76" s="36" t="s">
        <v>71</v>
      </c>
      <c r="E76" s="36" t="s">
        <v>72</v>
      </c>
      <c r="F76" s="37" t="s">
        <v>73</v>
      </c>
      <c r="G76" s="37" t="s">
        <v>74</v>
      </c>
      <c r="H76" s="38" t="s">
        <v>75</v>
      </c>
    </row>
    <row r="77" spans="2:8">
      <c r="C77" s="39" t="s">
        <v>113</v>
      </c>
      <c r="D77" s="59">
        <f>D206</f>
        <v>2216.7991152</v>
      </c>
      <c r="E77" s="41" t="s">
        <v>114</v>
      </c>
      <c r="F77" s="42" t="s">
        <v>115</v>
      </c>
      <c r="G77" s="2" t="s">
        <v>116</v>
      </c>
      <c r="H77" s="47"/>
    </row>
    <row r="78" spans="2:8">
      <c r="C78" s="39"/>
      <c r="H78" s="47"/>
    </row>
    <row r="79" spans="2:8">
      <c r="C79" s="39"/>
      <c r="H79" s="47"/>
    </row>
    <row r="80" spans="2:8">
      <c r="C80" s="45" t="s">
        <v>117</v>
      </c>
      <c r="F80" s="46"/>
      <c r="H80" s="47"/>
    </row>
    <row r="81" spans="2:13">
      <c r="C81" s="35" t="s">
        <v>70</v>
      </c>
      <c r="D81" s="36" t="s">
        <v>71</v>
      </c>
      <c r="E81" s="36" t="s">
        <v>72</v>
      </c>
      <c r="F81" s="37" t="s">
        <v>73</v>
      </c>
      <c r="G81" s="37" t="s">
        <v>74</v>
      </c>
      <c r="H81" s="38" t="s">
        <v>75</v>
      </c>
    </row>
    <row r="82" spans="2:13">
      <c r="B82" s="2" t="s">
        <v>76</v>
      </c>
      <c r="C82" s="39" t="s">
        <v>118</v>
      </c>
      <c r="D82" s="60" t="s">
        <v>119</v>
      </c>
      <c r="E82" s="42"/>
      <c r="F82" s="42" t="s">
        <v>120</v>
      </c>
      <c r="H82" s="53" t="s">
        <v>91</v>
      </c>
    </row>
    <row r="83" spans="2:13">
      <c r="C83" s="39"/>
      <c r="H83" s="47"/>
      <c r="L83" s="2">
        <f>19*4+8.5</f>
        <v>84.5</v>
      </c>
      <c r="M83" s="2">
        <f>L83/5</f>
        <v>16.899999999999999</v>
      </c>
    </row>
    <row r="84" spans="2:13">
      <c r="C84" s="39"/>
      <c r="H84" s="47"/>
      <c r="L84" s="2">
        <f>20+16.9</f>
        <v>36.9</v>
      </c>
      <c r="M84" s="2">
        <f>L84/2</f>
        <v>18.45</v>
      </c>
    </row>
    <row r="85" spans="2:13">
      <c r="C85" s="45" t="s">
        <v>39</v>
      </c>
      <c r="F85" s="46"/>
      <c r="H85" s="47"/>
    </row>
    <row r="86" spans="2:13">
      <c r="C86" s="35" t="s">
        <v>70</v>
      </c>
      <c r="D86" s="36" t="s">
        <v>71</v>
      </c>
      <c r="E86" s="36" t="s">
        <v>72</v>
      </c>
      <c r="F86" s="37" t="s">
        <v>73</v>
      </c>
      <c r="G86" s="37" t="s">
        <v>74</v>
      </c>
      <c r="H86" s="38" t="s">
        <v>75</v>
      </c>
    </row>
    <row r="87" spans="2:13">
      <c r="C87" s="39" t="s">
        <v>121</v>
      </c>
      <c r="D87" s="61">
        <f>'Electricity Main'!B19</f>
        <v>66136.990479999993</v>
      </c>
      <c r="E87" s="41" t="s">
        <v>122</v>
      </c>
      <c r="F87" s="42" t="s">
        <v>123</v>
      </c>
      <c r="G87" s="2" t="s">
        <v>124</v>
      </c>
      <c r="H87" s="47"/>
    </row>
    <row r="88" spans="2:13">
      <c r="C88" s="39"/>
      <c r="H88" s="47"/>
    </row>
    <row r="89" spans="2:13">
      <c r="C89" s="39"/>
      <c r="H89" s="47"/>
    </row>
    <row r="90" spans="2:13">
      <c r="C90" s="45" t="s">
        <v>41</v>
      </c>
      <c r="F90" s="46"/>
      <c r="H90" s="47"/>
    </row>
    <row r="91" spans="2:13">
      <c r="C91" s="35" t="s">
        <v>70</v>
      </c>
      <c r="D91" s="62" t="s">
        <v>71</v>
      </c>
      <c r="E91" s="36" t="s">
        <v>72</v>
      </c>
      <c r="F91" s="37" t="s">
        <v>73</v>
      </c>
      <c r="G91" s="37" t="s">
        <v>74</v>
      </c>
      <c r="H91" s="38" t="s">
        <v>75</v>
      </c>
    </row>
    <row r="92" spans="2:13">
      <c r="B92" s="2" t="s">
        <v>76</v>
      </c>
      <c r="C92" s="39" t="s">
        <v>125</v>
      </c>
      <c r="D92" s="63">
        <v>4862</v>
      </c>
      <c r="E92" s="41"/>
      <c r="F92" s="42" t="s">
        <v>126</v>
      </c>
      <c r="G92" s="2" t="s">
        <v>127</v>
      </c>
      <c r="H92" s="47"/>
    </row>
    <row r="93" spans="2:13">
      <c r="C93" s="39" t="s">
        <v>128</v>
      </c>
      <c r="D93" s="64">
        <v>24</v>
      </c>
      <c r="E93" s="41"/>
      <c r="F93" s="2" t="s">
        <v>129</v>
      </c>
      <c r="G93" s="2" t="s">
        <v>130</v>
      </c>
      <c r="H93" s="53" t="s">
        <v>91</v>
      </c>
    </row>
    <row r="94" spans="2:13">
      <c r="C94" s="39" t="s">
        <v>131</v>
      </c>
      <c r="D94" s="64">
        <v>7</v>
      </c>
      <c r="E94" s="41"/>
      <c r="F94" s="2" t="s">
        <v>132</v>
      </c>
      <c r="G94" s="2" t="s">
        <v>133</v>
      </c>
      <c r="H94" s="53" t="s">
        <v>91</v>
      </c>
    </row>
    <row r="95" spans="2:13">
      <c r="C95" s="39" t="s">
        <v>134</v>
      </c>
      <c r="D95" s="64">
        <v>52</v>
      </c>
      <c r="E95" s="41"/>
      <c r="F95" s="2" t="s">
        <v>135</v>
      </c>
      <c r="G95" s="2" t="s">
        <v>136</v>
      </c>
      <c r="H95" s="47"/>
    </row>
    <row r="96" spans="2:13">
      <c r="C96" s="39" t="s">
        <v>137</v>
      </c>
      <c r="D96" s="60" t="s">
        <v>138</v>
      </c>
      <c r="F96" s="2" t="s">
        <v>139</v>
      </c>
      <c r="H96" s="47"/>
    </row>
    <row r="97" spans="2:8">
      <c r="C97" s="39"/>
      <c r="D97" s="65"/>
      <c r="H97" s="47"/>
    </row>
    <row r="98" spans="2:8">
      <c r="C98" s="45" t="s">
        <v>140</v>
      </c>
      <c r="D98" s="65"/>
      <c r="F98" s="46"/>
      <c r="H98" s="47"/>
    </row>
    <row r="99" spans="2:8">
      <c r="C99" s="35" t="s">
        <v>70</v>
      </c>
      <c r="D99" s="62" t="s">
        <v>71</v>
      </c>
      <c r="E99" s="36" t="s">
        <v>72</v>
      </c>
      <c r="F99" s="37" t="s">
        <v>73</v>
      </c>
      <c r="G99" s="37" t="s">
        <v>74</v>
      </c>
      <c r="H99" s="38" t="s">
        <v>75</v>
      </c>
    </row>
    <row r="100" spans="2:8" ht="15" thickBot="1">
      <c r="B100" s="2" t="s">
        <v>76</v>
      </c>
      <c r="C100" s="66" t="s">
        <v>141</v>
      </c>
      <c r="D100" s="67">
        <v>8</v>
      </c>
      <c r="E100" s="68"/>
      <c r="F100" s="69" t="s">
        <v>142</v>
      </c>
      <c r="G100" s="69" t="s">
        <v>143</v>
      </c>
      <c r="H100" s="70"/>
    </row>
    <row r="101" spans="2:8" ht="15" thickBot="1">
      <c r="D101" s="65"/>
    </row>
    <row r="102" spans="2:8">
      <c r="C102" s="32" t="s">
        <v>144</v>
      </c>
      <c r="D102" s="71"/>
      <c r="E102" s="72"/>
      <c r="F102" s="73"/>
      <c r="G102" s="33"/>
      <c r="H102" s="74"/>
    </row>
    <row r="103" spans="2:8">
      <c r="C103" s="35" t="s">
        <v>70</v>
      </c>
      <c r="D103" s="62" t="s">
        <v>71</v>
      </c>
      <c r="E103" s="36" t="s">
        <v>72</v>
      </c>
      <c r="F103" s="37" t="s">
        <v>73</v>
      </c>
      <c r="G103" s="37" t="s">
        <v>74</v>
      </c>
      <c r="H103" s="38" t="s">
        <v>75</v>
      </c>
    </row>
    <row r="104" spans="2:8">
      <c r="C104" s="39" t="s">
        <v>145</v>
      </c>
      <c r="D104" s="75">
        <f>D112+D135</f>
        <v>78462.67</v>
      </c>
      <c r="E104" s="41" t="s">
        <v>31</v>
      </c>
      <c r="F104" s="42"/>
      <c r="G104" s="2" t="s">
        <v>146</v>
      </c>
      <c r="H104" s="44"/>
    </row>
    <row r="105" spans="2:8">
      <c r="C105" s="39"/>
      <c r="D105" s="65"/>
      <c r="H105" s="47"/>
    </row>
    <row r="106" spans="2:8">
      <c r="C106" s="45" t="s">
        <v>147</v>
      </c>
      <c r="D106" s="64"/>
      <c r="E106" s="41"/>
      <c r="F106" s="76"/>
      <c r="H106" s="44"/>
    </row>
    <row r="107" spans="2:8">
      <c r="C107" s="35" t="s">
        <v>70</v>
      </c>
      <c r="D107" s="62" t="s">
        <v>71</v>
      </c>
      <c r="E107" s="36" t="s">
        <v>72</v>
      </c>
      <c r="F107" s="37" t="s">
        <v>73</v>
      </c>
      <c r="G107" s="37" t="s">
        <v>74</v>
      </c>
      <c r="H107" s="38" t="s">
        <v>75</v>
      </c>
    </row>
    <row r="108" spans="2:8">
      <c r="B108" s="2" t="s">
        <v>76</v>
      </c>
      <c r="C108" s="39" t="s">
        <v>148</v>
      </c>
      <c r="D108" s="77">
        <f>'Electricity Main'!B18</f>
        <v>649680</v>
      </c>
      <c r="E108" s="41" t="s">
        <v>149</v>
      </c>
      <c r="F108" s="42"/>
      <c r="G108" s="2" t="s">
        <v>146</v>
      </c>
      <c r="H108" s="44"/>
    </row>
    <row r="109" spans="2:8">
      <c r="C109" s="39"/>
      <c r="D109" s="64"/>
      <c r="E109" s="41"/>
      <c r="H109" s="53"/>
    </row>
    <row r="110" spans="2:8">
      <c r="C110" s="45" t="s">
        <v>150</v>
      </c>
      <c r="D110" s="64"/>
      <c r="E110" s="41"/>
      <c r="F110" s="76"/>
      <c r="H110" s="44"/>
    </row>
    <row r="111" spans="2:8">
      <c r="C111" s="35" t="s">
        <v>70</v>
      </c>
      <c r="D111" s="62" t="s">
        <v>71</v>
      </c>
      <c r="E111" s="36" t="s">
        <v>72</v>
      </c>
      <c r="F111" s="37" t="s">
        <v>73</v>
      </c>
      <c r="G111" s="37" t="s">
        <v>74</v>
      </c>
      <c r="H111" s="38" t="s">
        <v>75</v>
      </c>
    </row>
    <row r="112" spans="2:8">
      <c r="B112" s="2" t="s">
        <v>76</v>
      </c>
      <c r="C112" s="39" t="s">
        <v>151</v>
      </c>
      <c r="D112" s="78">
        <f>'Electricity Main'!B19</f>
        <v>66136.990479999993</v>
      </c>
      <c r="E112" s="41" t="s">
        <v>31</v>
      </c>
      <c r="F112" s="42"/>
      <c r="G112" s="2" t="s">
        <v>146</v>
      </c>
      <c r="H112" s="44"/>
    </row>
    <row r="113" spans="2:8">
      <c r="C113" s="39"/>
      <c r="D113" s="79"/>
      <c r="E113" s="41"/>
      <c r="F113" s="42"/>
      <c r="H113" s="44"/>
    </row>
    <row r="114" spans="2:8">
      <c r="C114" s="45" t="s">
        <v>152</v>
      </c>
      <c r="D114" s="64"/>
      <c r="E114" s="41"/>
      <c r="F114" s="76"/>
      <c r="H114" s="44"/>
    </row>
    <row r="115" spans="2:8">
      <c r="C115" s="35" t="s">
        <v>70</v>
      </c>
      <c r="D115" s="62" t="s">
        <v>71</v>
      </c>
      <c r="E115" s="36" t="s">
        <v>72</v>
      </c>
      <c r="F115" s="37" t="s">
        <v>73</v>
      </c>
      <c r="G115" s="37" t="s">
        <v>74</v>
      </c>
      <c r="H115" s="38" t="s">
        <v>75</v>
      </c>
    </row>
    <row r="116" spans="2:8">
      <c r="C116" s="39" t="s">
        <v>153</v>
      </c>
      <c r="D116" s="78"/>
      <c r="E116" s="41" t="s">
        <v>31</v>
      </c>
      <c r="F116" s="42"/>
      <c r="G116" s="2" t="s">
        <v>146</v>
      </c>
      <c r="H116" s="44"/>
    </row>
    <row r="117" spans="2:8">
      <c r="C117" s="39"/>
      <c r="D117" s="65"/>
      <c r="F117" s="42"/>
      <c r="H117" s="53"/>
    </row>
    <row r="118" spans="2:8">
      <c r="C118" s="45" t="s">
        <v>154</v>
      </c>
      <c r="D118" s="64"/>
      <c r="E118" s="41"/>
      <c r="H118" s="44"/>
    </row>
    <row r="119" spans="2:8">
      <c r="C119" s="35" t="s">
        <v>70</v>
      </c>
      <c r="D119" s="62" t="s">
        <v>71</v>
      </c>
      <c r="E119" s="36" t="s">
        <v>72</v>
      </c>
      <c r="F119" s="37" t="s">
        <v>73</v>
      </c>
      <c r="G119" s="37" t="s">
        <v>74</v>
      </c>
      <c r="H119" s="38" t="s">
        <v>75</v>
      </c>
    </row>
    <row r="120" spans="2:8">
      <c r="C120" s="39" t="s">
        <v>155</v>
      </c>
      <c r="D120" s="80">
        <f>D121*D108</f>
        <v>2216.7991152</v>
      </c>
      <c r="E120" s="41"/>
      <c r="F120" s="42" t="s">
        <v>156</v>
      </c>
      <c r="H120" s="44"/>
    </row>
    <row r="121" spans="2:8">
      <c r="C121" s="39" t="s">
        <v>157</v>
      </c>
      <c r="D121" s="81">
        <f>3412.14/1000000</f>
        <v>3.4121399999999997E-3</v>
      </c>
      <c r="E121" s="42" t="s">
        <v>158</v>
      </c>
      <c r="F121" s="42" t="s">
        <v>158</v>
      </c>
      <c r="G121" s="42" t="s">
        <v>159</v>
      </c>
      <c r="H121" s="82" t="s">
        <v>160</v>
      </c>
    </row>
    <row r="122" spans="2:8">
      <c r="C122" s="39"/>
      <c r="D122" s="65"/>
      <c r="G122" s="2" t="s">
        <v>161</v>
      </c>
      <c r="H122" s="47"/>
    </row>
    <row r="123" spans="2:8">
      <c r="C123" s="45" t="s">
        <v>18</v>
      </c>
      <c r="D123" s="64"/>
      <c r="E123" s="41"/>
      <c r="H123" s="53"/>
    </row>
    <row r="124" spans="2:8">
      <c r="C124" s="35" t="s">
        <v>70</v>
      </c>
      <c r="D124" s="62" t="s">
        <v>71</v>
      </c>
      <c r="E124" s="36" t="s">
        <v>72</v>
      </c>
      <c r="F124" s="37" t="s">
        <v>73</v>
      </c>
      <c r="G124" s="37" t="s">
        <v>74</v>
      </c>
      <c r="H124" s="38" t="s">
        <v>75</v>
      </c>
    </row>
    <row r="125" spans="2:8">
      <c r="C125" s="39" t="s">
        <v>162</v>
      </c>
      <c r="D125" s="83">
        <f>D112/D108</f>
        <v>0.1017993327176456</v>
      </c>
      <c r="E125" s="41" t="s">
        <v>18</v>
      </c>
      <c r="F125" s="42" t="s">
        <v>163</v>
      </c>
      <c r="G125" s="2" t="s">
        <v>164</v>
      </c>
      <c r="H125" s="44" t="s">
        <v>165</v>
      </c>
    </row>
    <row r="126" spans="2:8">
      <c r="C126" s="39"/>
      <c r="D126" s="65"/>
      <c r="H126" s="47"/>
    </row>
    <row r="127" spans="2:8">
      <c r="B127" s="2" t="s">
        <v>76</v>
      </c>
      <c r="C127" s="45" t="s">
        <v>166</v>
      </c>
      <c r="D127" s="65"/>
      <c r="H127" s="47"/>
    </row>
    <row r="128" spans="2:8">
      <c r="C128" s="35" t="s">
        <v>70</v>
      </c>
      <c r="D128" s="62" t="s">
        <v>71</v>
      </c>
      <c r="E128" s="36" t="s">
        <v>72</v>
      </c>
      <c r="F128" s="37" t="s">
        <v>73</v>
      </c>
      <c r="G128" s="37" t="s">
        <v>74</v>
      </c>
      <c r="H128" s="38" t="s">
        <v>75</v>
      </c>
    </row>
    <row r="129" spans="2:8">
      <c r="C129" s="39" t="s">
        <v>167</v>
      </c>
      <c r="D129" s="84">
        <f>D130/D131</f>
        <v>227.1933333333333</v>
      </c>
      <c r="E129" s="41" t="s">
        <v>168</v>
      </c>
      <c r="F129" s="42" t="s">
        <v>169</v>
      </c>
      <c r="H129" s="44"/>
    </row>
    <row r="130" spans="2:8">
      <c r="C130" s="39" t="s">
        <v>170</v>
      </c>
      <c r="D130" s="85">
        <f>'Electricity Main'!B17</f>
        <v>2726.3199999999997</v>
      </c>
      <c r="E130" s="2" t="s">
        <v>168</v>
      </c>
      <c r="F130" s="2" t="s">
        <v>171</v>
      </c>
      <c r="H130" s="47"/>
    </row>
    <row r="131" spans="2:8">
      <c r="C131" s="39" t="s">
        <v>172</v>
      </c>
      <c r="D131" s="65">
        <v>12</v>
      </c>
      <c r="H131" s="47"/>
    </row>
    <row r="132" spans="2:8">
      <c r="B132" s="2" t="s">
        <v>76</v>
      </c>
      <c r="C132" s="39"/>
      <c r="D132" s="65"/>
      <c r="H132" s="47"/>
    </row>
    <row r="133" spans="2:8">
      <c r="C133" s="45" t="s">
        <v>173</v>
      </c>
      <c r="D133" s="65"/>
      <c r="H133" s="47"/>
    </row>
    <row r="134" spans="2:8">
      <c r="C134" s="35" t="s">
        <v>70</v>
      </c>
      <c r="D134" s="62" t="s">
        <v>71</v>
      </c>
      <c r="E134" s="36" t="s">
        <v>72</v>
      </c>
      <c r="F134" s="37" t="s">
        <v>73</v>
      </c>
      <c r="G134" s="37" t="s">
        <v>74</v>
      </c>
      <c r="H134" s="38" t="s">
        <v>75</v>
      </c>
    </row>
    <row r="135" spans="2:8">
      <c r="C135" s="39" t="s">
        <v>174</v>
      </c>
      <c r="D135" s="75">
        <f>'Electricity Main'!B14</f>
        <v>12325.679520000002</v>
      </c>
      <c r="E135" s="41" t="s">
        <v>31</v>
      </c>
      <c r="F135" s="42" t="s">
        <v>169</v>
      </c>
      <c r="H135" s="44"/>
    </row>
    <row r="136" spans="2:8">
      <c r="C136" s="39"/>
      <c r="D136" s="65"/>
      <c r="H136" s="47"/>
    </row>
    <row r="137" spans="2:8">
      <c r="C137" s="45" t="s">
        <v>19</v>
      </c>
      <c r="D137" s="64"/>
      <c r="E137" s="41"/>
      <c r="H137" s="53"/>
    </row>
    <row r="138" spans="2:8">
      <c r="C138" s="35" t="s">
        <v>70</v>
      </c>
      <c r="D138" s="62" t="s">
        <v>71</v>
      </c>
      <c r="E138" s="36" t="s">
        <v>72</v>
      </c>
      <c r="F138" s="37" t="s">
        <v>73</v>
      </c>
      <c r="G138" s="37" t="s">
        <v>74</v>
      </c>
      <c r="H138" s="38" t="s">
        <v>75</v>
      </c>
    </row>
    <row r="139" spans="2:8">
      <c r="C139" s="39" t="s">
        <v>162</v>
      </c>
      <c r="D139" s="86">
        <f>D135/D130</f>
        <v>4.5209951583086365</v>
      </c>
      <c r="E139" s="41" t="s">
        <v>19</v>
      </c>
      <c r="F139" s="42" t="s">
        <v>163</v>
      </c>
      <c r="G139" s="2" t="s">
        <v>164</v>
      </c>
      <c r="H139" s="44" t="s">
        <v>165</v>
      </c>
    </row>
    <row r="140" spans="2:8">
      <c r="C140" s="87"/>
      <c r="D140" s="65"/>
      <c r="H140" s="47"/>
    </row>
    <row r="141" spans="2:8">
      <c r="C141" s="45" t="s">
        <v>175</v>
      </c>
      <c r="D141" s="64"/>
      <c r="E141" s="41"/>
      <c r="H141" s="53"/>
    </row>
    <row r="142" spans="2:8">
      <c r="C142" s="35" t="s">
        <v>70</v>
      </c>
      <c r="D142" s="62" t="s">
        <v>71</v>
      </c>
      <c r="E142" s="36" t="s">
        <v>72</v>
      </c>
      <c r="F142" s="37" t="s">
        <v>73</v>
      </c>
      <c r="G142" s="37" t="s">
        <v>74</v>
      </c>
      <c r="H142" s="38" t="s">
        <v>75</v>
      </c>
    </row>
    <row r="143" spans="2:8">
      <c r="C143" s="39" t="s">
        <v>176</v>
      </c>
      <c r="D143" s="88">
        <v>0</v>
      </c>
      <c r="E143" s="41"/>
      <c r="F143" s="2" t="s">
        <v>177</v>
      </c>
      <c r="H143" s="53"/>
    </row>
    <row r="144" spans="2:8">
      <c r="C144" s="39"/>
      <c r="D144" s="64"/>
      <c r="E144" s="41"/>
      <c r="H144" s="53"/>
    </row>
    <row r="145" spans="2:8">
      <c r="C145" s="45" t="s">
        <v>178</v>
      </c>
      <c r="D145" s="64"/>
      <c r="E145" s="41"/>
      <c r="H145" s="53"/>
    </row>
    <row r="146" spans="2:8">
      <c r="C146" s="35" t="s">
        <v>70</v>
      </c>
      <c r="D146" s="62" t="s">
        <v>71</v>
      </c>
      <c r="E146" s="36" t="s">
        <v>72</v>
      </c>
      <c r="F146" s="37" t="s">
        <v>73</v>
      </c>
      <c r="G146" s="37" t="s">
        <v>74</v>
      </c>
      <c r="H146" s="38" t="s">
        <v>75</v>
      </c>
    </row>
    <row r="147" spans="2:8" ht="15" thickBot="1">
      <c r="C147" s="66" t="s">
        <v>178</v>
      </c>
      <c r="D147" s="89">
        <f>D143/D112</f>
        <v>0</v>
      </c>
      <c r="E147" s="90"/>
      <c r="F147" s="91" t="s">
        <v>179</v>
      </c>
      <c r="G147" s="92"/>
      <c r="H147" s="93" t="s">
        <v>180</v>
      </c>
    </row>
    <row r="148" spans="2:8" ht="15" thickBot="1">
      <c r="B148" s="2" t="s">
        <v>76</v>
      </c>
      <c r="D148" s="64"/>
      <c r="E148" s="41"/>
    </row>
    <row r="149" spans="2:8">
      <c r="C149" s="32" t="s">
        <v>181</v>
      </c>
      <c r="D149" s="71"/>
      <c r="E149" s="72"/>
      <c r="F149" s="73"/>
      <c r="G149" s="33"/>
      <c r="H149" s="94"/>
    </row>
    <row r="150" spans="2:8">
      <c r="C150" s="35" t="s">
        <v>70</v>
      </c>
      <c r="D150" s="62" t="s">
        <v>71</v>
      </c>
      <c r="E150" s="36" t="s">
        <v>72</v>
      </c>
      <c r="F150" s="37" t="s">
        <v>73</v>
      </c>
      <c r="G150" s="37" t="s">
        <v>74</v>
      </c>
      <c r="H150" s="38" t="s">
        <v>75</v>
      </c>
    </row>
    <row r="151" spans="2:8">
      <c r="C151" s="39" t="s">
        <v>182</v>
      </c>
      <c r="D151" s="95"/>
      <c r="E151" s="10" t="s">
        <v>183</v>
      </c>
      <c r="F151" s="42" t="s">
        <v>184</v>
      </c>
      <c r="H151" s="44"/>
    </row>
    <row r="152" spans="2:8">
      <c r="C152" s="39"/>
      <c r="D152" s="64"/>
      <c r="E152" s="41"/>
      <c r="F152" s="42"/>
      <c r="H152" s="53"/>
    </row>
    <row r="153" spans="2:8">
      <c r="C153" s="45" t="s">
        <v>185</v>
      </c>
      <c r="D153" s="64"/>
      <c r="E153" s="41"/>
      <c r="H153" s="44"/>
    </row>
    <row r="154" spans="2:8">
      <c r="C154" s="35" t="s">
        <v>70</v>
      </c>
      <c r="D154" s="62" t="s">
        <v>71</v>
      </c>
      <c r="E154" s="36" t="s">
        <v>72</v>
      </c>
      <c r="F154" s="37" t="s">
        <v>73</v>
      </c>
      <c r="G154" s="37" t="s">
        <v>74</v>
      </c>
      <c r="H154" s="38" t="s">
        <v>75</v>
      </c>
    </row>
    <row r="155" spans="2:8">
      <c r="C155" s="39" t="s">
        <v>186</v>
      </c>
      <c r="D155" s="96">
        <v>0</v>
      </c>
      <c r="E155" s="41" t="s">
        <v>114</v>
      </c>
      <c r="F155" s="42" t="s">
        <v>187</v>
      </c>
      <c r="G155" s="2" t="s">
        <v>188</v>
      </c>
      <c r="H155" s="53"/>
    </row>
    <row r="156" spans="2:8">
      <c r="C156" s="39" t="s">
        <v>189</v>
      </c>
      <c r="D156" s="97">
        <v>0</v>
      </c>
      <c r="E156" s="41" t="s">
        <v>190</v>
      </c>
      <c r="F156" s="42" t="s">
        <v>191</v>
      </c>
      <c r="G156" s="2" t="s">
        <v>192</v>
      </c>
      <c r="H156" s="43" t="s">
        <v>193</v>
      </c>
    </row>
    <row r="157" spans="2:8">
      <c r="B157" s="2" t="s">
        <v>76</v>
      </c>
      <c r="C157" s="39"/>
      <c r="D157" s="64"/>
      <c r="E157" s="41"/>
      <c r="F157" s="42"/>
      <c r="H157" s="53"/>
    </row>
    <row r="158" spans="2:8">
      <c r="C158" s="45" t="s">
        <v>194</v>
      </c>
      <c r="D158" s="64"/>
      <c r="E158" s="41"/>
      <c r="H158" s="44"/>
    </row>
    <row r="159" spans="2:8">
      <c r="C159" s="35" t="s">
        <v>70</v>
      </c>
      <c r="D159" s="62" t="s">
        <v>71</v>
      </c>
      <c r="E159" s="36" t="s">
        <v>72</v>
      </c>
      <c r="F159" s="37" t="s">
        <v>73</v>
      </c>
      <c r="G159" s="37" t="s">
        <v>74</v>
      </c>
      <c r="H159" s="38" t="s">
        <v>75</v>
      </c>
    </row>
    <row r="160" spans="2:8">
      <c r="C160" s="39" t="s">
        <v>195</v>
      </c>
      <c r="D160" s="75">
        <v>0</v>
      </c>
      <c r="E160" s="41" t="s">
        <v>31</v>
      </c>
      <c r="F160" s="42" t="s">
        <v>196</v>
      </c>
      <c r="G160" s="2" t="s">
        <v>188</v>
      </c>
      <c r="H160" s="44"/>
    </row>
    <row r="161" spans="3:8">
      <c r="C161" s="39"/>
      <c r="D161" s="65"/>
      <c r="H161" s="47"/>
    </row>
    <row r="162" spans="3:8">
      <c r="C162" s="45" t="s">
        <v>197</v>
      </c>
      <c r="D162" s="64"/>
      <c r="E162" s="41"/>
      <c r="H162" s="53"/>
    </row>
    <row r="163" spans="3:8">
      <c r="C163" s="35" t="s">
        <v>70</v>
      </c>
      <c r="D163" s="62" t="s">
        <v>71</v>
      </c>
      <c r="E163" s="36" t="s">
        <v>72</v>
      </c>
      <c r="F163" s="37" t="s">
        <v>73</v>
      </c>
      <c r="G163" s="37" t="s">
        <v>74</v>
      </c>
      <c r="H163" s="38" t="s">
        <v>75</v>
      </c>
    </row>
    <row r="164" spans="3:8" ht="15" thickBot="1">
      <c r="C164" s="66" t="s">
        <v>198</v>
      </c>
      <c r="D164" s="98" t="e">
        <f>D160/D155</f>
        <v>#DIV/0!</v>
      </c>
      <c r="E164" s="91" t="s">
        <v>199</v>
      </c>
      <c r="F164" s="69" t="s">
        <v>200</v>
      </c>
      <c r="G164" s="91" t="s">
        <v>199</v>
      </c>
      <c r="H164" s="93"/>
    </row>
    <row r="165" spans="3:8" ht="15" thickBot="1">
      <c r="D165" s="99"/>
      <c r="F165" s="42"/>
      <c r="H165" s="42"/>
    </row>
    <row r="166" spans="3:8">
      <c r="C166" s="32" t="s">
        <v>201</v>
      </c>
      <c r="D166" s="71"/>
      <c r="E166" s="72"/>
      <c r="F166" s="73"/>
      <c r="G166" s="33"/>
      <c r="H166" s="94"/>
    </row>
    <row r="167" spans="3:8">
      <c r="C167" s="35" t="s">
        <v>70</v>
      </c>
      <c r="D167" s="62" t="s">
        <v>71</v>
      </c>
      <c r="E167" s="36" t="s">
        <v>72</v>
      </c>
      <c r="F167" s="37" t="s">
        <v>73</v>
      </c>
      <c r="G167" s="37" t="s">
        <v>74</v>
      </c>
      <c r="H167" s="38" t="s">
        <v>75</v>
      </c>
    </row>
    <row r="168" spans="3:8">
      <c r="C168" s="39" t="s">
        <v>182</v>
      </c>
      <c r="D168" s="95"/>
      <c r="E168" s="10" t="s">
        <v>183</v>
      </c>
      <c r="F168" s="42" t="s">
        <v>184</v>
      </c>
      <c r="H168" s="44"/>
    </row>
    <row r="169" spans="3:8">
      <c r="C169" s="39"/>
      <c r="D169" s="64"/>
      <c r="E169" s="41"/>
      <c r="F169" s="42"/>
      <c r="H169" s="53"/>
    </row>
    <row r="170" spans="3:8">
      <c r="C170" s="45" t="s">
        <v>202</v>
      </c>
      <c r="D170" s="64"/>
      <c r="E170" s="41"/>
      <c r="H170" s="44"/>
    </row>
    <row r="171" spans="3:8">
      <c r="C171" s="35" t="s">
        <v>70</v>
      </c>
      <c r="D171" s="62" t="s">
        <v>71</v>
      </c>
      <c r="E171" s="36" t="s">
        <v>72</v>
      </c>
      <c r="F171" s="37" t="s">
        <v>73</v>
      </c>
      <c r="G171" s="37" t="s">
        <v>74</v>
      </c>
      <c r="H171" s="38" t="s">
        <v>75</v>
      </c>
    </row>
    <row r="172" spans="3:8">
      <c r="C172" s="39" t="s">
        <v>186</v>
      </c>
      <c r="D172" s="96">
        <v>38</v>
      </c>
      <c r="E172" s="41" t="s">
        <v>114</v>
      </c>
      <c r="F172" s="42" t="s">
        <v>187</v>
      </c>
      <c r="H172" s="53"/>
    </row>
    <row r="173" spans="3:8">
      <c r="C173" s="39" t="s">
        <v>189</v>
      </c>
      <c r="D173" s="97">
        <v>0.1032</v>
      </c>
      <c r="E173" s="41" t="s">
        <v>190</v>
      </c>
      <c r="F173" s="42" t="s">
        <v>191</v>
      </c>
      <c r="G173" s="2" t="s">
        <v>192</v>
      </c>
      <c r="H173" s="43" t="s">
        <v>193</v>
      </c>
    </row>
    <row r="174" spans="3:8">
      <c r="C174" s="39"/>
      <c r="D174" s="64"/>
      <c r="E174" s="41"/>
      <c r="F174" s="42"/>
      <c r="H174" s="53"/>
    </row>
    <row r="175" spans="3:8">
      <c r="C175" s="45" t="s">
        <v>194</v>
      </c>
      <c r="D175" s="64"/>
      <c r="E175" s="41"/>
      <c r="H175" s="44"/>
    </row>
    <row r="176" spans="3:8">
      <c r="C176" s="35" t="s">
        <v>70</v>
      </c>
      <c r="D176" s="62" t="s">
        <v>71</v>
      </c>
      <c r="E176" s="36" t="s">
        <v>72</v>
      </c>
      <c r="F176" s="37" t="s">
        <v>73</v>
      </c>
      <c r="G176" s="37" t="s">
        <v>74</v>
      </c>
      <c r="H176" s="38" t="s">
        <v>75</v>
      </c>
    </row>
    <row r="177" spans="3:13">
      <c r="C177" s="39" t="s">
        <v>195</v>
      </c>
      <c r="D177" s="75">
        <v>1045.1199999999999</v>
      </c>
      <c r="E177" s="41" t="s">
        <v>31</v>
      </c>
      <c r="F177" s="42" t="s">
        <v>203</v>
      </c>
      <c r="H177" s="44"/>
    </row>
    <row r="178" spans="3:13">
      <c r="C178" s="39"/>
      <c r="D178" s="65"/>
      <c r="H178" s="47"/>
    </row>
    <row r="179" spans="3:13">
      <c r="C179" s="45" t="s">
        <v>197</v>
      </c>
      <c r="D179" s="64"/>
      <c r="E179" s="41"/>
      <c r="H179" s="53"/>
      <c r="L179" s="2">
        <f>230.95/80</f>
        <v>2.8868749999999999</v>
      </c>
      <c r="M179" s="2">
        <f>L179/0.1032</f>
        <v>27.973594961240309</v>
      </c>
    </row>
    <row r="180" spans="3:13">
      <c r="C180" s="35" t="s">
        <v>70</v>
      </c>
      <c r="D180" s="62" t="s">
        <v>71</v>
      </c>
      <c r="E180" s="36" t="s">
        <v>72</v>
      </c>
      <c r="F180" s="37" t="s">
        <v>73</v>
      </c>
      <c r="G180" s="37" t="s">
        <v>74</v>
      </c>
      <c r="H180" s="38" t="s">
        <v>75</v>
      </c>
    </row>
    <row r="181" spans="3:13" ht="15" thickBot="1">
      <c r="C181" s="66" t="s">
        <v>198</v>
      </c>
      <c r="D181" s="99"/>
      <c r="E181" s="91" t="s">
        <v>199</v>
      </c>
      <c r="F181" s="69" t="s">
        <v>200</v>
      </c>
      <c r="G181" s="91" t="s">
        <v>199</v>
      </c>
      <c r="H181" s="2" t="s">
        <v>59</v>
      </c>
    </row>
    <row r="182" spans="3:13">
      <c r="D182" s="99"/>
      <c r="F182" s="42"/>
      <c r="H182" s="42"/>
    </row>
    <row r="183" spans="3:13" ht="15" thickBot="1">
      <c r="D183" s="65"/>
    </row>
    <row r="184" spans="3:13">
      <c r="C184" s="32" t="s">
        <v>57</v>
      </c>
      <c r="D184" s="71"/>
      <c r="E184" s="72"/>
      <c r="F184" s="73"/>
      <c r="G184" s="33"/>
      <c r="H184" s="94"/>
    </row>
    <row r="185" spans="3:13">
      <c r="C185" s="35" t="s">
        <v>70</v>
      </c>
      <c r="D185" s="62" t="s">
        <v>71</v>
      </c>
      <c r="E185" s="36" t="s">
        <v>72</v>
      </c>
      <c r="F185" s="37" t="s">
        <v>73</v>
      </c>
      <c r="G185" s="37" t="s">
        <v>74</v>
      </c>
      <c r="H185" s="38" t="s">
        <v>75</v>
      </c>
    </row>
    <row r="186" spans="3:13">
      <c r="C186" s="39" t="s">
        <v>204</v>
      </c>
      <c r="D186" s="100" t="e">
        <f>D188/D187</f>
        <v>#DIV/0!</v>
      </c>
      <c r="E186" s="41"/>
      <c r="F186" s="42" t="s">
        <v>205</v>
      </c>
      <c r="H186" s="82" t="s">
        <v>206</v>
      </c>
    </row>
    <row r="187" spans="3:13">
      <c r="C187" s="39" t="s">
        <v>207</v>
      </c>
      <c r="D187" s="84"/>
      <c r="E187" s="41"/>
      <c r="F187" s="42"/>
      <c r="G187" s="42"/>
      <c r="H187" s="82"/>
    </row>
    <row r="188" spans="3:13">
      <c r="C188" s="39" t="s">
        <v>208</v>
      </c>
      <c r="D188" s="64"/>
      <c r="E188" s="41"/>
      <c r="F188" s="42" t="s">
        <v>209</v>
      </c>
      <c r="G188" s="42"/>
      <c r="H188" s="82"/>
    </row>
    <row r="189" spans="3:13">
      <c r="C189" s="39"/>
      <c r="D189" s="64"/>
      <c r="E189" s="41"/>
      <c r="F189" s="42"/>
      <c r="H189" s="53"/>
    </row>
    <row r="190" spans="3:13">
      <c r="C190" s="45" t="s">
        <v>210</v>
      </c>
      <c r="D190" s="64"/>
      <c r="E190" s="41"/>
      <c r="H190" s="44"/>
    </row>
    <row r="191" spans="3:13">
      <c r="C191" s="35" t="s">
        <v>70</v>
      </c>
      <c r="D191" s="62" t="s">
        <v>71</v>
      </c>
      <c r="E191" s="36" t="s">
        <v>72</v>
      </c>
      <c r="F191" s="37" t="s">
        <v>73</v>
      </c>
      <c r="G191" s="37" t="s">
        <v>74</v>
      </c>
      <c r="H191" s="38" t="s">
        <v>75</v>
      </c>
    </row>
    <row r="192" spans="3:13">
      <c r="C192" s="39" t="s">
        <v>211</v>
      </c>
      <c r="D192" s="96"/>
      <c r="E192" s="41"/>
      <c r="F192" s="42" t="s">
        <v>212</v>
      </c>
      <c r="G192" s="2" t="s">
        <v>213</v>
      </c>
      <c r="H192" s="43"/>
    </row>
    <row r="193" spans="3:8">
      <c r="C193" s="39" t="s">
        <v>214</v>
      </c>
      <c r="D193" s="101"/>
      <c r="E193" s="41"/>
      <c r="F193" s="42" t="s">
        <v>215</v>
      </c>
      <c r="H193" s="43" t="s">
        <v>216</v>
      </c>
    </row>
    <row r="194" spans="3:8">
      <c r="C194" s="39"/>
      <c r="D194" s="102"/>
      <c r="E194" s="41"/>
      <c r="F194" s="42"/>
      <c r="H194" s="43"/>
    </row>
    <row r="195" spans="3:8">
      <c r="C195" s="45" t="s">
        <v>217</v>
      </c>
      <c r="D195" s="64"/>
      <c r="E195" s="41"/>
      <c r="H195" s="44"/>
    </row>
    <row r="196" spans="3:8">
      <c r="C196" s="35" t="s">
        <v>70</v>
      </c>
      <c r="D196" s="62" t="s">
        <v>71</v>
      </c>
      <c r="E196" s="36" t="s">
        <v>72</v>
      </c>
      <c r="F196" s="37" t="s">
        <v>73</v>
      </c>
      <c r="G196" s="37" t="s">
        <v>74</v>
      </c>
      <c r="H196" s="38" t="s">
        <v>75</v>
      </c>
    </row>
    <row r="197" spans="3:8">
      <c r="C197" s="39" t="s">
        <v>218</v>
      </c>
      <c r="D197" s="75"/>
      <c r="E197" s="41" t="s">
        <v>122</v>
      </c>
      <c r="F197" s="42" t="s">
        <v>219</v>
      </c>
      <c r="G197" s="2" t="s">
        <v>220</v>
      </c>
      <c r="H197" s="44"/>
    </row>
    <row r="198" spans="3:8">
      <c r="C198" s="39"/>
      <c r="D198" s="65"/>
      <c r="H198" s="47"/>
    </row>
    <row r="199" spans="3:8">
      <c r="C199" s="45" t="s">
        <v>221</v>
      </c>
      <c r="D199" s="64"/>
      <c r="E199" s="41"/>
      <c r="H199" s="53"/>
    </row>
    <row r="200" spans="3:8">
      <c r="C200" s="35" t="s">
        <v>70</v>
      </c>
      <c r="D200" s="62" t="s">
        <v>71</v>
      </c>
      <c r="E200" s="36" t="s">
        <v>72</v>
      </c>
      <c r="F200" s="37" t="s">
        <v>73</v>
      </c>
      <c r="G200" s="37" t="s">
        <v>74</v>
      </c>
      <c r="H200" s="38" t="s">
        <v>75</v>
      </c>
    </row>
    <row r="201" spans="3:8" ht="15" thickBot="1">
      <c r="C201" s="66" t="s">
        <v>222</v>
      </c>
      <c r="D201" s="103"/>
      <c r="E201" s="68" t="s">
        <v>199</v>
      </c>
      <c r="F201" s="69" t="s">
        <v>223</v>
      </c>
      <c r="G201" s="91" t="s">
        <v>199</v>
      </c>
      <c r="H201" s="93" t="s">
        <v>224</v>
      </c>
    </row>
    <row r="202" spans="3:8">
      <c r="D202" s="84"/>
      <c r="E202" s="41"/>
      <c r="F202" s="42"/>
      <c r="H202" s="42"/>
    </row>
    <row r="203" spans="3:8" ht="15" thickBot="1">
      <c r="C203" s="104"/>
      <c r="D203" s="64"/>
      <c r="E203" s="41"/>
      <c r="F203" s="42"/>
      <c r="H203" s="42"/>
    </row>
    <row r="204" spans="3:8">
      <c r="C204" s="32" t="s">
        <v>225</v>
      </c>
      <c r="D204" s="71"/>
      <c r="E204" s="72"/>
      <c r="F204" s="33"/>
      <c r="G204" s="33"/>
      <c r="H204" s="74"/>
    </row>
    <row r="205" spans="3:8">
      <c r="C205" s="35" t="s">
        <v>70</v>
      </c>
      <c r="D205" s="62" t="s">
        <v>71</v>
      </c>
      <c r="E205" s="36" t="s">
        <v>72</v>
      </c>
      <c r="F205" s="37" t="s">
        <v>73</v>
      </c>
      <c r="G205" s="37" t="s">
        <v>74</v>
      </c>
      <c r="H205" s="38" t="s">
        <v>75</v>
      </c>
    </row>
    <row r="206" spans="3:8">
      <c r="C206" s="39" t="s">
        <v>226</v>
      </c>
      <c r="D206" s="101">
        <f>SUM(D155,D120)</f>
        <v>2216.7991152</v>
      </c>
      <c r="E206" s="41" t="s">
        <v>114</v>
      </c>
      <c r="F206" s="42" t="s">
        <v>227</v>
      </c>
      <c r="G206" s="2" t="s">
        <v>228</v>
      </c>
      <c r="H206" s="44"/>
    </row>
    <row r="207" spans="3:8">
      <c r="C207" s="39"/>
      <c r="D207" s="65"/>
      <c r="H207" s="47"/>
    </row>
    <row r="208" spans="3:8">
      <c r="C208" s="45" t="s">
        <v>229</v>
      </c>
      <c r="D208" s="64"/>
      <c r="E208" s="41"/>
      <c r="H208" s="44"/>
    </row>
    <row r="209" spans="3:8">
      <c r="C209" s="35" t="s">
        <v>70</v>
      </c>
      <c r="D209" s="62" t="s">
        <v>71</v>
      </c>
      <c r="E209" s="36" t="s">
        <v>72</v>
      </c>
      <c r="F209" s="37" t="s">
        <v>73</v>
      </c>
      <c r="G209" s="37" t="s">
        <v>74</v>
      </c>
      <c r="H209" s="38" t="s">
        <v>75</v>
      </c>
    </row>
    <row r="210" spans="3:8" ht="15" thickBot="1">
      <c r="C210" s="66" t="s">
        <v>230</v>
      </c>
      <c r="D210" s="105">
        <f>SUM(D160,D104,D177,D197)</f>
        <v>79507.789999999994</v>
      </c>
      <c r="E210" s="68" t="s">
        <v>31</v>
      </c>
      <c r="F210" s="69" t="s">
        <v>39</v>
      </c>
      <c r="G210" s="91" t="s">
        <v>231</v>
      </c>
      <c r="H210" s="106"/>
    </row>
    <row r="211" spans="3:8" ht="15" thickBot="1">
      <c r="C211" s="104"/>
      <c r="D211" s="64"/>
      <c r="E211" s="41"/>
      <c r="F211" s="42"/>
      <c r="H211" s="107"/>
    </row>
    <row r="212" spans="3:8">
      <c r="C212" s="32" t="s">
        <v>232</v>
      </c>
      <c r="D212" s="71"/>
      <c r="E212" s="72"/>
      <c r="F212" s="33"/>
      <c r="G212" s="33"/>
      <c r="H212" s="94"/>
    </row>
    <row r="213" spans="3:8">
      <c r="C213" s="35" t="s">
        <v>70</v>
      </c>
      <c r="D213" s="62" t="s">
        <v>71</v>
      </c>
      <c r="E213" s="36" t="s">
        <v>72</v>
      </c>
      <c r="F213" s="37" t="s">
        <v>73</v>
      </c>
      <c r="G213" s="37" t="s">
        <v>74</v>
      </c>
      <c r="H213" s="38" t="s">
        <v>75</v>
      </c>
    </row>
    <row r="214" spans="3:8">
      <c r="C214" s="39" t="s">
        <v>233</v>
      </c>
      <c r="D214" s="101">
        <f>SUM(D215:D218)</f>
        <v>250.48688999999999</v>
      </c>
      <c r="E214" s="41"/>
      <c r="F214" s="42" t="s">
        <v>234</v>
      </c>
      <c r="G214" s="42"/>
      <c r="H214" s="53"/>
    </row>
    <row r="215" spans="3:8">
      <c r="C215" s="39" t="s">
        <v>235</v>
      </c>
      <c r="D215" s="101">
        <f>D226*D219</f>
        <v>247.85291999999998</v>
      </c>
      <c r="E215" s="41"/>
      <c r="F215" s="42" t="s">
        <v>236</v>
      </c>
      <c r="G215" s="2" t="s">
        <v>237</v>
      </c>
      <c r="H215" s="53" t="s">
        <v>104</v>
      </c>
    </row>
    <row r="216" spans="3:8">
      <c r="C216" s="108" t="s">
        <v>238</v>
      </c>
      <c r="D216" s="109">
        <f>D223*D219</f>
        <v>0</v>
      </c>
      <c r="E216" s="110"/>
      <c r="F216" s="42" t="s">
        <v>239</v>
      </c>
      <c r="G216" s="2" t="s">
        <v>237</v>
      </c>
      <c r="H216" s="53" t="s">
        <v>104</v>
      </c>
    </row>
    <row r="217" spans="3:8">
      <c r="C217" s="108" t="s">
        <v>240</v>
      </c>
      <c r="D217" s="109">
        <f>D224*D219</f>
        <v>0</v>
      </c>
      <c r="E217" s="110"/>
      <c r="F217" s="42" t="s">
        <v>241</v>
      </c>
      <c r="H217" s="53"/>
    </row>
    <row r="218" spans="3:8">
      <c r="C218" s="108" t="s">
        <v>242</v>
      </c>
      <c r="D218" s="109">
        <f>D225*D219</f>
        <v>2.6339699999999997</v>
      </c>
      <c r="E218" s="110"/>
      <c r="F218" s="42" t="s">
        <v>243</v>
      </c>
      <c r="G218" s="2" t="s">
        <v>237</v>
      </c>
      <c r="H218" s="53"/>
    </row>
    <row r="219" spans="3:8">
      <c r="C219" s="108" t="s">
        <v>244</v>
      </c>
      <c r="D219" s="111">
        <v>5.0000000000000001E-4</v>
      </c>
      <c r="E219" s="112"/>
      <c r="F219" s="42"/>
      <c r="G219" s="2" t="s">
        <v>245</v>
      </c>
      <c r="H219" s="43" t="s">
        <v>246</v>
      </c>
    </row>
    <row r="220" spans="3:8">
      <c r="C220" s="39" t="s">
        <v>29</v>
      </c>
      <c r="D220" s="101">
        <v>763</v>
      </c>
      <c r="E220" s="41" t="s">
        <v>247</v>
      </c>
      <c r="F220" s="42" t="s">
        <v>248</v>
      </c>
      <c r="G220" s="17" t="s">
        <v>249</v>
      </c>
      <c r="H220" s="43" t="s">
        <v>250</v>
      </c>
    </row>
    <row r="221" spans="3:8">
      <c r="C221" s="108" t="s">
        <v>251</v>
      </c>
      <c r="D221" s="64">
        <f>D108/1000</f>
        <v>649.67999999999995</v>
      </c>
      <c r="E221" s="41"/>
      <c r="F221" s="42" t="s">
        <v>252</v>
      </c>
      <c r="H221" s="53"/>
    </row>
    <row r="222" spans="3:8">
      <c r="C222" s="108" t="s">
        <v>253</v>
      </c>
      <c r="D222" s="83">
        <f>0.293</f>
        <v>0.29299999999999998</v>
      </c>
      <c r="E222" s="41"/>
      <c r="F222" s="42" t="s">
        <v>254</v>
      </c>
      <c r="G222" s="2" t="s">
        <v>255</v>
      </c>
      <c r="H222" s="43" t="s">
        <v>256</v>
      </c>
    </row>
    <row r="223" spans="3:8">
      <c r="C223" s="108" t="s">
        <v>257</v>
      </c>
      <c r="D223" s="64">
        <f>F223*D155</f>
        <v>0</v>
      </c>
      <c r="E223" s="41"/>
      <c r="F223" s="41">
        <v>117</v>
      </c>
      <c r="G223" s="2" t="s">
        <v>258</v>
      </c>
      <c r="H223" s="43" t="s">
        <v>259</v>
      </c>
    </row>
    <row r="224" spans="3:8">
      <c r="C224" s="108" t="s">
        <v>260</v>
      </c>
      <c r="D224" s="64">
        <f>F224*D192</f>
        <v>0</v>
      </c>
      <c r="E224" s="41"/>
      <c r="F224" s="41">
        <v>117</v>
      </c>
      <c r="G224" s="2" t="s">
        <v>261</v>
      </c>
      <c r="H224" s="43"/>
    </row>
    <row r="225" spans="3:8">
      <c r="C225" s="39" t="s">
        <v>262</v>
      </c>
      <c r="D225" s="64">
        <f>F225*D172</f>
        <v>5267.94</v>
      </c>
      <c r="E225" s="41"/>
      <c r="F225" s="41">
        <v>138.63</v>
      </c>
      <c r="G225" s="2" t="s">
        <v>263</v>
      </c>
      <c r="H225" s="43" t="s">
        <v>259</v>
      </c>
    </row>
    <row r="226" spans="3:8">
      <c r="C226" s="39" t="s">
        <v>264</v>
      </c>
      <c r="D226" s="41">
        <f>D221*D220</f>
        <v>495705.83999999997</v>
      </c>
      <c r="E226" s="41"/>
      <c r="F226" s="42" t="s">
        <v>265</v>
      </c>
      <c r="H226" s="44" t="s">
        <v>266</v>
      </c>
    </row>
    <row r="227" spans="3:8">
      <c r="C227" s="39" t="s">
        <v>267</v>
      </c>
      <c r="D227" s="41">
        <v>3.1489999999999997E-2</v>
      </c>
      <c r="E227" s="41"/>
      <c r="F227" s="42"/>
      <c r="G227" s="2" t="s">
        <v>268</v>
      </c>
      <c r="H227" s="3" t="s">
        <v>269</v>
      </c>
    </row>
    <row r="228" spans="3:8" ht="15" thickBot="1">
      <c r="C228" s="66"/>
      <c r="D228" s="91"/>
      <c r="E228" s="91"/>
      <c r="F228" s="69"/>
      <c r="G228" s="91"/>
      <c r="H228" s="93" t="s">
        <v>266</v>
      </c>
    </row>
    <row r="230" spans="3:8">
      <c r="D230" s="10"/>
      <c r="E230" s="10"/>
    </row>
    <row r="231" spans="3:8">
      <c r="H231" s="3"/>
    </row>
  </sheetData>
  <hyperlinks>
    <hyperlink ref="H220" r:id="rId1" xr:uid="{9E0EC87B-6D27-401F-B86D-98B33CFAF338}"/>
    <hyperlink ref="H219" r:id="rId2" location="q=lbs+to+ton&amp;*" xr:uid="{5B8AC5F0-92D6-43E5-8399-532940B2950E}"/>
    <hyperlink ref="H222" r:id="rId3" location="q=mmbtu+to+mwh&amp;*" xr:uid="{02779CDA-23A6-4905-B562-42A505CB02A0}"/>
    <hyperlink ref="G4" r:id="rId4" xr:uid="{6EFA8113-B62F-4CF8-B475-CA04767E1949}"/>
    <hyperlink ref="H223" r:id="rId5" xr:uid="{4E2337DA-CCEE-4F1F-A85E-CF6F910FAB05}"/>
    <hyperlink ref="H225" r:id="rId6" xr:uid="{3D587368-70C6-4827-A508-21A6195C8705}"/>
    <hyperlink ref="G3" r:id="rId7" xr:uid="{B1D1CAC4-2DCB-4D2D-A5A1-47742B1F0956}"/>
    <hyperlink ref="H156" r:id="rId8" xr:uid="{D6AC183A-C47D-4C20-8B1D-CD8BC091296F}"/>
    <hyperlink ref="H35" r:id="rId9" xr:uid="{FA23FFDD-ACC3-49C5-877F-56DA61B0D7E1}"/>
    <hyperlink ref="H40" r:id="rId10" xr:uid="{ECF7F68A-8EA9-40C2-9077-39B3D5D93B1F}"/>
    <hyperlink ref="H173" r:id="rId11" xr:uid="{A5DA674A-F3AC-42F2-8FBA-4A28361A1570}"/>
    <hyperlink ref="H227" r:id="rId12" xr:uid="{AF9A2455-86FB-4B24-A7AE-DAA42F9F40F4}"/>
    <hyperlink ref="H193" r:id="rId13" xr:uid="{85681578-B27A-4B22-9922-EBF68EEA777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1CA1E-EA8E-4D01-9037-EAC2DC995AE6}">
  <dimension ref="A2:O67"/>
  <sheetViews>
    <sheetView topLeftCell="B1" zoomScale="70" zoomScaleNormal="70" workbookViewId="0">
      <selection activeCell="J22" sqref="J22"/>
    </sheetView>
  </sheetViews>
  <sheetFormatPr defaultColWidth="9.109375" defaultRowHeight="14.4"/>
  <cols>
    <col min="1" max="1" width="95.6640625" style="2" customWidth="1"/>
    <col min="2" max="2" width="70.109375" style="2" bestFit="1" customWidth="1"/>
    <col min="3" max="3" width="62.88671875" style="2" bestFit="1" customWidth="1"/>
    <col min="4" max="4" width="37.109375" style="2" bestFit="1" customWidth="1"/>
    <col min="5" max="5" width="30.44140625" style="2" bestFit="1" customWidth="1"/>
    <col min="6" max="6" width="30" style="2" bestFit="1" customWidth="1"/>
    <col min="7" max="7" width="28.109375" style="2" bestFit="1" customWidth="1"/>
    <col min="8" max="8" width="30.6640625" style="2" bestFit="1" customWidth="1"/>
    <col min="9" max="9" width="21.44140625" style="2" bestFit="1" customWidth="1"/>
    <col min="10" max="10" width="26.44140625" style="2" bestFit="1" customWidth="1"/>
    <col min="11" max="11" width="18.44140625" style="2" bestFit="1" customWidth="1"/>
    <col min="12" max="12" width="14" style="2" bestFit="1" customWidth="1"/>
    <col min="13" max="13" width="16.6640625" style="2" customWidth="1"/>
    <col min="14" max="14" width="18.44140625" style="2" customWidth="1"/>
    <col min="15" max="16384" width="9.109375" style="2"/>
  </cols>
  <sheetData>
    <row r="2" spans="1:15" ht="16.2" thickBot="1">
      <c r="A2" s="181"/>
      <c r="B2" s="181"/>
      <c r="C2" s="181"/>
      <c r="D2" s="181"/>
      <c r="E2" s="207"/>
      <c r="F2" s="207"/>
      <c r="G2" s="207"/>
      <c r="H2" s="207"/>
      <c r="I2" s="207"/>
      <c r="J2" s="207"/>
      <c r="K2" s="207"/>
      <c r="L2" s="207"/>
      <c r="M2" s="208"/>
      <c r="N2" s="181"/>
      <c r="O2" s="181"/>
    </row>
    <row r="3" spans="1:15" ht="15.6">
      <c r="A3" s="181"/>
      <c r="B3" s="113" t="s">
        <v>270</v>
      </c>
      <c r="C3" s="114" t="s">
        <v>271</v>
      </c>
      <c r="D3" s="114" t="s">
        <v>73</v>
      </c>
      <c r="E3" s="115" t="s">
        <v>272</v>
      </c>
      <c r="F3" s="116" t="s">
        <v>273</v>
      </c>
      <c r="G3" s="116" t="s">
        <v>274</v>
      </c>
      <c r="H3" s="116" t="s">
        <v>275</v>
      </c>
      <c r="I3" s="116" t="s">
        <v>276</v>
      </c>
      <c r="J3" s="116" t="s">
        <v>277</v>
      </c>
      <c r="K3" s="117" t="s">
        <v>278</v>
      </c>
      <c r="L3" s="116" t="s">
        <v>279</v>
      </c>
      <c r="M3" s="117" t="s">
        <v>280</v>
      </c>
      <c r="N3" s="118" t="s">
        <v>281</v>
      </c>
      <c r="O3" s="181"/>
    </row>
    <row r="4" spans="1:15" ht="16.2" thickBot="1">
      <c r="A4" s="181"/>
      <c r="B4" s="209"/>
      <c r="C4" s="119"/>
      <c r="D4" s="119"/>
      <c r="E4" s="120" t="s">
        <v>282</v>
      </c>
      <c r="F4" s="121" t="s">
        <v>40</v>
      </c>
      <c r="G4" s="121" t="s">
        <v>283</v>
      </c>
      <c r="H4" s="121" t="s">
        <v>40</v>
      </c>
      <c r="I4" s="121" t="s">
        <v>284</v>
      </c>
      <c r="J4" s="121" t="s">
        <v>40</v>
      </c>
      <c r="K4" s="121" t="s">
        <v>40</v>
      </c>
      <c r="L4" s="121" t="s">
        <v>285</v>
      </c>
      <c r="M4" s="121" t="s">
        <v>31</v>
      </c>
      <c r="N4" s="122" t="s">
        <v>286</v>
      </c>
      <c r="O4" s="181"/>
    </row>
    <row r="5" spans="1:15" ht="15.6">
      <c r="A5" s="181"/>
      <c r="B5" s="210">
        <v>1</v>
      </c>
      <c r="C5" s="181" t="str">
        <f>B18</f>
        <v>Utilize Higher Efficiency lamps and/or Ballasts</v>
      </c>
      <c r="D5" s="123"/>
      <c r="E5" s="191">
        <f>B21</f>
        <v>6806</v>
      </c>
      <c r="F5" s="191">
        <f>C21</f>
        <v>694</v>
      </c>
      <c r="G5" s="181" t="s">
        <v>138</v>
      </c>
      <c r="H5" s="181" t="s">
        <v>138</v>
      </c>
      <c r="I5" s="181" t="s">
        <v>138</v>
      </c>
      <c r="J5" s="181" t="s">
        <v>138</v>
      </c>
      <c r="K5" s="189">
        <f>F21</f>
        <v>771</v>
      </c>
      <c r="L5" s="189">
        <f>G21</f>
        <v>3</v>
      </c>
      <c r="M5" s="189">
        <f>H21</f>
        <v>675</v>
      </c>
      <c r="N5" s="211">
        <f>M5/K5</f>
        <v>0.8754863813229572</v>
      </c>
      <c r="O5" s="181"/>
    </row>
    <row r="6" spans="1:15" ht="15.6">
      <c r="A6" s="181"/>
      <c r="B6" s="210">
        <v>2</v>
      </c>
      <c r="C6" s="181" t="str">
        <f>B24</f>
        <v>Modify Inventory Control</v>
      </c>
      <c r="D6" s="123"/>
      <c r="E6" s="191"/>
      <c r="F6" s="191"/>
      <c r="G6" s="181">
        <v>0</v>
      </c>
      <c r="H6" s="181">
        <v>0</v>
      </c>
      <c r="I6" s="181">
        <v>0</v>
      </c>
      <c r="J6" s="181">
        <v>0</v>
      </c>
      <c r="K6" s="189">
        <f>E27</f>
        <v>9000</v>
      </c>
      <c r="L6" s="189"/>
      <c r="M6" s="189">
        <f>G27</f>
        <v>25000</v>
      </c>
      <c r="N6" s="211">
        <f t="shared" ref="N6:N12" si="0">M6/K6</f>
        <v>2.7777777777777777</v>
      </c>
      <c r="O6" s="181"/>
    </row>
    <row r="7" spans="1:15" ht="15.6">
      <c r="A7" s="181"/>
      <c r="B7" s="210">
        <v>3</v>
      </c>
      <c r="C7" s="212" t="str">
        <f>B30</f>
        <v xml:space="preserve">Consider Replacement of old motors with energy efficient one </v>
      </c>
      <c r="D7" s="123"/>
      <c r="E7" s="191">
        <f>B33</f>
        <v>24612</v>
      </c>
      <c r="F7" s="191">
        <f>C33</f>
        <v>2510</v>
      </c>
      <c r="G7" s="191">
        <v>0</v>
      </c>
      <c r="H7" s="191">
        <v>0</v>
      </c>
      <c r="I7" s="181">
        <v>0</v>
      </c>
      <c r="J7" s="181">
        <v>0</v>
      </c>
      <c r="K7" s="213">
        <f>D33</f>
        <v>2510</v>
      </c>
      <c r="L7" s="213">
        <f>E33</f>
        <v>9</v>
      </c>
      <c r="M7" s="213">
        <f>F33</f>
        <v>10600</v>
      </c>
      <c r="N7" s="211">
        <f t="shared" si="0"/>
        <v>4.2231075697211153</v>
      </c>
      <c r="O7" s="181"/>
    </row>
    <row r="8" spans="1:15" ht="15.6">
      <c r="A8" s="181"/>
      <c r="B8" s="210">
        <v>4</v>
      </c>
      <c r="C8" s="181" t="str">
        <f>B36</f>
        <v>Purchase Optimum Sized Air Compressor with More Suitable Substitutes</v>
      </c>
      <c r="D8" s="42"/>
      <c r="E8" s="191">
        <f>B39</f>
        <v>36365</v>
      </c>
      <c r="F8" s="191">
        <f>_Hlk187572351</f>
        <v>3709</v>
      </c>
      <c r="G8" s="191">
        <v>0</v>
      </c>
      <c r="H8" s="191">
        <v>0</v>
      </c>
      <c r="I8" s="191">
        <v>0</v>
      </c>
      <c r="J8" s="191">
        <v>0</v>
      </c>
      <c r="K8" s="214">
        <f>D39</f>
        <v>3709</v>
      </c>
      <c r="L8" s="214">
        <f>E39</f>
        <v>14</v>
      </c>
      <c r="M8" s="214">
        <f>F39</f>
        <v>16949</v>
      </c>
      <c r="N8" s="211">
        <f t="shared" si="0"/>
        <v>4.5696953356699916</v>
      </c>
      <c r="O8" s="181"/>
    </row>
    <row r="9" spans="1:15" ht="15.6">
      <c r="A9" s="181"/>
      <c r="B9" s="210">
        <v>5</v>
      </c>
      <c r="C9" s="181" t="str">
        <f>B41</f>
        <v>Install Sub - Metering Equipment</v>
      </c>
      <c r="D9" s="42"/>
      <c r="E9" s="191">
        <f>B45</f>
        <v>32484</v>
      </c>
      <c r="F9" s="191">
        <f>C45</f>
        <v>3313</v>
      </c>
      <c r="G9" s="191">
        <v>0</v>
      </c>
      <c r="H9" s="191">
        <v>0</v>
      </c>
      <c r="I9" s="191">
        <v>0</v>
      </c>
      <c r="J9" s="191">
        <v>0</v>
      </c>
      <c r="K9" s="214">
        <f>F45</f>
        <v>3313</v>
      </c>
      <c r="L9" s="214">
        <f>G45</f>
        <v>12</v>
      </c>
      <c r="M9" s="214">
        <v>3000</v>
      </c>
      <c r="N9" s="211">
        <f t="shared" si="0"/>
        <v>0.9055236945366737</v>
      </c>
      <c r="O9" s="181"/>
    </row>
    <row r="10" spans="1:15" ht="15.6">
      <c r="A10" s="181"/>
      <c r="B10" s="210">
        <v>6</v>
      </c>
      <c r="C10" s="181" t="str">
        <f>B48</f>
        <v>Use Solar Heat to Genearte Electricity</v>
      </c>
      <c r="D10" s="42"/>
      <c r="E10" s="191">
        <f>B52</f>
        <v>387960</v>
      </c>
      <c r="F10" s="191">
        <f>C52</f>
        <v>39572</v>
      </c>
      <c r="G10" s="191"/>
      <c r="H10" s="191"/>
      <c r="I10" s="191"/>
      <c r="J10" s="191"/>
      <c r="K10" s="214">
        <f>D52</f>
        <v>39572</v>
      </c>
      <c r="L10" s="214">
        <f>E52</f>
        <v>148</v>
      </c>
      <c r="M10" s="214">
        <f>F52</f>
        <v>160992</v>
      </c>
      <c r="N10" s="211">
        <f t="shared" si="0"/>
        <v>4.068331143232589</v>
      </c>
      <c r="O10" s="181"/>
    </row>
    <row r="11" spans="1:15" ht="15.6">
      <c r="A11" s="181"/>
      <c r="B11" s="210">
        <v>7</v>
      </c>
      <c r="C11" s="181" t="str">
        <f>B63</f>
        <v>Replace Fossil Fuel Equipment with Electrical Equipment</v>
      </c>
      <c r="D11" s="42"/>
      <c r="E11" s="191">
        <f>D67</f>
        <v>-3744</v>
      </c>
      <c r="F11" s="191">
        <f>E67</f>
        <v>-382</v>
      </c>
      <c r="G11" s="191"/>
      <c r="H11" s="191">
        <f>F67</f>
        <v>8000</v>
      </c>
      <c r="I11" s="191">
        <f>B67</f>
        <v>38</v>
      </c>
      <c r="J11" s="191">
        <f>C67</f>
        <v>1045</v>
      </c>
      <c r="K11" s="214">
        <f>G67</f>
        <v>8663</v>
      </c>
      <c r="L11" s="214">
        <f>H67</f>
        <v>1</v>
      </c>
      <c r="M11" s="214">
        <f>I67</f>
        <v>48183</v>
      </c>
      <c r="N11" s="211">
        <f t="shared" si="0"/>
        <v>5.5619300473277153</v>
      </c>
      <c r="O11" s="181"/>
    </row>
    <row r="12" spans="1:15" ht="15.6">
      <c r="A12" s="181"/>
      <c r="B12" s="210">
        <v>8</v>
      </c>
      <c r="C12" s="181" t="str">
        <f>B55</f>
        <v>Replace Existing HVAC with Higher Efficiency Model</v>
      </c>
      <c r="D12" s="42"/>
      <c r="E12" s="191">
        <f>B59</f>
        <v>14586</v>
      </c>
      <c r="F12" s="191">
        <f>C59</f>
        <v>1488</v>
      </c>
      <c r="G12" s="191"/>
      <c r="H12" s="191"/>
      <c r="I12" s="191"/>
      <c r="J12" s="191"/>
      <c r="K12" s="214">
        <f>D59</f>
        <v>1488</v>
      </c>
      <c r="L12" s="214">
        <f>E59</f>
        <v>6</v>
      </c>
      <c r="M12" s="214">
        <f>F59</f>
        <v>5190</v>
      </c>
      <c r="N12" s="211">
        <f t="shared" si="0"/>
        <v>3.4879032258064515</v>
      </c>
      <c r="O12" s="181"/>
    </row>
    <row r="13" spans="1:15" ht="16.2" thickBot="1">
      <c r="A13" s="181"/>
      <c r="B13" s="124" t="s">
        <v>68</v>
      </c>
      <c r="C13" s="215"/>
      <c r="D13" s="215"/>
      <c r="E13" s="216">
        <f t="shared" ref="E13:J13" si="1">SUM(E5:E9)</f>
        <v>100267</v>
      </c>
      <c r="F13" s="216">
        <f t="shared" si="1"/>
        <v>10226</v>
      </c>
      <c r="G13" s="216">
        <f t="shared" si="1"/>
        <v>0</v>
      </c>
      <c r="H13" s="216">
        <f t="shared" si="1"/>
        <v>0</v>
      </c>
      <c r="I13" s="216">
        <f t="shared" si="1"/>
        <v>0</v>
      </c>
      <c r="J13" s="216">
        <f t="shared" si="1"/>
        <v>0</v>
      </c>
      <c r="K13" s="216">
        <f>SUM(K5:K12)</f>
        <v>69026</v>
      </c>
      <c r="L13" s="216">
        <f>SUM(L5:L12)</f>
        <v>193</v>
      </c>
      <c r="M13" s="216">
        <f>SUM(M5:M12)</f>
        <v>270589</v>
      </c>
      <c r="N13" s="217">
        <f>M13/K13</f>
        <v>3.9201025700460694</v>
      </c>
      <c r="O13" s="181"/>
    </row>
    <row r="14" spans="1:15" ht="15.6">
      <c r="A14" s="181"/>
      <c r="B14" s="181"/>
      <c r="C14" s="181"/>
      <c r="D14" s="181"/>
      <c r="E14" s="207"/>
      <c r="F14" s="207"/>
      <c r="G14" s="207"/>
      <c r="H14" s="207"/>
      <c r="I14" s="207"/>
      <c r="J14" s="207"/>
      <c r="K14" s="207" t="s">
        <v>287</v>
      </c>
      <c r="L14" s="207" t="s">
        <v>288</v>
      </c>
      <c r="M14" s="207"/>
      <c r="N14" s="208"/>
      <c r="O14" s="181"/>
    </row>
    <row r="15" spans="1:15" ht="15.6">
      <c r="A15" s="181"/>
      <c r="B15" s="181"/>
      <c r="C15" s="181"/>
      <c r="D15" s="181"/>
      <c r="E15" s="207"/>
      <c r="F15" s="207"/>
      <c r="G15" s="207"/>
      <c r="H15" s="207">
        <f>156-40-75</f>
        <v>41</v>
      </c>
      <c r="I15" s="207"/>
      <c r="J15" s="207"/>
      <c r="K15" s="218">
        <f>K13/'Section 1'!F25</f>
        <v>0.86816420989082854</v>
      </c>
      <c r="L15" s="218">
        <f>L13/'Section 1'!D30</f>
        <v>0.77049940617650692</v>
      </c>
      <c r="M15" s="207"/>
      <c r="N15" s="208"/>
      <c r="O15" s="181"/>
    </row>
    <row r="16" spans="1:15" ht="15.6">
      <c r="A16" s="181"/>
      <c r="B16" s="181"/>
      <c r="C16" s="181"/>
      <c r="D16" s="181"/>
      <c r="E16" s="207"/>
      <c r="F16" s="207"/>
      <c r="G16" s="207"/>
      <c r="H16" s="207"/>
      <c r="I16" s="207"/>
      <c r="J16" s="207"/>
      <c r="K16" s="207"/>
      <c r="L16" s="207"/>
      <c r="M16" s="208"/>
      <c r="N16" s="181"/>
      <c r="O16" s="181"/>
    </row>
    <row r="18" spans="2:9" ht="16.2" thickBot="1">
      <c r="B18" s="181" t="s">
        <v>289</v>
      </c>
    </row>
    <row r="19" spans="2:9" ht="93.75" customHeight="1">
      <c r="B19" s="223" t="s">
        <v>290</v>
      </c>
      <c r="C19" s="132" t="s">
        <v>291</v>
      </c>
      <c r="D19" s="132" t="s">
        <v>292</v>
      </c>
      <c r="E19" s="132" t="s">
        <v>293</v>
      </c>
      <c r="F19" s="223" t="s">
        <v>294</v>
      </c>
      <c r="G19" s="132" t="s">
        <v>295</v>
      </c>
      <c r="H19" s="223" t="s">
        <v>296</v>
      </c>
      <c r="I19" s="132" t="s">
        <v>297</v>
      </c>
    </row>
    <row r="20" spans="2:9" ht="16.2" thickBot="1">
      <c r="B20" s="225"/>
      <c r="C20" s="133" t="s">
        <v>298</v>
      </c>
      <c r="D20" s="133" t="s">
        <v>283</v>
      </c>
      <c r="E20" s="133" t="s">
        <v>298</v>
      </c>
      <c r="F20" s="225"/>
      <c r="G20" s="133" t="s">
        <v>299</v>
      </c>
      <c r="H20" s="225"/>
      <c r="I20" s="133" t="s">
        <v>300</v>
      </c>
    </row>
    <row r="21" spans="2:9" ht="16.2" thickBot="1">
      <c r="B21" s="134">
        <v>6806</v>
      </c>
      <c r="C21" s="135">
        <v>694</v>
      </c>
      <c r="D21" s="135">
        <v>17</v>
      </c>
      <c r="E21" s="135">
        <v>77</v>
      </c>
      <c r="F21" s="135">
        <v>771</v>
      </c>
      <c r="G21" s="135">
        <v>3</v>
      </c>
      <c r="H21" s="182">
        <v>675</v>
      </c>
      <c r="I21" s="135">
        <v>0.88</v>
      </c>
    </row>
    <row r="24" spans="2:9">
      <c r="B24" s="219" t="s">
        <v>301</v>
      </c>
    </row>
    <row r="25" spans="2:9" ht="93.75" customHeight="1">
      <c r="B25" s="228" t="s">
        <v>302</v>
      </c>
      <c r="C25" s="230" t="s">
        <v>303</v>
      </c>
      <c r="D25" s="230" t="s">
        <v>304</v>
      </c>
      <c r="E25" s="230" t="s">
        <v>305</v>
      </c>
      <c r="F25" s="230" t="s">
        <v>306</v>
      </c>
      <c r="G25" s="230" t="s">
        <v>307</v>
      </c>
      <c r="H25" s="186" t="s">
        <v>308</v>
      </c>
    </row>
    <row r="26" spans="2:9" ht="16.2" thickBot="1">
      <c r="B26" s="229"/>
      <c r="C26" s="225"/>
      <c r="D26" s="225"/>
      <c r="E26" s="225"/>
      <c r="F26" s="225"/>
      <c r="G26" s="225"/>
      <c r="H26" s="187" t="s">
        <v>309</v>
      </c>
    </row>
    <row r="27" spans="2:9" ht="15.6">
      <c r="B27" s="183" t="s">
        <v>310</v>
      </c>
      <c r="C27" s="184" t="s">
        <v>138</v>
      </c>
      <c r="D27" s="185">
        <v>9000</v>
      </c>
      <c r="E27" s="185">
        <v>9000</v>
      </c>
      <c r="F27" s="184" t="s">
        <v>138</v>
      </c>
      <c r="G27" s="185">
        <v>25000</v>
      </c>
      <c r="H27" s="188">
        <v>2.78</v>
      </c>
    </row>
    <row r="30" spans="2:9" ht="15" thickBot="1">
      <c r="B30" s="219" t="s">
        <v>311</v>
      </c>
    </row>
    <row r="31" spans="2:9" ht="15.6">
      <c r="B31" s="223" t="s">
        <v>302</v>
      </c>
      <c r="C31" s="132" t="s">
        <v>291</v>
      </c>
      <c r="D31" s="132" t="s">
        <v>312</v>
      </c>
      <c r="E31" s="132" t="s">
        <v>313</v>
      </c>
      <c r="F31" s="132" t="s">
        <v>314</v>
      </c>
      <c r="G31" s="132" t="s">
        <v>297</v>
      </c>
    </row>
    <row r="32" spans="2:9" ht="16.2" thickBot="1">
      <c r="B32" s="225"/>
      <c r="C32" s="133" t="s">
        <v>315</v>
      </c>
      <c r="D32" s="133" t="s">
        <v>315</v>
      </c>
      <c r="E32" s="133" t="s">
        <v>316</v>
      </c>
      <c r="F32" s="133" t="s">
        <v>317</v>
      </c>
      <c r="G32" s="133" t="s">
        <v>318</v>
      </c>
    </row>
    <row r="33" spans="2:9" ht="16.2" thickBot="1">
      <c r="B33" s="134">
        <v>24612</v>
      </c>
      <c r="C33" s="136">
        <v>2510</v>
      </c>
      <c r="D33" s="136">
        <v>2510</v>
      </c>
      <c r="E33" s="135">
        <v>9</v>
      </c>
      <c r="F33" s="136">
        <v>10600</v>
      </c>
      <c r="G33" s="135">
        <v>4.22</v>
      </c>
    </row>
    <row r="36" spans="2:9">
      <c r="B36" s="219" t="s">
        <v>319</v>
      </c>
    </row>
    <row r="37" spans="2:9">
      <c r="B37" s="226" t="s">
        <v>290</v>
      </c>
      <c r="C37" s="226" t="s">
        <v>320</v>
      </c>
      <c r="D37" s="226" t="s">
        <v>294</v>
      </c>
      <c r="E37" s="226" t="s">
        <v>321</v>
      </c>
      <c r="F37" s="226" t="s">
        <v>296</v>
      </c>
      <c r="G37" s="130" t="s">
        <v>322</v>
      </c>
    </row>
    <row r="38" spans="2:9" ht="15" thickBot="1">
      <c r="B38" s="227"/>
      <c r="C38" s="227"/>
      <c r="D38" s="227"/>
      <c r="E38" s="227"/>
      <c r="F38" s="227"/>
      <c r="G38" s="131" t="s">
        <v>300</v>
      </c>
    </row>
    <row r="39" spans="2:9" ht="16.2" thickBot="1">
      <c r="B39" s="138">
        <v>36365</v>
      </c>
      <c r="C39" s="190">
        <v>3709</v>
      </c>
      <c r="D39" s="139">
        <v>3709</v>
      </c>
      <c r="E39" s="140">
        <v>14</v>
      </c>
      <c r="F39" s="139">
        <v>16949</v>
      </c>
      <c r="G39" s="140">
        <v>4.57</v>
      </c>
    </row>
    <row r="41" spans="2:9">
      <c r="B41" s="219" t="s">
        <v>323</v>
      </c>
    </row>
    <row r="42" spans="2:9" ht="15" thickBot="1">
      <c r="B42" s="220"/>
      <c r="C42" s="220"/>
      <c r="D42" s="220"/>
      <c r="E42" s="220"/>
      <c r="F42" s="220"/>
      <c r="G42" s="220"/>
    </row>
    <row r="43" spans="2:9" ht="15.6">
      <c r="B43" s="152" t="s">
        <v>324</v>
      </c>
      <c r="C43" s="132" t="s">
        <v>325</v>
      </c>
      <c r="D43" s="223" t="s">
        <v>326</v>
      </c>
      <c r="E43" s="223" t="s">
        <v>320</v>
      </c>
      <c r="F43" s="223" t="s">
        <v>294</v>
      </c>
      <c r="G43" s="223" t="s">
        <v>327</v>
      </c>
      <c r="H43" s="223" t="s">
        <v>296</v>
      </c>
      <c r="I43" s="132" t="s">
        <v>297</v>
      </c>
    </row>
    <row r="44" spans="2:9" ht="16.2" thickBot="1">
      <c r="B44" s="153" t="s">
        <v>328</v>
      </c>
      <c r="C44" s="133" t="s">
        <v>298</v>
      </c>
      <c r="D44" s="225"/>
      <c r="E44" s="225"/>
      <c r="F44" s="225"/>
      <c r="G44" s="225"/>
      <c r="H44" s="225"/>
      <c r="I44" s="133" t="s">
        <v>300</v>
      </c>
    </row>
    <row r="45" spans="2:9" ht="16.2" thickBot="1">
      <c r="B45" s="134">
        <v>32484</v>
      </c>
      <c r="C45" s="136">
        <v>3313</v>
      </c>
      <c r="D45" s="136"/>
      <c r="E45" s="136"/>
      <c r="F45" s="136">
        <v>3313</v>
      </c>
      <c r="G45" s="135">
        <v>12</v>
      </c>
      <c r="H45" s="136">
        <v>3000</v>
      </c>
      <c r="I45" s="135">
        <v>0.91</v>
      </c>
    </row>
    <row r="48" spans="2:9">
      <c r="B48" s="219" t="s">
        <v>329</v>
      </c>
    </row>
    <row r="49" spans="2:10" ht="15" thickBot="1"/>
    <row r="50" spans="2:10">
      <c r="B50" s="226" t="s">
        <v>330</v>
      </c>
      <c r="C50" s="130" t="s">
        <v>291</v>
      </c>
      <c r="D50" s="130" t="s">
        <v>312</v>
      </c>
      <c r="E50" s="130" t="s">
        <v>313</v>
      </c>
      <c r="F50" s="130" t="s">
        <v>314</v>
      </c>
      <c r="G50" s="130" t="s">
        <v>297</v>
      </c>
    </row>
    <row r="51" spans="2:10" ht="15" thickBot="1">
      <c r="B51" s="227"/>
      <c r="C51" s="131" t="s">
        <v>331</v>
      </c>
      <c r="D51" s="131" t="s">
        <v>331</v>
      </c>
      <c r="E51" s="131" t="s">
        <v>332</v>
      </c>
      <c r="F51" s="131" t="s">
        <v>333</v>
      </c>
      <c r="G51" s="131" t="s">
        <v>334</v>
      </c>
    </row>
    <row r="52" spans="2:10" ht="15" thickBot="1">
      <c r="B52" s="192">
        <v>387960</v>
      </c>
      <c r="C52" s="193">
        <v>39572</v>
      </c>
      <c r="D52" s="193">
        <v>39572</v>
      </c>
      <c r="E52" s="194">
        <v>148</v>
      </c>
      <c r="F52" s="193">
        <v>160992</v>
      </c>
      <c r="G52" s="194">
        <v>4.07</v>
      </c>
    </row>
    <row r="55" spans="2:10">
      <c r="B55" s="219" t="s">
        <v>335</v>
      </c>
    </row>
    <row r="56" spans="2:10" ht="15" thickBot="1"/>
    <row r="57" spans="2:10">
      <c r="B57" s="226" t="s">
        <v>290</v>
      </c>
      <c r="C57" s="226" t="s">
        <v>320</v>
      </c>
      <c r="D57" s="226" t="s">
        <v>294</v>
      </c>
      <c r="E57" s="226" t="s">
        <v>336</v>
      </c>
      <c r="F57" s="226" t="s">
        <v>296</v>
      </c>
      <c r="G57" s="130" t="s">
        <v>297</v>
      </c>
    </row>
    <row r="58" spans="2:10" ht="15" thickBot="1">
      <c r="B58" s="227"/>
      <c r="C58" s="227"/>
      <c r="D58" s="227"/>
      <c r="E58" s="227"/>
      <c r="F58" s="227"/>
      <c r="G58" s="131" t="s">
        <v>337</v>
      </c>
    </row>
    <row r="59" spans="2:10" ht="15" thickBot="1">
      <c r="B59" s="192">
        <v>14586</v>
      </c>
      <c r="C59" s="193">
        <v>1488</v>
      </c>
      <c r="D59" s="193">
        <v>1488</v>
      </c>
      <c r="E59" s="194">
        <v>6</v>
      </c>
      <c r="F59" s="193">
        <v>5190</v>
      </c>
      <c r="G59" s="194">
        <v>3.49</v>
      </c>
    </row>
    <row r="63" spans="2:10" ht="15" thickBot="1">
      <c r="B63" s="219" t="s">
        <v>338</v>
      </c>
    </row>
    <row r="64" spans="2:10" ht="15.6">
      <c r="B64" s="223" t="s">
        <v>339</v>
      </c>
      <c r="C64" s="223" t="s">
        <v>340</v>
      </c>
      <c r="D64" s="132" t="s">
        <v>341</v>
      </c>
      <c r="E64" s="132" t="s">
        <v>342</v>
      </c>
      <c r="F64" s="132" t="s">
        <v>343</v>
      </c>
      <c r="G64" s="223" t="s">
        <v>305</v>
      </c>
      <c r="H64" s="223" t="s">
        <v>306</v>
      </c>
      <c r="I64" s="223" t="s">
        <v>307</v>
      </c>
      <c r="J64" s="132" t="s">
        <v>308</v>
      </c>
    </row>
    <row r="65" spans="2:10" ht="15.6">
      <c r="B65" s="224"/>
      <c r="C65" s="224"/>
      <c r="D65" s="196" t="s">
        <v>328</v>
      </c>
      <c r="E65" s="196" t="s">
        <v>46</v>
      </c>
      <c r="F65" s="196" t="s">
        <v>298</v>
      </c>
      <c r="G65" s="224"/>
      <c r="H65" s="224"/>
      <c r="I65" s="224"/>
      <c r="J65" s="196" t="s">
        <v>309</v>
      </c>
    </row>
    <row r="66" spans="2:10" ht="16.2" thickBot="1">
      <c r="B66" s="225"/>
      <c r="C66" s="225"/>
      <c r="D66" s="197"/>
      <c r="E66" s="133" t="s">
        <v>298</v>
      </c>
      <c r="F66" s="197"/>
      <c r="G66" s="225"/>
      <c r="H66" s="225"/>
      <c r="I66" s="225"/>
      <c r="J66" s="197"/>
    </row>
    <row r="67" spans="2:10" ht="16.2" thickBot="1">
      <c r="B67" s="182">
        <v>38</v>
      </c>
      <c r="C67" s="136">
        <v>1045</v>
      </c>
      <c r="D67" s="136">
        <v>-3744</v>
      </c>
      <c r="E67" s="136">
        <v>-382</v>
      </c>
      <c r="F67" s="136">
        <v>8000</v>
      </c>
      <c r="G67" s="136">
        <v>8663</v>
      </c>
      <c r="H67" s="135">
        <v>1</v>
      </c>
      <c r="I67" s="136">
        <v>48183</v>
      </c>
      <c r="J67" s="135">
        <v>5.55</v>
      </c>
    </row>
  </sheetData>
  <mergeCells count="31">
    <mergeCell ref="B37:B38"/>
    <mergeCell ref="C37:C38"/>
    <mergeCell ref="D37:D38"/>
    <mergeCell ref="E37:E38"/>
    <mergeCell ref="F37:F38"/>
    <mergeCell ref="F19:F20"/>
    <mergeCell ref="H19:H20"/>
    <mergeCell ref="B31:B32"/>
    <mergeCell ref="B19:B20"/>
    <mergeCell ref="B25:B26"/>
    <mergeCell ref="E25:E26"/>
    <mergeCell ref="D25:D26"/>
    <mergeCell ref="C25:C26"/>
    <mergeCell ref="F25:F26"/>
    <mergeCell ref="G25:G26"/>
    <mergeCell ref="D43:D44"/>
    <mergeCell ref="E43:E44"/>
    <mergeCell ref="F43:F44"/>
    <mergeCell ref="G43:G44"/>
    <mergeCell ref="H43:H44"/>
    <mergeCell ref="F57:F58"/>
    <mergeCell ref="B50:B51"/>
    <mergeCell ref="B57:B58"/>
    <mergeCell ref="C57:C58"/>
    <mergeCell ref="D57:D58"/>
    <mergeCell ref="E57:E58"/>
    <mergeCell ref="B64:B66"/>
    <mergeCell ref="C64:C66"/>
    <mergeCell ref="G64:G66"/>
    <mergeCell ref="H64:H66"/>
    <mergeCell ref="I64:I66"/>
  </mergeCells>
  <pageMargins left="0.7" right="0.7" top="0.75" bottom="0.75" header="0.3" footer="0.3"/>
  <pageSetup orientation="portrait" horizontalDpi="300" verticalDpi="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48E1D-2898-7940-A48E-4222F2536239}">
  <dimension ref="D2:T30"/>
  <sheetViews>
    <sheetView tabSelected="1" zoomScale="125" workbookViewId="0">
      <selection activeCell="I4" sqref="I4"/>
    </sheetView>
  </sheetViews>
  <sheetFormatPr defaultColWidth="9" defaultRowHeight="14.4"/>
  <cols>
    <col min="1" max="3" width="9" style="2"/>
    <col min="4" max="4" width="20.44140625" style="2" customWidth="1"/>
    <col min="5" max="5" width="21.33203125" style="2" customWidth="1"/>
    <col min="6" max="6" width="10.44140625" style="2" customWidth="1"/>
    <col min="7" max="7" width="14.6640625" style="2" bestFit="1" customWidth="1"/>
    <col min="8" max="8" width="16" style="2" customWidth="1"/>
    <col min="9" max="9" width="13.109375" style="2" customWidth="1"/>
    <col min="10" max="16384" width="9" style="2"/>
  </cols>
  <sheetData>
    <row r="2" spans="4:20" ht="16.2" thickBot="1">
      <c r="D2" s="142"/>
      <c r="E2" s="142"/>
      <c r="F2" s="142"/>
      <c r="G2" s="142"/>
      <c r="H2" s="142"/>
      <c r="I2" s="142"/>
      <c r="J2" s="150"/>
      <c r="K2" s="142"/>
      <c r="L2" s="142"/>
      <c r="M2" s="142"/>
      <c r="N2" s="142"/>
      <c r="O2" s="142"/>
      <c r="P2" s="142"/>
      <c r="Q2" s="142"/>
      <c r="R2" s="142"/>
      <c r="S2" s="142"/>
      <c r="T2" s="142"/>
    </row>
    <row r="3" spans="4:20" ht="16.2" thickBot="1">
      <c r="D3" s="142"/>
      <c r="E3" s="144" t="s">
        <v>344</v>
      </c>
      <c r="F3" s="143" t="s">
        <v>345</v>
      </c>
      <c r="G3" s="143" t="s">
        <v>346</v>
      </c>
      <c r="H3" s="143" t="s">
        <v>347</v>
      </c>
      <c r="I3" s="143" t="s">
        <v>348</v>
      </c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</row>
    <row r="4" spans="4:20" ht="16.2" thickBot="1">
      <c r="D4" s="142"/>
      <c r="E4" s="126" t="s">
        <v>349</v>
      </c>
      <c r="F4" s="127">
        <v>180</v>
      </c>
      <c r="G4" s="127">
        <v>4</v>
      </c>
      <c r="H4" s="149">
        <f>180*4</f>
        <v>720</v>
      </c>
      <c r="I4" s="141">
        <f>H4/H8</f>
        <v>0.50174216027874563</v>
      </c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</row>
    <row r="5" spans="4:20" ht="16.2" thickBot="1">
      <c r="D5" s="142"/>
      <c r="E5" s="126" t="s">
        <v>350</v>
      </c>
      <c r="F5" s="127">
        <v>60</v>
      </c>
      <c r="G5" s="127">
        <v>3</v>
      </c>
      <c r="H5" s="149">
        <f>60*3</f>
        <v>180</v>
      </c>
      <c r="I5" s="141">
        <f>H5/H8</f>
        <v>0.12543554006968641</v>
      </c>
      <c r="J5" s="142"/>
      <c r="K5" s="142"/>
      <c r="L5" s="142"/>
      <c r="M5" s="142"/>
      <c r="N5" s="142"/>
      <c r="O5" s="142"/>
      <c r="P5" s="142"/>
      <c r="Q5" s="142"/>
      <c r="R5" s="142"/>
      <c r="S5" s="142"/>
      <c r="T5" s="142"/>
    </row>
    <row r="6" spans="4:20" ht="16.2" thickBot="1">
      <c r="D6" s="142"/>
      <c r="E6" s="128" t="s">
        <v>351</v>
      </c>
      <c r="F6" s="149">
        <v>50</v>
      </c>
      <c r="G6" s="127">
        <v>8</v>
      </c>
      <c r="H6" s="149">
        <f>50*8</f>
        <v>400</v>
      </c>
      <c r="I6" s="141">
        <f>H6/H8</f>
        <v>0.27874564459930312</v>
      </c>
      <c r="J6" s="142"/>
      <c r="K6" s="142"/>
      <c r="L6" s="142"/>
      <c r="M6" s="142"/>
      <c r="N6" s="142"/>
      <c r="O6" s="142"/>
      <c r="P6" s="142"/>
      <c r="Q6" s="142"/>
      <c r="R6" s="142"/>
      <c r="S6" s="142"/>
      <c r="T6" s="142"/>
    </row>
    <row r="7" spans="4:20" ht="16.2" thickBot="1">
      <c r="D7" s="142"/>
      <c r="E7" s="128" t="s">
        <v>352</v>
      </c>
      <c r="F7" s="127">
        <v>45</v>
      </c>
      <c r="G7" s="127">
        <v>3</v>
      </c>
      <c r="H7" s="149">
        <f>45*3</f>
        <v>135</v>
      </c>
      <c r="I7" s="141">
        <f>H7/H8</f>
        <v>9.4076655052264813E-2</v>
      </c>
      <c r="J7" s="142"/>
      <c r="K7" s="142"/>
      <c r="L7" s="142"/>
      <c r="M7" s="142"/>
      <c r="N7" s="142"/>
      <c r="O7" s="142"/>
      <c r="P7" s="142"/>
      <c r="Q7" s="142"/>
      <c r="R7" s="142"/>
      <c r="S7" s="142"/>
      <c r="T7" s="142"/>
    </row>
    <row r="8" spans="4:20">
      <c r="D8" s="142"/>
      <c r="E8" s="148" t="s">
        <v>68</v>
      </c>
      <c r="F8" s="142">
        <f>SUM(F4:F7)</f>
        <v>335</v>
      </c>
      <c r="G8" s="142">
        <f>SUM(G4:G7)</f>
        <v>18</v>
      </c>
      <c r="H8" s="147">
        <f>SUM(H4:H7)</f>
        <v>1435</v>
      </c>
      <c r="I8" s="151">
        <f>SUM(I4:I7)</f>
        <v>0.99999999999999989</v>
      </c>
      <c r="J8" s="142"/>
      <c r="K8" s="142"/>
      <c r="L8" s="142"/>
      <c r="M8" s="142"/>
      <c r="N8" s="142"/>
      <c r="O8" s="142"/>
      <c r="P8" s="142"/>
      <c r="Q8" s="142"/>
      <c r="R8" s="142"/>
      <c r="S8" s="142"/>
      <c r="T8" s="142"/>
    </row>
    <row r="9" spans="4:20">
      <c r="D9" s="142"/>
      <c r="E9" s="142"/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</row>
    <row r="10" spans="4:20">
      <c r="D10" s="142"/>
      <c r="E10" s="142"/>
      <c r="F10" s="142"/>
      <c r="G10" s="142"/>
      <c r="H10" s="142"/>
      <c r="I10" s="146"/>
      <c r="J10" s="142"/>
      <c r="K10" s="142"/>
      <c r="L10" s="142"/>
      <c r="M10" s="142"/>
      <c r="N10" s="142"/>
      <c r="O10" s="142"/>
      <c r="P10" s="142"/>
      <c r="Q10" s="142"/>
      <c r="R10" s="142"/>
      <c r="S10" s="142"/>
      <c r="T10" s="142"/>
    </row>
    <row r="11" spans="4:20" ht="15.6">
      <c r="D11" s="145"/>
      <c r="I11" s="142"/>
      <c r="J11" s="142"/>
      <c r="K11" s="142"/>
      <c r="L11" s="142"/>
      <c r="M11" s="142"/>
      <c r="N11" s="142"/>
      <c r="O11" s="142"/>
      <c r="P11" s="142"/>
      <c r="Q11" s="142"/>
      <c r="R11" s="142"/>
      <c r="S11" s="142"/>
      <c r="T11" s="142"/>
    </row>
    <row r="12" spans="4:20" ht="16.2" thickBot="1">
      <c r="D12" s="145"/>
      <c r="E12" s="42"/>
      <c r="F12" s="42"/>
      <c r="G12" s="42"/>
      <c r="H12" s="42"/>
      <c r="I12" s="42"/>
      <c r="J12" s="42"/>
      <c r="K12" s="42"/>
    </row>
    <row r="13" spans="4:20" ht="15.6">
      <c r="D13" s="42"/>
      <c r="E13" s="198" t="s">
        <v>344</v>
      </c>
      <c r="F13" s="199" t="s">
        <v>345</v>
      </c>
      <c r="G13" s="199" t="s">
        <v>346</v>
      </c>
      <c r="H13" s="199" t="s">
        <v>347</v>
      </c>
      <c r="I13" s="199" t="s">
        <v>348</v>
      </c>
      <c r="J13" s="42"/>
      <c r="K13" s="42"/>
    </row>
    <row r="14" spans="4:20">
      <c r="D14" s="42"/>
      <c r="E14" s="231" t="s">
        <v>349</v>
      </c>
      <c r="F14" s="202">
        <v>125</v>
      </c>
      <c r="G14" s="202">
        <v>1</v>
      </c>
      <c r="H14" s="202">
        <f>F14*G14</f>
        <v>125</v>
      </c>
      <c r="I14" s="234">
        <f>SUM(H14:H17)/H28</f>
        <v>0.3</v>
      </c>
      <c r="J14" s="42"/>
      <c r="K14" s="42"/>
    </row>
    <row r="15" spans="4:20">
      <c r="D15" s="42"/>
      <c r="E15" s="232"/>
      <c r="F15" s="202">
        <v>55</v>
      </c>
      <c r="G15" s="202">
        <v>1</v>
      </c>
      <c r="H15" s="202">
        <f t="shared" ref="H15:H27" si="0">F15*G15</f>
        <v>55</v>
      </c>
      <c r="I15" s="234"/>
      <c r="J15" s="42"/>
      <c r="K15" s="42"/>
    </row>
    <row r="16" spans="4:20">
      <c r="D16" s="42"/>
      <c r="E16" s="232"/>
      <c r="F16" s="202">
        <v>53</v>
      </c>
      <c r="G16" s="202">
        <v>1</v>
      </c>
      <c r="H16" s="202">
        <f t="shared" si="0"/>
        <v>53</v>
      </c>
      <c r="I16" s="234"/>
      <c r="J16" s="42"/>
      <c r="K16" s="42"/>
    </row>
    <row r="17" spans="4:11">
      <c r="D17" s="42"/>
      <c r="E17" s="233"/>
      <c r="F17" s="202">
        <v>49</v>
      </c>
      <c r="G17" s="202">
        <v>1</v>
      </c>
      <c r="H17" s="202">
        <f t="shared" si="0"/>
        <v>49</v>
      </c>
      <c r="I17" s="234"/>
      <c r="J17" s="42"/>
      <c r="K17" s="42"/>
    </row>
    <row r="18" spans="4:11">
      <c r="D18" s="42"/>
      <c r="E18" s="231" t="s">
        <v>353</v>
      </c>
      <c r="F18" s="202">
        <v>45</v>
      </c>
      <c r="G18" s="202">
        <v>1</v>
      </c>
      <c r="H18" s="202">
        <f t="shared" si="0"/>
        <v>45</v>
      </c>
      <c r="I18" s="234">
        <f>SUM(H18:H19)/H28</f>
        <v>8.5106382978723402E-2</v>
      </c>
      <c r="J18" s="42"/>
      <c r="K18" s="42"/>
    </row>
    <row r="19" spans="4:11">
      <c r="D19" s="42"/>
      <c r="E19" s="233"/>
      <c r="F19" s="202">
        <v>35</v>
      </c>
      <c r="G19" s="202">
        <v>1</v>
      </c>
      <c r="H19" s="202">
        <f t="shared" si="0"/>
        <v>35</v>
      </c>
      <c r="I19" s="234"/>
      <c r="J19" s="42"/>
      <c r="K19" s="42"/>
    </row>
    <row r="20" spans="4:11">
      <c r="D20" s="42"/>
      <c r="E20" s="201" t="s">
        <v>354</v>
      </c>
      <c r="F20" s="202">
        <v>32</v>
      </c>
      <c r="G20" s="202">
        <v>1</v>
      </c>
      <c r="H20" s="202">
        <f t="shared" si="0"/>
        <v>32</v>
      </c>
      <c r="I20" s="222">
        <f>H20/H28</f>
        <v>3.4042553191489362E-2</v>
      </c>
      <c r="J20" s="42"/>
      <c r="K20" s="42"/>
    </row>
    <row r="21" spans="4:11">
      <c r="D21" s="42"/>
      <c r="E21" s="231" t="s">
        <v>355</v>
      </c>
      <c r="F21" s="202">
        <v>27</v>
      </c>
      <c r="G21" s="202">
        <v>1</v>
      </c>
      <c r="H21" s="202">
        <f t="shared" si="0"/>
        <v>27</v>
      </c>
      <c r="I21" s="234">
        <f>SUM(H21:H23)/H28</f>
        <v>7.7659574468085107E-2</v>
      </c>
      <c r="J21" s="42"/>
      <c r="K21" s="42"/>
    </row>
    <row r="22" spans="4:11">
      <c r="D22" s="42"/>
      <c r="E22" s="232"/>
      <c r="F22" s="202">
        <v>24</v>
      </c>
      <c r="G22" s="202">
        <v>1</v>
      </c>
      <c r="H22" s="202">
        <f t="shared" si="0"/>
        <v>24</v>
      </c>
      <c r="I22" s="234"/>
      <c r="J22" s="42"/>
      <c r="K22" s="42"/>
    </row>
    <row r="23" spans="4:11">
      <c r="D23" s="42"/>
      <c r="E23" s="233"/>
      <c r="F23" s="202">
        <v>22</v>
      </c>
      <c r="G23" s="202">
        <v>1</v>
      </c>
      <c r="H23" s="202">
        <f t="shared" si="0"/>
        <v>22</v>
      </c>
      <c r="I23" s="234"/>
      <c r="J23" s="42"/>
      <c r="K23" s="42"/>
    </row>
    <row r="24" spans="4:11">
      <c r="D24" s="42"/>
      <c r="E24" s="231" t="s">
        <v>356</v>
      </c>
      <c r="F24" s="202">
        <v>23</v>
      </c>
      <c r="G24" s="202">
        <v>1</v>
      </c>
      <c r="H24" s="202">
        <f t="shared" si="0"/>
        <v>23</v>
      </c>
      <c r="I24" s="234">
        <f>SUM(H24:H25)/H28</f>
        <v>3.9361702127659576E-2</v>
      </c>
      <c r="J24" s="42"/>
      <c r="K24" s="42"/>
    </row>
    <row r="25" spans="4:11">
      <c r="D25" s="42"/>
      <c r="E25" s="233"/>
      <c r="F25" s="202">
        <v>14</v>
      </c>
      <c r="G25" s="202">
        <v>1</v>
      </c>
      <c r="H25" s="202">
        <f t="shared" si="0"/>
        <v>14</v>
      </c>
      <c r="I25" s="234"/>
      <c r="J25" s="42"/>
      <c r="K25" s="42"/>
    </row>
    <row r="26" spans="4:11">
      <c r="D26" s="42"/>
      <c r="E26" s="203" t="s">
        <v>357</v>
      </c>
      <c r="F26" s="202">
        <v>30</v>
      </c>
      <c r="G26" s="202">
        <v>2</v>
      </c>
      <c r="H26" s="202">
        <f t="shared" si="0"/>
        <v>60</v>
      </c>
      <c r="I26" s="221">
        <f>H26/H28</f>
        <v>6.3829787234042548E-2</v>
      </c>
      <c r="J26" s="42"/>
      <c r="K26" s="42"/>
    </row>
    <row r="27" spans="4:11">
      <c r="D27" s="42"/>
      <c r="E27" s="201" t="s">
        <v>358</v>
      </c>
      <c r="F27" s="202">
        <v>47</v>
      </c>
      <c r="G27" s="202">
        <v>8</v>
      </c>
      <c r="H27" s="202">
        <f t="shared" si="0"/>
        <v>376</v>
      </c>
      <c r="I27" s="222">
        <f>H27/H28</f>
        <v>0.4</v>
      </c>
      <c r="J27" s="42"/>
      <c r="K27" s="42"/>
    </row>
    <row r="28" spans="4:11">
      <c r="D28" s="42"/>
      <c r="E28" s="201" t="s">
        <v>68</v>
      </c>
      <c r="F28" s="202">
        <f>SUM(F14:F27)</f>
        <v>581</v>
      </c>
      <c r="G28" s="202">
        <f>SUM(G14:G27)</f>
        <v>22</v>
      </c>
      <c r="H28" s="202">
        <f>SUM(H14:H27)</f>
        <v>940</v>
      </c>
      <c r="I28" s="200">
        <f>SUM(I14:I27)</f>
        <v>1</v>
      </c>
      <c r="J28" s="42"/>
      <c r="K28" s="42"/>
    </row>
    <row r="29" spans="4:11">
      <c r="D29" s="42"/>
      <c r="E29" s="42"/>
      <c r="F29" s="42"/>
      <c r="G29" s="42"/>
      <c r="H29" s="42"/>
      <c r="I29" s="42"/>
      <c r="J29" s="42"/>
      <c r="K29" s="42"/>
    </row>
    <row r="30" spans="4:11">
      <c r="D30" s="42"/>
      <c r="E30" s="42"/>
      <c r="F30" s="42"/>
      <c r="G30" s="42"/>
      <c r="H30" s="42"/>
      <c r="I30" s="42"/>
      <c r="J30" s="42"/>
      <c r="K30" s="42"/>
    </row>
  </sheetData>
  <mergeCells count="8">
    <mergeCell ref="E14:E17"/>
    <mergeCell ref="E18:E19"/>
    <mergeCell ref="E21:E23"/>
    <mergeCell ref="E24:E25"/>
    <mergeCell ref="I14:I17"/>
    <mergeCell ref="I18:I19"/>
    <mergeCell ref="I21:I23"/>
    <mergeCell ref="I24:I25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7941F-D956-49D6-A78F-BC89FBFA8A9E}">
  <dimension ref="C3:G9"/>
  <sheetViews>
    <sheetView topLeftCell="B1" zoomScale="115" zoomScaleNormal="115" workbookViewId="0">
      <selection activeCell="F13" sqref="F13"/>
    </sheetView>
  </sheetViews>
  <sheetFormatPr defaultColWidth="9.109375" defaultRowHeight="14.4"/>
  <cols>
    <col min="1" max="1" width="9.109375" style="2"/>
    <col min="2" max="2" width="20.109375" style="2" customWidth="1"/>
    <col min="3" max="3" width="26" style="2" customWidth="1"/>
    <col min="4" max="16384" width="9.109375" style="2"/>
  </cols>
  <sheetData>
    <row r="3" spans="3:7">
      <c r="C3" s="2" t="s">
        <v>359</v>
      </c>
      <c r="D3" s="2">
        <v>200</v>
      </c>
      <c r="E3" s="2">
        <v>1</v>
      </c>
      <c r="F3" s="2">
        <f>D3*E3</f>
        <v>200</v>
      </c>
      <c r="G3" s="125">
        <f t="shared" ref="G3:G8" si="0">F3/$F$9</f>
        <v>0.1360544217687075</v>
      </c>
    </row>
    <row r="4" spans="3:7" ht="16.2" thickBot="1">
      <c r="C4" s="126" t="s">
        <v>360</v>
      </c>
      <c r="D4" s="127">
        <v>200</v>
      </c>
      <c r="E4" s="127">
        <v>1</v>
      </c>
      <c r="F4" s="2">
        <f>D4*E4</f>
        <v>200</v>
      </c>
      <c r="G4" s="125">
        <f t="shared" si="0"/>
        <v>0.1360544217687075</v>
      </c>
    </row>
    <row r="5" spans="3:7" ht="16.2" thickBot="1">
      <c r="C5" s="128" t="s">
        <v>361</v>
      </c>
      <c r="D5" s="127">
        <v>75</v>
      </c>
      <c r="E5" s="127">
        <v>4</v>
      </c>
      <c r="F5" s="2">
        <f t="shared" ref="F5:F8" si="1">D5*E5</f>
        <v>300</v>
      </c>
      <c r="G5" s="125">
        <f t="shared" si="0"/>
        <v>0.20408163265306123</v>
      </c>
    </row>
    <row r="6" spans="3:7" ht="16.2" thickBot="1">
      <c r="C6" s="126" t="s">
        <v>362</v>
      </c>
      <c r="D6" s="127">
        <v>80</v>
      </c>
      <c r="E6" s="127">
        <v>4</v>
      </c>
      <c r="F6" s="2">
        <f t="shared" si="1"/>
        <v>320</v>
      </c>
      <c r="G6" s="125">
        <f t="shared" si="0"/>
        <v>0.21768707482993196</v>
      </c>
    </row>
    <row r="7" spans="3:7" ht="16.2" thickBot="1">
      <c r="C7" s="126" t="s">
        <v>357</v>
      </c>
      <c r="D7" s="127">
        <v>125</v>
      </c>
      <c r="E7" s="127">
        <v>2</v>
      </c>
      <c r="F7" s="2">
        <f t="shared" si="1"/>
        <v>250</v>
      </c>
      <c r="G7" s="137">
        <f t="shared" si="0"/>
        <v>0.17006802721088435</v>
      </c>
    </row>
    <row r="8" spans="3:7" ht="16.2" thickBot="1">
      <c r="C8" s="128" t="s">
        <v>363</v>
      </c>
      <c r="D8" s="127">
        <v>50</v>
      </c>
      <c r="E8" s="127">
        <v>4</v>
      </c>
      <c r="F8" s="2">
        <f t="shared" si="1"/>
        <v>200</v>
      </c>
      <c r="G8" s="125">
        <f t="shared" si="0"/>
        <v>0.1360544217687075</v>
      </c>
    </row>
    <row r="9" spans="3:7">
      <c r="D9" s="2">
        <f>SUM(D3:D8)</f>
        <v>730</v>
      </c>
      <c r="E9" s="2">
        <f>SUM(E3:E8)</f>
        <v>16</v>
      </c>
      <c r="F9" s="2">
        <f>SUM(F4:F8)+F3</f>
        <v>1470</v>
      </c>
      <c r="G9" s="129">
        <f>SUM(G3:G8)</f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Electricity Main</vt:lpstr>
      <vt:lpstr>Section 1</vt:lpstr>
      <vt:lpstr>AR summary</vt:lpstr>
      <vt:lpstr>Section 2 (2)</vt:lpstr>
      <vt:lpstr>Energy Consumption</vt:lpstr>
      <vt:lpstr>'AR summary'!_Hlk187572351</vt:lpstr>
      <vt:lpstr>'Section 2 (2)'!_Ref105621187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Accounts Payable ( Catherine Vincent )</dc:creator>
  <cp:keywords/>
  <dc:description/>
  <cp:lastModifiedBy>Mona Mansouri</cp:lastModifiedBy>
  <cp:revision/>
  <dcterms:created xsi:type="dcterms:W3CDTF">2024-04-22T14:42:36Z</dcterms:created>
  <dcterms:modified xsi:type="dcterms:W3CDTF">2025-04-30T20:30:51Z</dcterms:modified>
  <cp:category/>
  <cp:contentStatus/>
</cp:coreProperties>
</file>