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0c0b1602c7b85a2/Desktop/"/>
    </mc:Choice>
  </mc:AlternateContent>
  <xr:revisionPtr revIDLastSave="5" documentId="11_1C28E1B2C51BC81DE0DFED754585776399C6D762" xr6:coauthVersionLast="46" xr6:coauthVersionMax="46" xr10:uidLastSave="{BE39D4EE-7228-487D-B29C-A171B5C2C1FD}"/>
  <bookViews>
    <workbookView xWindow="-108" yWindow="348" windowWidth="23256" windowHeight="12720" tabRatio="704" xr2:uid="{00000000-000D-0000-FFFF-FFFF00000000}"/>
  </bookViews>
  <sheets>
    <sheet name="محاسبه روز (2)" sheetId="7" r:id="rId1"/>
    <sheet name="محاسبه روز" sheetId="1" r:id="rId2"/>
    <sheet name="محاسبه وزن" sheetId="2" r:id="rId3"/>
    <sheet name="قیمتی خریداری شده" sheetId="3" state="hidden" r:id="rId4"/>
    <sheet name="قیمتی خرید شود" sheetId="4" r:id="rId5"/>
    <sheet name="قیمتی خرید شود (2)" sheetId="6" state="hidden" r:id="rId6"/>
    <sheet name="مواد جهت خرید ماهانه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7" l="1"/>
  <c r="T7" i="7"/>
  <c r="T6" i="7"/>
  <c r="Q7" i="7" l="1"/>
  <c r="R7" i="7"/>
  <c r="R6" i="7"/>
  <c r="R3" i="7"/>
  <c r="R8" i="7" s="1"/>
  <c r="Q3" i="7"/>
  <c r="Q8" i="7" s="1"/>
  <c r="Q6" i="7" l="1"/>
  <c r="G17" i="7"/>
  <c r="F17" i="7"/>
  <c r="E17" i="7"/>
  <c r="D17" i="7"/>
  <c r="C17" i="7"/>
  <c r="T11" i="7"/>
  <c r="T10" i="7"/>
  <c r="T9" i="7"/>
  <c r="P3" i="7"/>
  <c r="O3" i="7"/>
  <c r="O20" i="7" s="1"/>
  <c r="N3" i="7"/>
  <c r="N8" i="7" s="1"/>
  <c r="M3" i="7"/>
  <c r="M7" i="7" s="1"/>
  <c r="L3" i="7"/>
  <c r="L20" i="7" s="1"/>
  <c r="I3" i="7"/>
  <c r="I11" i="7" s="1"/>
  <c r="H3" i="7"/>
  <c r="H10" i="7" s="1"/>
  <c r="G3" i="7"/>
  <c r="G9" i="7" s="1"/>
  <c r="F3" i="7"/>
  <c r="F11" i="7" s="1"/>
  <c r="E3" i="7"/>
  <c r="E11" i="7" s="1"/>
  <c r="D3" i="7"/>
  <c r="D20" i="7" s="1"/>
  <c r="C3" i="7"/>
  <c r="C11" i="7" s="1"/>
  <c r="P20" i="7" l="1"/>
  <c r="P8" i="7"/>
  <c r="P7" i="7"/>
  <c r="E13" i="7"/>
  <c r="I10" i="7"/>
  <c r="E14" i="7"/>
  <c r="O8" i="7"/>
  <c r="J17" i="7"/>
  <c r="S17" i="7" s="1"/>
  <c r="U17" i="7" s="1"/>
  <c r="N7" i="7"/>
  <c r="N5" i="7"/>
  <c r="E10" i="7"/>
  <c r="E12" i="7"/>
  <c r="E20" i="7"/>
  <c r="G11" i="7"/>
  <c r="M14" i="7"/>
  <c r="M20" i="7"/>
  <c r="D4" i="7"/>
  <c r="S4" i="7"/>
  <c r="O5" i="7"/>
  <c r="N6" i="7"/>
  <c r="O7" i="7"/>
  <c r="L8" i="7"/>
  <c r="D9" i="7"/>
  <c r="H9" i="7"/>
  <c r="F10" i="7"/>
  <c r="D11" i="7"/>
  <c r="H11" i="7"/>
  <c r="F12" i="7"/>
  <c r="N12" i="7"/>
  <c r="F13" i="7"/>
  <c r="N13" i="7"/>
  <c r="F14" i="7"/>
  <c r="N14" i="7"/>
  <c r="F20" i="7"/>
  <c r="N20" i="7"/>
  <c r="C4" i="7"/>
  <c r="G4" i="7"/>
  <c r="M6" i="7"/>
  <c r="M12" i="7"/>
  <c r="E4" i="7"/>
  <c r="L5" i="7"/>
  <c r="S5" i="7"/>
  <c r="O6" i="7"/>
  <c r="L7" i="7"/>
  <c r="M8" i="7"/>
  <c r="E9" i="7"/>
  <c r="I9" i="7"/>
  <c r="C10" i="7"/>
  <c r="G10" i="7"/>
  <c r="C12" i="7"/>
  <c r="G12" i="7"/>
  <c r="O12" i="7"/>
  <c r="C13" i="7"/>
  <c r="G13" i="7"/>
  <c r="O13" i="7"/>
  <c r="C14" i="7"/>
  <c r="G14" i="7"/>
  <c r="O14" i="7"/>
  <c r="C20" i="7"/>
  <c r="G20" i="7"/>
  <c r="C9" i="7"/>
  <c r="M13" i="7"/>
  <c r="F4" i="7"/>
  <c r="M5" i="7"/>
  <c r="L6" i="7"/>
  <c r="P6" i="7"/>
  <c r="F9" i="7"/>
  <c r="D10" i="7"/>
  <c r="D12" i="7"/>
  <c r="L12" i="7"/>
  <c r="P12" i="7"/>
  <c r="D13" i="7"/>
  <c r="L13" i="7"/>
  <c r="P13" i="7"/>
  <c r="D14" i="7"/>
  <c r="L14" i="7"/>
  <c r="P14" i="7"/>
  <c r="R17" i="1"/>
  <c r="R18" i="1"/>
  <c r="R19" i="1"/>
  <c r="S8" i="7" l="1"/>
  <c r="U8" i="7" s="1"/>
  <c r="S10" i="7"/>
  <c r="U10" i="7" s="1"/>
  <c r="S7" i="7"/>
  <c r="U7" i="7" s="1"/>
  <c r="S12" i="7"/>
  <c r="U12" i="7" s="1"/>
  <c r="S6" i="7"/>
  <c r="U6" i="7" s="1"/>
  <c r="S9" i="7"/>
  <c r="U9" i="7" s="1"/>
  <c r="S13" i="7"/>
  <c r="U13" i="7" s="1"/>
  <c r="S11" i="7"/>
  <c r="U11" i="7" s="1"/>
  <c r="S14" i="7"/>
  <c r="U14" i="7" s="1"/>
  <c r="I3" i="1"/>
  <c r="I19" i="1" s="1"/>
  <c r="H3" i="1"/>
  <c r="H19" i="1" s="1"/>
  <c r="I17" i="1" l="1"/>
  <c r="H17" i="1"/>
  <c r="I18" i="1"/>
  <c r="H18" i="1"/>
  <c r="G25" i="1"/>
  <c r="P8" i="1"/>
  <c r="P3" i="1"/>
  <c r="P28" i="1" s="1"/>
  <c r="G8" i="1"/>
  <c r="G3" i="1"/>
  <c r="G12" i="1" s="1"/>
  <c r="D25" i="1"/>
  <c r="E25" i="1"/>
  <c r="F25" i="1"/>
  <c r="C25" i="1"/>
  <c r="J25" i="1" l="1"/>
  <c r="P20" i="1"/>
  <c r="P15" i="1"/>
  <c r="G19" i="1"/>
  <c r="P21" i="1"/>
  <c r="P22" i="1"/>
  <c r="G21" i="1"/>
  <c r="G22" i="1"/>
  <c r="G20" i="1"/>
  <c r="P16" i="1"/>
  <c r="G17" i="1"/>
  <c r="G28" i="1"/>
  <c r="P14" i="1"/>
  <c r="G18" i="1"/>
  <c r="Q25" i="1"/>
  <c r="O8" i="1" l="1"/>
  <c r="N8" i="1"/>
  <c r="E8" i="1"/>
  <c r="F8" i="1"/>
  <c r="O3" i="1"/>
  <c r="N3" i="1"/>
  <c r="N16" i="1" s="1"/>
  <c r="F3" i="1"/>
  <c r="E3" i="1"/>
  <c r="E17" i="1" s="1"/>
  <c r="D3" i="1"/>
  <c r="D12" i="1" s="1"/>
  <c r="C3" i="1"/>
  <c r="C12" i="1" s="1"/>
  <c r="C8" i="1"/>
  <c r="D8" i="1"/>
  <c r="L8" i="1"/>
  <c r="M8" i="1"/>
  <c r="O14" i="1" l="1"/>
  <c r="Q10" i="1"/>
  <c r="F18" i="1"/>
  <c r="F17" i="1"/>
  <c r="Q12" i="1"/>
  <c r="Q8" i="1"/>
  <c r="E20" i="1"/>
  <c r="E22" i="1"/>
  <c r="E28" i="1"/>
  <c r="N20" i="1"/>
  <c r="O13" i="1"/>
  <c r="F21" i="1"/>
  <c r="O21" i="1"/>
  <c r="O22" i="1"/>
  <c r="O28" i="1"/>
  <c r="N15" i="1"/>
  <c r="E21" i="1"/>
  <c r="N21" i="1"/>
  <c r="N22" i="1"/>
  <c r="N28" i="1"/>
  <c r="O16" i="1"/>
  <c r="F20" i="1"/>
  <c r="O20" i="1"/>
  <c r="F22" i="1"/>
  <c r="F28" i="1"/>
  <c r="F19" i="1"/>
  <c r="F12" i="1"/>
  <c r="N14" i="1"/>
  <c r="O15" i="1"/>
  <c r="E19" i="1"/>
  <c r="E12" i="1"/>
  <c r="N13" i="1"/>
  <c r="E18" i="1"/>
  <c r="M3" i="1" l="1"/>
  <c r="L3" i="1"/>
  <c r="L13" i="1" s="1"/>
  <c r="Q13" i="1" l="1"/>
  <c r="M13" i="1"/>
  <c r="H17" i="2"/>
  <c r="H16" i="2"/>
  <c r="H15" i="2"/>
  <c r="H10" i="2"/>
  <c r="H8" i="2"/>
  <c r="E3" i="2"/>
  <c r="C3" i="2"/>
  <c r="G23" i="6" l="1"/>
  <c r="H23" i="6" s="1"/>
  <c r="F22" i="6"/>
  <c r="G22" i="6" s="1"/>
  <c r="G21" i="6"/>
  <c r="F20" i="6"/>
  <c r="G20" i="6" s="1"/>
  <c r="H20" i="6" s="1"/>
  <c r="G19" i="6"/>
  <c r="F19" i="6"/>
  <c r="F18" i="6"/>
  <c r="G18" i="6" s="1"/>
  <c r="H17" i="6" s="1"/>
  <c r="F17" i="6"/>
  <c r="G17" i="6" s="1"/>
  <c r="F16" i="6"/>
  <c r="G16" i="6" s="1"/>
  <c r="F15" i="6"/>
  <c r="G15" i="6" s="1"/>
  <c r="H15" i="6" s="1"/>
  <c r="G14" i="6"/>
  <c r="F14" i="6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G4" i="6"/>
  <c r="H4" i="6" s="1"/>
  <c r="F3" i="6"/>
  <c r="G3" i="6" s="1"/>
  <c r="F2" i="6"/>
  <c r="G2" i="6" s="1"/>
  <c r="H2" i="6" s="1"/>
  <c r="E8" i="2"/>
  <c r="I10" i="2" s="1"/>
  <c r="C8" i="2"/>
  <c r="I8" i="2" s="1"/>
  <c r="H12" i="6" l="1"/>
  <c r="H5" i="6"/>
  <c r="H9" i="6"/>
  <c r="H24" i="6"/>
  <c r="C15" i="2"/>
  <c r="I15" i="2" s="1"/>
  <c r="C16" i="2"/>
  <c r="I16" i="2" s="1"/>
  <c r="G19" i="4"/>
  <c r="F20" i="4"/>
  <c r="G20" i="4"/>
  <c r="H20" i="4" s="1"/>
  <c r="G21" i="4"/>
  <c r="F22" i="4"/>
  <c r="G22" i="4" s="1"/>
  <c r="F15" i="4"/>
  <c r="G15" i="4" s="1"/>
  <c r="F16" i="4"/>
  <c r="G16" i="4" s="1"/>
  <c r="F12" i="4"/>
  <c r="G12" i="4"/>
  <c r="H12" i="4" s="1"/>
  <c r="F13" i="4"/>
  <c r="G13" i="4"/>
  <c r="F14" i="4"/>
  <c r="G14" i="4"/>
  <c r="F9" i="4"/>
  <c r="G9" i="4" s="1"/>
  <c r="F10" i="4"/>
  <c r="G10" i="4" s="1"/>
  <c r="F11" i="4"/>
  <c r="G11" i="4" s="1"/>
  <c r="F5" i="4"/>
  <c r="G5" i="4" s="1"/>
  <c r="F6" i="4"/>
  <c r="G6" i="4" s="1"/>
  <c r="F7" i="4"/>
  <c r="G7" i="4" s="1"/>
  <c r="F8" i="4"/>
  <c r="G8" i="4" s="1"/>
  <c r="F2" i="4"/>
  <c r="G2" i="4" s="1"/>
  <c r="F3" i="4"/>
  <c r="G3" i="4" s="1"/>
  <c r="G4" i="4"/>
  <c r="H4" i="4" s="1"/>
  <c r="G23" i="4"/>
  <c r="H23" i="4" s="1"/>
  <c r="F19" i="4"/>
  <c r="F18" i="4"/>
  <c r="G18" i="4" s="1"/>
  <c r="H17" i="4" s="1"/>
  <c r="F17" i="4"/>
  <c r="G17" i="4"/>
  <c r="G4" i="3"/>
  <c r="H4" i="3" s="1"/>
  <c r="F20" i="3"/>
  <c r="G20" i="3" s="1"/>
  <c r="G21" i="3"/>
  <c r="F22" i="3"/>
  <c r="G22" i="3" s="1"/>
  <c r="F15" i="3"/>
  <c r="G15" i="3"/>
  <c r="H15" i="3" s="1"/>
  <c r="F16" i="3"/>
  <c r="G16" i="3" s="1"/>
  <c r="G12" i="3"/>
  <c r="G10" i="3"/>
  <c r="G7" i="3"/>
  <c r="G23" i="3"/>
  <c r="F17" i="3"/>
  <c r="G17" i="3" s="1"/>
  <c r="F18" i="3"/>
  <c r="G18" i="3"/>
  <c r="F19" i="3"/>
  <c r="G19" i="3" s="1"/>
  <c r="G9" i="3"/>
  <c r="F14" i="3"/>
  <c r="G14" i="3" s="1"/>
  <c r="F13" i="3"/>
  <c r="G13" i="3" s="1"/>
  <c r="H12" i="3" s="1"/>
  <c r="F12" i="3"/>
  <c r="F9" i="3"/>
  <c r="F10" i="3"/>
  <c r="F11" i="3"/>
  <c r="G11" i="3" s="1"/>
  <c r="F3" i="3"/>
  <c r="G3" i="3" s="1"/>
  <c r="F5" i="3"/>
  <c r="G5" i="3" s="1"/>
  <c r="F6" i="3"/>
  <c r="G6" i="3" s="1"/>
  <c r="F7" i="3"/>
  <c r="F8" i="3"/>
  <c r="G8" i="3" s="1"/>
  <c r="F2" i="3"/>
  <c r="G2" i="3" s="1"/>
  <c r="H2" i="3" s="1"/>
  <c r="E26" i="2"/>
  <c r="F26" i="2" s="1"/>
  <c r="C26" i="2"/>
  <c r="H26" i="2"/>
  <c r="E23" i="2"/>
  <c r="C23" i="2"/>
  <c r="F23" i="2" s="1"/>
  <c r="I23" i="2" s="1"/>
  <c r="E20" i="2"/>
  <c r="C20" i="2"/>
  <c r="E19" i="2"/>
  <c r="C19" i="2"/>
  <c r="F19" i="2" s="1"/>
  <c r="I19" i="2" s="1"/>
  <c r="E18" i="2"/>
  <c r="C18" i="2"/>
  <c r="C17" i="2"/>
  <c r="I17" i="2" s="1"/>
  <c r="E14" i="2"/>
  <c r="I14" i="2" s="1"/>
  <c r="E13" i="2"/>
  <c r="I13" i="2" s="1"/>
  <c r="E12" i="2"/>
  <c r="I12" i="2" s="1"/>
  <c r="C19" i="1"/>
  <c r="D19" i="1"/>
  <c r="C18" i="1"/>
  <c r="D18" i="1"/>
  <c r="D17" i="1"/>
  <c r="C17" i="1"/>
  <c r="Q17" i="1" s="1"/>
  <c r="M16" i="1"/>
  <c r="L16" i="1"/>
  <c r="M15" i="1"/>
  <c r="L15" i="1"/>
  <c r="M14" i="1"/>
  <c r="L14" i="1"/>
  <c r="L21" i="1"/>
  <c r="M21" i="1"/>
  <c r="C21" i="1"/>
  <c r="D21" i="1"/>
  <c r="L20" i="1"/>
  <c r="M20" i="1"/>
  <c r="C20" i="1"/>
  <c r="D20" i="1"/>
  <c r="M22" i="1"/>
  <c r="L22" i="1"/>
  <c r="D22" i="1"/>
  <c r="C22" i="1"/>
  <c r="L28" i="1"/>
  <c r="M28" i="1"/>
  <c r="C28" i="1"/>
  <c r="D28" i="1"/>
  <c r="H15" i="4" l="1"/>
  <c r="H2" i="4"/>
  <c r="H20" i="3"/>
  <c r="H5" i="3"/>
  <c r="H9" i="3"/>
  <c r="Q18" i="1"/>
  <c r="Q19" i="1"/>
  <c r="S19" i="1" s="1"/>
  <c r="Q22" i="1"/>
  <c r="S22" i="1" s="1"/>
  <c r="Q21" i="1"/>
  <c r="Q20" i="1"/>
  <c r="S20" i="1" s="1"/>
  <c r="Q14" i="1"/>
  <c r="S14" i="1" s="1"/>
  <c r="Q16" i="1"/>
  <c r="S16" i="1" s="1"/>
  <c r="Q15" i="1"/>
  <c r="S15" i="1" s="1"/>
  <c r="S17" i="1"/>
  <c r="S18" i="1"/>
  <c r="S25" i="1"/>
  <c r="S21" i="1"/>
  <c r="H9" i="4"/>
  <c r="I26" i="2"/>
  <c r="F18" i="2"/>
  <c r="I18" i="2" s="1"/>
  <c r="F20" i="2"/>
  <c r="I20" i="2" s="1"/>
  <c r="H5" i="4"/>
  <c r="H24" i="3" l="1"/>
  <c r="H24" i="4"/>
</calcChain>
</file>

<file path=xl/sharedStrings.xml><?xml version="1.0" encoding="utf-8"?>
<sst xmlns="http://schemas.openxmlformats.org/spreadsheetml/2006/main" count="251" uniqueCount="54">
  <si>
    <t>کالا</t>
  </si>
  <si>
    <t>ضریب 73</t>
  </si>
  <si>
    <t>بهمن</t>
  </si>
  <si>
    <t>اسفند</t>
  </si>
  <si>
    <t>مقدار مواد
 مورد نیاز</t>
  </si>
  <si>
    <t>ضریب 99</t>
  </si>
  <si>
    <t>مقدار مواد 
مورد نیاز</t>
  </si>
  <si>
    <t>مقدار کسری</t>
  </si>
  <si>
    <t xml:space="preserve">کارتن </t>
  </si>
  <si>
    <t xml:space="preserve">نایلون </t>
  </si>
  <si>
    <t>لاک سفید متلک</t>
  </si>
  <si>
    <t>لاک بی رنگ متلک</t>
  </si>
  <si>
    <t>ورنی طلایی متلک</t>
  </si>
  <si>
    <t>آب بندی</t>
  </si>
  <si>
    <t>رقیق کننده</t>
  </si>
  <si>
    <t>گالوانیزه</t>
  </si>
  <si>
    <t>روز در ماه</t>
  </si>
  <si>
    <t xml:space="preserve">جزء1  </t>
  </si>
  <si>
    <t xml:space="preserve">جزء2 </t>
  </si>
  <si>
    <t>ماندانا شیمی</t>
  </si>
  <si>
    <t>سپند رنگ</t>
  </si>
  <si>
    <t>لاک طلایی مشهد</t>
  </si>
  <si>
    <t>فی خرید</t>
  </si>
  <si>
    <t>قیمت کلی</t>
  </si>
  <si>
    <t>چین</t>
  </si>
  <si>
    <t>موجود ندارد</t>
  </si>
  <si>
    <t>سایز</t>
  </si>
  <si>
    <t>مقدار موجودی
 انبار</t>
  </si>
  <si>
    <t>شرکت جهت خرید</t>
  </si>
  <si>
    <t>درب</t>
  </si>
  <si>
    <t>آلومینیوم</t>
  </si>
  <si>
    <t>لاک طلایی</t>
  </si>
  <si>
    <t>ورنی طلایی</t>
  </si>
  <si>
    <t>متلک</t>
  </si>
  <si>
    <t>خرید</t>
  </si>
  <si>
    <t>فی رسمی</t>
  </si>
  <si>
    <t xml:space="preserve">گوگردچیان </t>
  </si>
  <si>
    <t xml:space="preserve">زرین نایلون </t>
  </si>
  <si>
    <t xml:space="preserve">آئین تجارت </t>
  </si>
  <si>
    <t>جمع کلی</t>
  </si>
  <si>
    <t>تسمه</t>
  </si>
  <si>
    <t>آقازاده</t>
  </si>
  <si>
    <t xml:space="preserve">وزن </t>
  </si>
  <si>
    <t>وزن</t>
  </si>
  <si>
    <t>دی</t>
  </si>
  <si>
    <t xml:space="preserve"> </t>
  </si>
  <si>
    <t>فروردین</t>
  </si>
  <si>
    <t>اردیبهشت</t>
  </si>
  <si>
    <t>ورق 0.19</t>
  </si>
  <si>
    <t>ورق 0.21</t>
  </si>
  <si>
    <t>خرداد</t>
  </si>
  <si>
    <t>موجودی
 انبار</t>
  </si>
  <si>
    <t>تیر</t>
  </si>
  <si>
    <t>مرداد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</si>
</sst>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_-[$ريال-429]"/>
    <numFmt numFmtId="166" formatCode="#,##0.000000"/>
    <numFmt numFmtId="167" formatCode="#,##0.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 Massir Ballpoint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 Massir Ballpoint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 Massir Ballpoint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0" fillId="0" borderId="0" xfId="0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3" fontId="0" fillId="3" borderId="13" xfId="0" applyNumberFormat="1" applyFill="1" applyBorder="1" applyAlignment="1">
      <alignment horizontal="center" vertical="center"/>
    </xf>
    <xf numFmtId="4" fontId="0" fillId="2" borderId="7" xfId="0" applyNumberFormat="1" applyFill="1" applyBorder="1" applyAlignment="1">
      <alignment horizontal="center" vertical="center"/>
    </xf>
    <xf numFmtId="4" fontId="0" fillId="2" borderId="23" xfId="0" applyNumberFormat="1" applyFill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3" fontId="0" fillId="5" borderId="1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5" fontId="1" fillId="5" borderId="7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64" fontId="1" fillId="5" borderId="23" xfId="0" applyNumberFormat="1" applyFont="1" applyFill="1" applyBorder="1" applyAlignment="1">
      <alignment horizontal="center" vertical="center"/>
    </xf>
    <xf numFmtId="165" fontId="1" fillId="5" borderId="23" xfId="0" applyNumberFormat="1" applyFont="1" applyFill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4" fontId="0" fillId="3" borderId="7" xfId="0" applyNumberFormat="1" applyFill="1" applyBorder="1" applyAlignment="1">
      <alignment horizontal="center" vertical="center"/>
    </xf>
    <xf numFmtId="4" fontId="0" fillId="5" borderId="7" xfId="0" applyNumberFormat="1" applyFill="1" applyBorder="1" applyAlignment="1">
      <alignment horizontal="center" vertical="center"/>
    </xf>
    <xf numFmtId="4" fontId="0" fillId="3" borderId="23" xfId="0" applyNumberFormat="1" applyFill="1" applyBorder="1" applyAlignment="1">
      <alignment horizontal="center" vertical="center"/>
    </xf>
    <xf numFmtId="4" fontId="0" fillId="5" borderId="2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5" fontId="1" fillId="5" borderId="3" xfId="0" applyNumberFormat="1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3" fontId="0" fillId="5" borderId="3" xfId="0" applyNumberForma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3" fontId="0" fillId="2" borderId="23" xfId="0" applyNumberFormat="1" applyFill="1" applyBorder="1" applyAlignment="1">
      <alignment horizontal="center" vertical="center"/>
    </xf>
    <xf numFmtId="3" fontId="0" fillId="3" borderId="23" xfId="0" applyNumberFormat="1" applyFill="1" applyBorder="1" applyAlignment="1">
      <alignment horizontal="center" vertical="center"/>
    </xf>
    <xf numFmtId="3" fontId="0" fillId="5" borderId="23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164" fontId="1" fillId="5" borderId="7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23" xfId="0" applyNumberFormat="1" applyFon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23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164" fontId="1" fillId="5" borderId="19" xfId="0" applyNumberFormat="1" applyFont="1" applyFill="1" applyBorder="1" applyAlignment="1">
      <alignment horizontal="center" vertical="center"/>
    </xf>
    <xf numFmtId="165" fontId="1" fillId="5" borderId="19" xfId="0" applyNumberFormat="1" applyFont="1" applyFill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167" fontId="0" fillId="3" borderId="3" xfId="0" applyNumberFormat="1" applyFill="1" applyBorder="1" applyAlignment="1">
      <alignment horizontal="center" vertical="center"/>
    </xf>
    <xf numFmtId="167" fontId="0" fillId="2" borderId="2" xfId="0" applyNumberFormat="1" applyFill="1" applyBorder="1" applyAlignment="1">
      <alignment horizontal="center" vertical="center"/>
    </xf>
    <xf numFmtId="3" fontId="1" fillId="4" borderId="2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23" xfId="0" applyNumberFormat="1" applyFon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23" xfId="0" applyNumberForma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164" fontId="1" fillId="5" borderId="1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2" borderId="13" xfId="0" applyNumberForma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164" fontId="4" fillId="5" borderId="16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4" fontId="5" fillId="2" borderId="7" xfId="0" applyNumberFormat="1" applyFont="1" applyFill="1" applyBorder="1" applyAlignment="1">
      <alignment horizontal="center" vertical="center"/>
    </xf>
    <xf numFmtId="4" fontId="5" fillId="3" borderId="7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4" fontId="5" fillId="2" borderId="23" xfId="0" applyNumberFormat="1" applyFont="1" applyFill="1" applyBorder="1" applyAlignment="1">
      <alignment horizontal="center" vertical="center"/>
    </xf>
    <xf numFmtId="4" fontId="5" fillId="5" borderId="23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2" borderId="13" xfId="0" applyNumberFormat="1" applyFont="1" applyFill="1" applyBorder="1" applyAlignment="1">
      <alignment horizontal="center" vertical="center"/>
    </xf>
    <xf numFmtId="164" fontId="5" fillId="2" borderId="23" xfId="0" applyNumberFormat="1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2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64" fontId="5" fillId="3" borderId="13" xfId="0" applyNumberFormat="1" applyFont="1" applyFill="1" applyBorder="1" applyAlignment="1">
      <alignment horizontal="center" vertical="center"/>
    </xf>
    <xf numFmtId="164" fontId="5" fillId="3" borderId="23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2" borderId="13" xfId="0" applyNumberFormat="1" applyFont="1" applyFill="1" applyBorder="1" applyAlignment="1">
      <alignment horizontal="center" vertical="center"/>
    </xf>
    <xf numFmtId="164" fontId="5" fillId="2" borderId="23" xfId="0" applyNumberFormat="1" applyFont="1" applyFill="1" applyBorder="1" applyAlignment="1">
      <alignment horizontal="center" vertical="center"/>
    </xf>
    <xf numFmtId="164" fontId="5" fillId="3" borderId="17" xfId="0" applyNumberFormat="1" applyFont="1" applyFill="1" applyBorder="1" applyAlignment="1">
      <alignment horizontal="center" vertical="center"/>
    </xf>
    <xf numFmtId="164" fontId="5" fillId="3" borderId="19" xfId="0" applyNumberFormat="1" applyFont="1" applyFill="1" applyBorder="1" applyAlignment="1">
      <alignment horizontal="center" vertical="center"/>
    </xf>
    <xf numFmtId="164" fontId="5" fillId="3" borderId="22" xfId="0" applyNumberFormat="1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23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5" borderId="16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center" vertical="center"/>
    </xf>
    <xf numFmtId="3" fontId="9" fillId="2" borderId="2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5" borderId="3" xfId="0" applyNumberFormat="1" applyFont="1" applyFill="1" applyBorder="1" applyAlignment="1">
      <alignment horizontal="center" vertical="center"/>
    </xf>
    <xf numFmtId="164" fontId="8" fillId="5" borderId="4" xfId="0" applyNumberFormat="1" applyFont="1" applyFill="1" applyBorder="1" applyAlignment="1">
      <alignment horizontal="center" vertical="center"/>
    </xf>
    <xf numFmtId="3" fontId="9" fillId="2" borderId="17" xfId="0" applyNumberFormat="1" applyFont="1" applyFill="1" applyBorder="1" applyAlignment="1">
      <alignment horizontal="center" vertical="center"/>
    </xf>
    <xf numFmtId="3" fontId="9" fillId="2" borderId="19" xfId="0" applyNumberFormat="1" applyFont="1" applyFill="1" applyBorder="1" applyAlignment="1">
      <alignment horizontal="center" vertical="center"/>
    </xf>
    <xf numFmtId="3" fontId="9" fillId="2" borderId="22" xfId="0" applyNumberFormat="1" applyFont="1" applyFill="1" applyBorder="1" applyAlignment="1">
      <alignment horizontal="center" vertical="center"/>
    </xf>
    <xf numFmtId="164" fontId="9" fillId="2" borderId="7" xfId="0" applyNumberFormat="1" applyFont="1" applyFill="1" applyBorder="1" applyAlignment="1">
      <alignment horizontal="center" vertical="center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23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9" fillId="2" borderId="3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64" fontId="9" fillId="3" borderId="3" xfId="0" applyNumberFormat="1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164" fontId="9" fillId="2" borderId="22" xfId="0" applyNumberFormat="1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164" fontId="9" fillId="3" borderId="22" xfId="0" applyNumberFormat="1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164" fontId="8" fillId="5" borderId="24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3" fontId="9" fillId="2" borderId="7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" fontId="9" fillId="3" borderId="7" xfId="0" applyNumberFormat="1" applyFont="1" applyFill="1" applyBorder="1" applyAlignment="1">
      <alignment horizontal="center" vertical="center"/>
    </xf>
    <xf numFmtId="3" fontId="9" fillId="5" borderId="7" xfId="0" applyNumberFormat="1" applyFont="1" applyFill="1" applyBorder="1" applyAlignment="1">
      <alignment horizontal="center" vertical="center"/>
    </xf>
    <xf numFmtId="164" fontId="8" fillId="5" borderId="8" xfId="0" applyNumberFormat="1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3" fontId="9" fillId="2" borderId="13" xfId="0" applyNumberFormat="1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3" fontId="9" fillId="3" borderId="13" xfId="0" applyNumberFormat="1" applyFont="1" applyFill="1" applyBorder="1" applyAlignment="1">
      <alignment horizontal="center" vertical="center"/>
    </xf>
    <xf numFmtId="3" fontId="9" fillId="5" borderId="13" xfId="0" applyNumberFormat="1" applyFont="1" applyFill="1" applyBorder="1" applyAlignment="1">
      <alignment horizontal="center" vertical="center"/>
    </xf>
    <xf numFmtId="164" fontId="8" fillId="5" borderId="12" xfId="0" applyNumberFormat="1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3" fontId="9" fillId="2" borderId="23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3" fontId="9" fillId="3" borderId="23" xfId="0" applyNumberFormat="1" applyFont="1" applyFill="1" applyBorder="1" applyAlignment="1">
      <alignment horizontal="center" vertical="center"/>
    </xf>
    <xf numFmtId="3" fontId="9" fillId="5" borderId="23" xfId="0" applyNumberFormat="1" applyFont="1" applyFill="1" applyBorder="1" applyAlignment="1">
      <alignment horizontal="center" vertical="center"/>
    </xf>
    <xf numFmtId="164" fontId="8" fillId="5" borderId="16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64" fontId="5" fillId="3" borderId="13" xfId="0" applyNumberFormat="1" applyFont="1" applyFill="1" applyBorder="1" applyAlignment="1">
      <alignment horizontal="center" vertical="center"/>
    </xf>
    <xf numFmtId="164" fontId="5" fillId="3" borderId="23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23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2" borderId="13" xfId="0" applyNumberFormat="1" applyFont="1" applyFill="1" applyBorder="1" applyAlignment="1">
      <alignment horizontal="center" vertical="center"/>
    </xf>
    <xf numFmtId="164" fontId="5" fillId="2" borderId="23" xfId="0" applyNumberFormat="1" applyFon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164" fontId="5" fillId="5" borderId="13" xfId="0" applyNumberFormat="1" applyFont="1" applyFill="1" applyBorder="1" applyAlignment="1">
      <alignment horizontal="center" vertical="center"/>
    </xf>
    <xf numFmtId="164" fontId="5" fillId="5" borderId="23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5" borderId="12" xfId="0" applyNumberFormat="1" applyFont="1" applyFill="1" applyBorder="1" applyAlignment="1">
      <alignment horizontal="center" vertical="center"/>
    </xf>
    <xf numFmtId="164" fontId="4" fillId="5" borderId="16" xfId="0" applyNumberFormat="1" applyFont="1" applyFill="1" applyBorder="1" applyAlignment="1">
      <alignment horizontal="center" vertical="center"/>
    </xf>
    <xf numFmtId="166" fontId="5" fillId="3" borderId="7" xfId="0" applyNumberFormat="1" applyFont="1" applyFill="1" applyBorder="1" applyAlignment="1">
      <alignment horizontal="center" vertical="center"/>
    </xf>
    <xf numFmtId="166" fontId="5" fillId="3" borderId="13" xfId="0" applyNumberFormat="1" applyFont="1" applyFill="1" applyBorder="1" applyAlignment="1">
      <alignment horizontal="center" vertical="center"/>
    </xf>
    <xf numFmtId="166" fontId="5" fillId="3" borderId="23" xfId="0" applyNumberFormat="1" applyFont="1" applyFill="1" applyBorder="1" applyAlignment="1">
      <alignment horizontal="center" vertical="center"/>
    </xf>
    <xf numFmtId="164" fontId="5" fillId="3" borderId="17" xfId="0" applyNumberFormat="1" applyFont="1" applyFill="1" applyBorder="1" applyAlignment="1">
      <alignment horizontal="center" vertical="center"/>
    </xf>
    <xf numFmtId="164" fontId="5" fillId="3" borderId="19" xfId="0" applyNumberFormat="1" applyFont="1" applyFill="1" applyBorder="1" applyAlignment="1">
      <alignment horizontal="center" vertical="center"/>
    </xf>
    <xf numFmtId="164" fontId="5" fillId="3" borderId="22" xfId="0" applyNumberFormat="1" applyFont="1" applyFill="1" applyBorder="1" applyAlignment="1">
      <alignment horizontal="center" vertical="center"/>
    </xf>
    <xf numFmtId="164" fontId="9" fillId="2" borderId="7" xfId="0" applyNumberFormat="1" applyFont="1" applyFill="1" applyBorder="1" applyAlignment="1">
      <alignment horizontal="center" vertical="center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23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164" fontId="9" fillId="3" borderId="7" xfId="0" applyNumberFormat="1" applyFont="1" applyFill="1" applyBorder="1" applyAlignment="1">
      <alignment horizontal="center" vertical="center"/>
    </xf>
    <xf numFmtId="164" fontId="9" fillId="3" borderId="13" xfId="0" applyNumberFormat="1" applyFont="1" applyFill="1" applyBorder="1" applyAlignment="1">
      <alignment horizontal="center" vertical="center"/>
    </xf>
    <xf numFmtId="164" fontId="9" fillId="3" borderId="23" xfId="0" applyNumberFormat="1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3" fontId="9" fillId="2" borderId="7" xfId="0" applyNumberFormat="1" applyFont="1" applyFill="1" applyBorder="1" applyAlignment="1">
      <alignment horizontal="center" vertical="center"/>
    </xf>
    <xf numFmtId="3" fontId="9" fillId="2" borderId="13" xfId="0" applyNumberFormat="1" applyFont="1" applyFill="1" applyBorder="1" applyAlignment="1">
      <alignment horizontal="center" vertical="center"/>
    </xf>
    <xf numFmtId="3" fontId="9" fillId="2" borderId="23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3" fontId="9" fillId="2" borderId="17" xfId="0" applyNumberFormat="1" applyFont="1" applyFill="1" applyBorder="1" applyAlignment="1">
      <alignment horizontal="center" vertical="center"/>
    </xf>
    <xf numFmtId="3" fontId="9" fillId="2" borderId="19" xfId="0" applyNumberFormat="1" applyFont="1" applyFill="1" applyBorder="1" applyAlignment="1">
      <alignment horizontal="center" vertical="center"/>
    </xf>
    <xf numFmtId="3" fontId="9" fillId="2" borderId="22" xfId="0" applyNumberFormat="1" applyFont="1" applyFill="1" applyBorder="1" applyAlignment="1">
      <alignment horizontal="center" vertical="center"/>
    </xf>
    <xf numFmtId="3" fontId="9" fillId="3" borderId="7" xfId="0" applyNumberFormat="1" applyFont="1" applyFill="1" applyBorder="1" applyAlignment="1">
      <alignment horizontal="center" vertical="center"/>
    </xf>
    <xf numFmtId="3" fontId="9" fillId="3" borderId="13" xfId="0" applyNumberFormat="1" applyFont="1" applyFill="1" applyBorder="1" applyAlignment="1">
      <alignment horizontal="center" vertical="center"/>
    </xf>
    <xf numFmtId="3" fontId="9" fillId="3" borderId="23" xfId="0" applyNumberFormat="1" applyFont="1" applyFill="1" applyBorder="1" applyAlignment="1">
      <alignment horizontal="center" vertical="center"/>
    </xf>
    <xf numFmtId="3" fontId="9" fillId="3" borderId="17" xfId="0" applyNumberFormat="1" applyFont="1" applyFill="1" applyBorder="1" applyAlignment="1">
      <alignment horizontal="center" vertical="center"/>
    </xf>
    <xf numFmtId="3" fontId="9" fillId="3" borderId="19" xfId="0" applyNumberFormat="1" applyFont="1" applyFill="1" applyBorder="1" applyAlignment="1">
      <alignment horizontal="center" vertical="center"/>
    </xf>
    <xf numFmtId="3" fontId="9" fillId="3" borderId="22" xfId="0" applyNumberFormat="1" applyFont="1" applyFill="1" applyBorder="1" applyAlignment="1">
      <alignment horizontal="center" vertical="center"/>
    </xf>
    <xf numFmtId="164" fontId="8" fillId="5" borderId="8" xfId="0" applyNumberFormat="1" applyFont="1" applyFill="1" applyBorder="1" applyAlignment="1">
      <alignment horizontal="center" vertical="center"/>
    </xf>
    <xf numFmtId="164" fontId="8" fillId="5" borderId="12" xfId="0" applyNumberFormat="1" applyFont="1" applyFill="1" applyBorder="1" applyAlignment="1">
      <alignment horizontal="center" vertical="center"/>
    </xf>
    <xf numFmtId="164" fontId="8" fillId="5" borderId="16" xfId="0" applyNumberFormat="1" applyFont="1" applyFill="1" applyBorder="1" applyAlignment="1">
      <alignment horizontal="center" vertical="center"/>
    </xf>
    <xf numFmtId="3" fontId="9" fillId="5" borderId="7" xfId="0" applyNumberFormat="1" applyFont="1" applyFill="1" applyBorder="1" applyAlignment="1">
      <alignment horizontal="center" vertical="center"/>
    </xf>
    <xf numFmtId="3" fontId="9" fillId="5" borderId="13" xfId="0" applyNumberFormat="1" applyFont="1" applyFill="1" applyBorder="1" applyAlignment="1">
      <alignment horizontal="center" vertical="center"/>
    </xf>
    <xf numFmtId="3" fontId="9" fillId="5" borderId="23" xfId="0" applyNumberFormat="1" applyFont="1" applyFill="1" applyBorder="1" applyAlignment="1">
      <alignment horizontal="center" vertical="center"/>
    </xf>
    <xf numFmtId="164" fontId="8" fillId="5" borderId="18" xfId="0" applyNumberFormat="1" applyFont="1" applyFill="1" applyBorder="1" applyAlignment="1">
      <alignment horizontal="center" vertical="center"/>
    </xf>
    <xf numFmtId="164" fontId="8" fillId="5" borderId="37" xfId="0" applyNumberFormat="1" applyFont="1" applyFill="1" applyBorder="1" applyAlignment="1">
      <alignment horizontal="center" vertical="center"/>
    </xf>
    <xf numFmtId="164" fontId="8" fillId="5" borderId="38" xfId="0" applyNumberFormat="1" applyFont="1" applyFill="1" applyBorder="1" applyAlignment="1">
      <alignment horizontal="center" vertical="center"/>
    </xf>
    <xf numFmtId="164" fontId="8" fillId="5" borderId="24" xfId="0" applyNumberFormat="1" applyFont="1" applyFill="1" applyBorder="1" applyAlignment="1">
      <alignment horizontal="center" vertical="center"/>
    </xf>
    <xf numFmtId="164" fontId="9" fillId="3" borderId="17" xfId="0" applyNumberFormat="1" applyFont="1" applyFill="1" applyBorder="1" applyAlignment="1">
      <alignment horizontal="center" vertical="center"/>
    </xf>
    <xf numFmtId="164" fontId="9" fillId="3" borderId="9" xfId="0" applyNumberFormat="1" applyFont="1" applyFill="1" applyBorder="1" applyAlignment="1">
      <alignment horizontal="center" vertical="center"/>
    </xf>
    <xf numFmtId="164" fontId="9" fillId="3" borderId="20" xfId="0" applyNumberFormat="1" applyFont="1" applyFill="1" applyBorder="1" applyAlignment="1">
      <alignment horizontal="center" vertical="center"/>
    </xf>
    <xf numFmtId="164" fontId="9" fillId="3" borderId="22" xfId="0" applyNumberFormat="1" applyFon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13" xfId="0" applyNumberFormat="1" applyFill="1" applyBorder="1" applyAlignment="1">
      <alignment horizontal="center" vertical="center"/>
    </xf>
    <xf numFmtId="164" fontId="0" fillId="5" borderId="23" xfId="0" applyNumberForma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23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6" fontId="0" fillId="3" borderId="13" xfId="0" applyNumberFormat="1" applyFill="1" applyBorder="1" applyAlignment="1">
      <alignment horizontal="center" vertical="center"/>
    </xf>
    <xf numFmtId="166" fontId="0" fillId="3" borderId="23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4" fontId="0" fillId="3" borderId="7" xfId="0" applyNumberFormat="1" applyFill="1" applyBorder="1" applyAlignment="1">
      <alignment horizontal="center" vertical="center"/>
    </xf>
    <xf numFmtId="4" fontId="0" fillId="3" borderId="23" xfId="0" applyNumberForma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2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3" fontId="0" fillId="5" borderId="17" xfId="0" applyNumberForma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164" fontId="1" fillId="5" borderId="17" xfId="0" applyNumberFormat="1" applyFont="1" applyFill="1" applyBorder="1" applyAlignment="1">
      <alignment horizontal="center" vertical="center"/>
    </xf>
    <xf numFmtId="164" fontId="1" fillId="5" borderId="9" xfId="0" applyNumberFormat="1" applyFont="1" applyFill="1" applyBorder="1" applyAlignment="1">
      <alignment horizontal="center" vertical="center"/>
    </xf>
    <xf numFmtId="3" fontId="0" fillId="5" borderId="20" xfId="0" applyNumberFormat="1" applyFill="1" applyBorder="1" applyAlignment="1">
      <alignment horizontal="center" vertical="center"/>
    </xf>
    <xf numFmtId="3" fontId="0" fillId="5" borderId="22" xfId="0" applyNumberFormat="1" applyFill="1" applyBorder="1" applyAlignment="1">
      <alignment horizontal="center" vertical="center"/>
    </xf>
    <xf numFmtId="164" fontId="1" fillId="5" borderId="20" xfId="0" applyNumberFormat="1" applyFont="1" applyFill="1" applyBorder="1" applyAlignment="1">
      <alignment horizontal="center" vertical="center"/>
    </xf>
    <xf numFmtId="164" fontId="1" fillId="5" borderId="22" xfId="0" applyNumberFormat="1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3" fontId="0" fillId="5" borderId="7" xfId="0" applyNumberFormat="1" applyFill="1" applyBorder="1" applyAlignment="1">
      <alignment horizontal="center" vertical="center"/>
    </xf>
    <xf numFmtId="3" fontId="0" fillId="5" borderId="13" xfId="0" applyNumberForma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0" fillId="3" borderId="13" xfId="0" applyNumberFormat="1" applyFill="1" applyBorder="1" applyAlignment="1">
      <alignment horizontal="center" vertical="center"/>
    </xf>
    <xf numFmtId="3" fontId="0" fillId="3" borderId="23" xfId="0" applyNumberFormat="1" applyFill="1" applyBorder="1" applyAlignment="1">
      <alignment horizontal="center" vertical="center"/>
    </xf>
    <xf numFmtId="3" fontId="0" fillId="5" borderId="23" xfId="0" applyNumberForma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164" fontId="1" fillId="5" borderId="1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0"/>
  <sheetViews>
    <sheetView rightToLeft="1" tabSelected="1" zoomScale="70" zoomScaleNormal="70" workbookViewId="0">
      <pane ySplit="3" topLeftCell="A4" activePane="bottomLeft" state="frozen"/>
      <selection pane="bottomLeft" activeCell="H10" sqref="H10"/>
    </sheetView>
  </sheetViews>
  <sheetFormatPr defaultColWidth="6.109375" defaultRowHeight="14.4"/>
  <cols>
    <col min="1" max="1" width="16.88671875" style="162" customWidth="1"/>
    <col min="2" max="3" width="15.88671875" style="162" customWidth="1"/>
    <col min="4" max="4" width="18.5546875" style="162" customWidth="1"/>
    <col min="5" max="5" width="15.88671875" style="162" customWidth="1"/>
    <col min="6" max="6" width="19.33203125" style="162" customWidth="1"/>
    <col min="7" max="7" width="20" style="162" customWidth="1"/>
    <col min="8" max="8" width="18.109375" style="162" customWidth="1"/>
    <col min="9" max="9" width="18.5546875" style="162" customWidth="1"/>
    <col min="10" max="12" width="15.88671875" style="162" customWidth="1"/>
    <col min="13" max="13" width="18.33203125" style="162" bestFit="1" customWidth="1"/>
    <col min="14" max="14" width="15.88671875" style="162" customWidth="1"/>
    <col min="15" max="16" width="18.33203125" style="162" bestFit="1" customWidth="1"/>
    <col min="17" max="18" width="20.109375" style="162" bestFit="1" customWidth="1"/>
    <col min="19" max="19" width="19.109375" style="162" customWidth="1"/>
    <col min="20" max="21" width="15.88671875" style="162" customWidth="1"/>
    <col min="22" max="16384" width="6.109375" style="162"/>
  </cols>
  <sheetData>
    <row r="1" spans="1:29" ht="39.75" customHeight="1">
      <c r="A1" s="163" t="s">
        <v>0</v>
      </c>
      <c r="B1" s="164" t="s">
        <v>1</v>
      </c>
      <c r="C1" s="165" t="s">
        <v>2</v>
      </c>
      <c r="D1" s="165" t="s">
        <v>3</v>
      </c>
      <c r="E1" s="165" t="s">
        <v>46</v>
      </c>
      <c r="F1" s="165" t="s">
        <v>47</v>
      </c>
      <c r="G1" s="167" t="s">
        <v>50</v>
      </c>
      <c r="H1" s="165" t="s">
        <v>52</v>
      </c>
      <c r="I1" s="165" t="s">
        <v>53</v>
      </c>
      <c r="J1" s="224" t="s">
        <v>4</v>
      </c>
      <c r="K1" s="165" t="s">
        <v>5</v>
      </c>
      <c r="L1" s="165" t="s">
        <v>2</v>
      </c>
      <c r="M1" s="165" t="s">
        <v>3</v>
      </c>
      <c r="N1" s="165" t="s">
        <v>46</v>
      </c>
      <c r="O1" s="165" t="s">
        <v>47</v>
      </c>
      <c r="P1" s="167" t="s">
        <v>50</v>
      </c>
      <c r="Q1" s="165" t="s">
        <v>52</v>
      </c>
      <c r="R1" s="165" t="s">
        <v>53</v>
      </c>
      <c r="S1" s="224" t="s">
        <v>6</v>
      </c>
      <c r="T1" s="224" t="s">
        <v>51</v>
      </c>
      <c r="U1" s="226" t="s">
        <v>7</v>
      </c>
    </row>
    <row r="2" spans="1:29" ht="24" thickBot="1">
      <c r="A2" s="168" t="s">
        <v>16</v>
      </c>
      <c r="B2" s="169"/>
      <c r="C2" s="170">
        <v>5</v>
      </c>
      <c r="D2" s="170">
        <v>23</v>
      </c>
      <c r="E2" s="170">
        <v>15</v>
      </c>
      <c r="F2" s="170">
        <v>25</v>
      </c>
      <c r="G2" s="170">
        <v>25</v>
      </c>
      <c r="H2" s="171">
        <v>25</v>
      </c>
      <c r="I2" s="171">
        <v>25</v>
      </c>
      <c r="J2" s="225"/>
      <c r="K2" s="172"/>
      <c r="L2" s="172">
        <v>12</v>
      </c>
      <c r="M2" s="172">
        <v>23</v>
      </c>
      <c r="N2" s="172">
        <v>15</v>
      </c>
      <c r="O2" s="172">
        <v>25</v>
      </c>
      <c r="P2" s="170">
        <v>25</v>
      </c>
      <c r="Q2" s="171">
        <v>25</v>
      </c>
      <c r="R2" s="171">
        <v>25</v>
      </c>
      <c r="S2" s="225"/>
      <c r="T2" s="225"/>
      <c r="U2" s="227"/>
      <c r="AC2" s="162" t="s">
        <v>45</v>
      </c>
    </row>
    <row r="3" spans="1:29" ht="24" thickBot="1">
      <c r="A3" s="173" t="s">
        <v>29</v>
      </c>
      <c r="B3" s="174">
        <v>650000</v>
      </c>
      <c r="C3" s="175">
        <f>B3*C2</f>
        <v>3250000</v>
      </c>
      <c r="D3" s="175">
        <f>D2*B3</f>
        <v>14950000</v>
      </c>
      <c r="E3" s="175">
        <f>E2*B3</f>
        <v>9750000</v>
      </c>
      <c r="F3" s="175">
        <f>F2*B3</f>
        <v>16250000</v>
      </c>
      <c r="G3" s="182">
        <f>G2*B3</f>
        <v>16250000</v>
      </c>
      <c r="H3" s="182">
        <f>B3*H2</f>
        <v>16250000</v>
      </c>
      <c r="I3" s="182">
        <f>I2*B3</f>
        <v>16250000</v>
      </c>
      <c r="J3" s="175"/>
      <c r="K3" s="177">
        <v>650000</v>
      </c>
      <c r="L3" s="177">
        <f>K3*L2</f>
        <v>7800000</v>
      </c>
      <c r="M3" s="177">
        <f>K3*M2</f>
        <v>14950000</v>
      </c>
      <c r="N3" s="177">
        <f>N2*K3</f>
        <v>9750000</v>
      </c>
      <c r="O3" s="177">
        <f>O2*K3</f>
        <v>16250000</v>
      </c>
      <c r="P3" s="177">
        <f>P2*K3</f>
        <v>16250000</v>
      </c>
      <c r="Q3" s="177">
        <f>Q2*K3</f>
        <v>16250000</v>
      </c>
      <c r="R3" s="177">
        <f>R2*K3</f>
        <v>16250000</v>
      </c>
      <c r="S3" s="177"/>
      <c r="T3" s="178"/>
      <c r="U3" s="179"/>
    </row>
    <row r="4" spans="1:29" ht="32.25" customHeight="1" thickBot="1">
      <c r="A4" s="186" t="s">
        <v>48</v>
      </c>
      <c r="B4" s="187"/>
      <c r="C4" s="188">
        <f>((C3/120)*1.35)</f>
        <v>36562.5</v>
      </c>
      <c r="D4" s="188">
        <f>((D3/120)*1.35)</f>
        <v>168187.5</v>
      </c>
      <c r="E4" s="188">
        <f>((E3/120)*1.35)</f>
        <v>109687.5</v>
      </c>
      <c r="F4" s="188">
        <f>((F3/120)*1.35)</f>
        <v>182812.5</v>
      </c>
      <c r="G4" s="188">
        <f>((G3/120)*1.35)</f>
        <v>182812.5</v>
      </c>
      <c r="H4" s="188"/>
      <c r="I4" s="188"/>
      <c r="J4" s="188"/>
      <c r="K4" s="189"/>
      <c r="L4" s="190"/>
      <c r="M4" s="190"/>
      <c r="N4" s="190"/>
      <c r="O4" s="190"/>
      <c r="P4" s="190"/>
      <c r="Q4" s="190"/>
      <c r="R4" s="190"/>
      <c r="S4" s="190">
        <f>((F3+E3+D3+C3+G3)/120)*1.35</f>
        <v>680062.5</v>
      </c>
      <c r="T4" s="191"/>
      <c r="U4" s="179"/>
    </row>
    <row r="5" spans="1:29" ht="29.25" customHeight="1" thickBot="1">
      <c r="A5" s="192" t="s">
        <v>49</v>
      </c>
      <c r="B5" s="193"/>
      <c r="C5" s="194"/>
      <c r="D5" s="194"/>
      <c r="E5" s="194"/>
      <c r="F5" s="194"/>
      <c r="G5" s="194"/>
      <c r="H5" s="194"/>
      <c r="I5" s="194"/>
      <c r="J5" s="194"/>
      <c r="K5" s="195"/>
      <c r="L5" s="196">
        <f>((L3/64)*1.34)</f>
        <v>163312.5</v>
      </c>
      <c r="M5" s="196">
        <f>((M3/64)*1.34)</f>
        <v>313015.625</v>
      </c>
      <c r="N5" s="196">
        <f>((N3/64)*1.34)</f>
        <v>204140.625</v>
      </c>
      <c r="O5" s="196">
        <f>((O3/64)*1.34)</f>
        <v>340234.375</v>
      </c>
      <c r="P5" s="196"/>
      <c r="Q5" s="196"/>
      <c r="R5" s="196"/>
      <c r="S5" s="196">
        <f>((O3+N3+M3+L3+P3)/64)*1.34</f>
        <v>1360937.5</v>
      </c>
      <c r="T5" s="197"/>
      <c r="U5" s="198"/>
    </row>
    <row r="6" spans="1:29" ht="23.4">
      <c r="A6" s="199" t="s">
        <v>31</v>
      </c>
      <c r="B6" s="200">
        <v>14.2</v>
      </c>
      <c r="C6" s="201"/>
      <c r="D6" s="201"/>
      <c r="E6" s="201"/>
      <c r="F6" s="201"/>
      <c r="G6" s="201"/>
      <c r="H6" s="201"/>
      <c r="I6" s="201"/>
      <c r="J6" s="183"/>
      <c r="K6" s="202">
        <v>15</v>
      </c>
      <c r="L6" s="203">
        <f>(L3/64)*(K6/1000)</f>
        <v>1828.125</v>
      </c>
      <c r="M6" s="203">
        <f>(M3/64)*(K6/1000)</f>
        <v>3503.90625</v>
      </c>
      <c r="N6" s="203">
        <f>(N3/64)*(K6/1000)</f>
        <v>2285.15625</v>
      </c>
      <c r="O6" s="203">
        <f>(O3/64)*(K6/1000)</f>
        <v>3808.59375</v>
      </c>
      <c r="P6" s="203">
        <f>(P3/64)*(K6/1000)</f>
        <v>3808.59375</v>
      </c>
      <c r="Q6" s="203">
        <f>(Q3/64)*(K6/1000)</f>
        <v>3808.59375</v>
      </c>
      <c r="R6" s="203">
        <f>(R3/64)*(K6/1000)</f>
        <v>3808.59375</v>
      </c>
      <c r="S6" s="203">
        <f>O6+N6+M6+L6+P6</f>
        <v>15234.375</v>
      </c>
      <c r="T6" s="204">
        <f>5473+7200</f>
        <v>12673</v>
      </c>
      <c r="U6" s="205">
        <f t="shared" ref="U6:U14" si="0">T6-S6</f>
        <v>-2561.375</v>
      </c>
    </row>
    <row r="7" spans="1:29" ht="23.4">
      <c r="A7" s="206" t="s">
        <v>30</v>
      </c>
      <c r="B7" s="207">
        <v>22.6</v>
      </c>
      <c r="C7" s="208"/>
      <c r="D7" s="208"/>
      <c r="E7" s="208"/>
      <c r="F7" s="208"/>
      <c r="G7" s="208"/>
      <c r="H7" s="208"/>
      <c r="I7" s="208"/>
      <c r="J7" s="184"/>
      <c r="K7" s="209">
        <v>20</v>
      </c>
      <c r="L7" s="210">
        <f>(L3/64)*(K7/1000)</f>
        <v>2437.5</v>
      </c>
      <c r="M7" s="210">
        <f>(M3/64)*(K7/1000)</f>
        <v>4671.875</v>
      </c>
      <c r="N7" s="210">
        <f>(N3/64)*(K7/1000)</f>
        <v>3046.875</v>
      </c>
      <c r="O7" s="210">
        <f>(O3/64)*(K7/1000)</f>
        <v>5078.125</v>
      </c>
      <c r="P7" s="210">
        <f>(P3/64)*($K$7/1000)</f>
        <v>5078.125</v>
      </c>
      <c r="Q7" s="210">
        <f t="shared" ref="Q7:R7" si="1">(Q3/64)*($K$7/1000)</f>
        <v>5078.125</v>
      </c>
      <c r="R7" s="210">
        <f t="shared" si="1"/>
        <v>5078.125</v>
      </c>
      <c r="S7" s="210">
        <f>O7+N7+M7+L7+P7</f>
        <v>20312.5</v>
      </c>
      <c r="T7" s="211">
        <f>7660+14100</f>
        <v>21760</v>
      </c>
      <c r="U7" s="212">
        <f t="shared" si="0"/>
        <v>1447.5</v>
      </c>
    </row>
    <row r="8" spans="1:29" ht="24" thickBot="1">
      <c r="A8" s="213" t="s">
        <v>32</v>
      </c>
      <c r="B8" s="214">
        <v>17.7</v>
      </c>
      <c r="C8" s="215"/>
      <c r="D8" s="215"/>
      <c r="E8" s="215"/>
      <c r="F8" s="215"/>
      <c r="G8" s="215"/>
      <c r="H8" s="215"/>
      <c r="I8" s="215"/>
      <c r="J8" s="185"/>
      <c r="K8" s="216">
        <v>14.5</v>
      </c>
      <c r="L8" s="217">
        <f>(L3/64)*(K8/1000)</f>
        <v>1767.1875</v>
      </c>
      <c r="M8" s="217">
        <f>(M3/64)*(K8/1000)</f>
        <v>3387.109375</v>
      </c>
      <c r="N8" s="217">
        <f>(N3/64)*(K8/1000)</f>
        <v>2208.984375</v>
      </c>
      <c r="O8" s="217">
        <f>(O3/64)*(K8/1000)</f>
        <v>3681.640625</v>
      </c>
      <c r="P8" s="217">
        <f>(P3/64)*($K$8/1000)</f>
        <v>3681.640625</v>
      </c>
      <c r="Q8" s="217">
        <f t="shared" ref="Q8:R8" si="2">(Q3/64)*($K$8/1000)</f>
        <v>3681.640625</v>
      </c>
      <c r="R8" s="217">
        <f t="shared" si="2"/>
        <v>3681.640625</v>
      </c>
      <c r="S8" s="217">
        <f>O8+N8+M8+L8+P8</f>
        <v>14726.5625</v>
      </c>
      <c r="T8" s="218">
        <f>5080+11800</f>
        <v>16880</v>
      </c>
      <c r="U8" s="219">
        <f t="shared" si="0"/>
        <v>2153.4375</v>
      </c>
    </row>
    <row r="9" spans="1:29" ht="23.4">
      <c r="A9" s="220" t="s">
        <v>10</v>
      </c>
      <c r="B9" s="200">
        <v>28</v>
      </c>
      <c r="C9" s="201">
        <f>(C3/120)*(B9/1000)</f>
        <v>758.33333333333337</v>
      </c>
      <c r="D9" s="201">
        <f>(D3/120)*(B9/1000)</f>
        <v>3488.3333333333335</v>
      </c>
      <c r="E9" s="201">
        <f>(E3/120)*(B9/1000)</f>
        <v>2275</v>
      </c>
      <c r="F9" s="201">
        <f>(F3/120)*($B$9/1000)</f>
        <v>3791.6666666666665</v>
      </c>
      <c r="G9" s="201">
        <f>(G3/120)*($B$9/1000)</f>
        <v>3791.6666666666665</v>
      </c>
      <c r="H9" s="201">
        <f t="shared" ref="H9:I9" si="3">(H3/120)*($B$9/1000)</f>
        <v>3791.6666666666665</v>
      </c>
      <c r="I9" s="201">
        <f t="shared" si="3"/>
        <v>3791.6666666666665</v>
      </c>
      <c r="J9" s="183"/>
      <c r="K9" s="202">
        <v>24.4</v>
      </c>
      <c r="L9" s="203"/>
      <c r="M9" s="203"/>
      <c r="N9" s="203"/>
      <c r="O9" s="203"/>
      <c r="P9" s="203"/>
      <c r="Q9" s="203"/>
      <c r="R9" s="203"/>
      <c r="S9" s="203">
        <f>D9+C9+E9+F9+G9+H9+I9</f>
        <v>21688.333333333336</v>
      </c>
      <c r="T9" s="204">
        <f>9600+18720</f>
        <v>28320</v>
      </c>
      <c r="U9" s="205">
        <f t="shared" si="0"/>
        <v>6631.6666666666642</v>
      </c>
    </row>
    <row r="10" spans="1:29" ht="23.4">
      <c r="A10" s="221" t="s">
        <v>11</v>
      </c>
      <c r="B10" s="207">
        <v>16.399999999999999</v>
      </c>
      <c r="C10" s="208">
        <f t="shared" ref="C10:I10" si="4">(C3/120)*($B$10/1000)</f>
        <v>444.16666666666657</v>
      </c>
      <c r="D10" s="208">
        <f t="shared" si="4"/>
        <v>2043.1666666666663</v>
      </c>
      <c r="E10" s="208">
        <f t="shared" si="4"/>
        <v>1332.4999999999998</v>
      </c>
      <c r="F10" s="208">
        <f t="shared" si="4"/>
        <v>2220.833333333333</v>
      </c>
      <c r="G10" s="208">
        <f t="shared" si="4"/>
        <v>2220.833333333333</v>
      </c>
      <c r="H10" s="208">
        <f t="shared" si="4"/>
        <v>2220.833333333333</v>
      </c>
      <c r="I10" s="208">
        <f t="shared" si="4"/>
        <v>2220.833333333333</v>
      </c>
      <c r="J10" s="184"/>
      <c r="K10" s="209">
        <v>14.2</v>
      </c>
      <c r="L10" s="210"/>
      <c r="M10" s="210"/>
      <c r="N10" s="210"/>
      <c r="O10" s="210"/>
      <c r="P10" s="210"/>
      <c r="Q10" s="210"/>
      <c r="R10" s="210"/>
      <c r="S10" s="210">
        <f>D10+C10+E10+F10+G10+H10+I10</f>
        <v>12703.166666666664</v>
      </c>
      <c r="T10" s="211">
        <f>7200+10800</f>
        <v>18000</v>
      </c>
      <c r="U10" s="212">
        <f t="shared" si="0"/>
        <v>5296.8333333333358</v>
      </c>
    </row>
    <row r="11" spans="1:29" ht="24" thickBot="1">
      <c r="A11" s="222" t="s">
        <v>12</v>
      </c>
      <c r="B11" s="214">
        <v>15</v>
      </c>
      <c r="C11" s="215">
        <f t="shared" ref="C11:I11" si="5">((C3)/120)*($B$11/1000)</f>
        <v>406.24999999999994</v>
      </c>
      <c r="D11" s="215">
        <f t="shared" si="5"/>
        <v>1868.7499999999998</v>
      </c>
      <c r="E11" s="215">
        <f t="shared" si="5"/>
        <v>1218.75</v>
      </c>
      <c r="F11" s="215">
        <f t="shared" si="5"/>
        <v>2031.2499999999998</v>
      </c>
      <c r="G11" s="215">
        <f t="shared" si="5"/>
        <v>2031.2499999999998</v>
      </c>
      <c r="H11" s="215">
        <f t="shared" si="5"/>
        <v>2031.2499999999998</v>
      </c>
      <c r="I11" s="215">
        <f t="shared" si="5"/>
        <v>2031.2499999999998</v>
      </c>
      <c r="J11" s="185"/>
      <c r="K11" s="216">
        <v>12.8</v>
      </c>
      <c r="L11" s="217"/>
      <c r="M11" s="217"/>
      <c r="N11" s="217"/>
      <c r="O11" s="217"/>
      <c r="P11" s="217"/>
      <c r="Q11" s="217"/>
      <c r="R11" s="217"/>
      <c r="S11" s="217">
        <f>D11+C11+E11+F11+G11+H11+I11</f>
        <v>11618.749999999998</v>
      </c>
      <c r="T11" s="218">
        <f>6200+8800</f>
        <v>15000</v>
      </c>
      <c r="U11" s="219">
        <f t="shared" si="0"/>
        <v>3381.2500000000018</v>
      </c>
    </row>
    <row r="12" spans="1:29" ht="18.75" hidden="1" customHeight="1" thickBot="1">
      <c r="A12" s="158" t="s">
        <v>17</v>
      </c>
      <c r="B12" s="160">
        <v>2.5999999999999998E-5</v>
      </c>
      <c r="C12" s="125">
        <f>C3*$B$12</f>
        <v>84.5</v>
      </c>
      <c r="D12" s="125">
        <f>D3*$B$12</f>
        <v>388.7</v>
      </c>
      <c r="E12" s="125">
        <f t="shared" ref="E12:G12" si="6">E3*$B$12</f>
        <v>253.49999999999997</v>
      </c>
      <c r="F12" s="125">
        <f t="shared" si="6"/>
        <v>422.5</v>
      </c>
      <c r="G12" s="125">
        <f t="shared" si="6"/>
        <v>422.5</v>
      </c>
      <c r="H12" s="125"/>
      <c r="I12" s="125"/>
      <c r="J12" s="125"/>
      <c r="K12" s="156">
        <v>2.9E-5</v>
      </c>
      <c r="L12" s="156">
        <f>L3*$K$12</f>
        <v>226.2</v>
      </c>
      <c r="M12" s="156">
        <f>M3*$K$12</f>
        <v>433.55</v>
      </c>
      <c r="N12" s="156">
        <f t="shared" ref="N12:P12" si="7">N3*$K$12</f>
        <v>282.75</v>
      </c>
      <c r="O12" s="156">
        <f t="shared" si="7"/>
        <v>471.25</v>
      </c>
      <c r="P12" s="156">
        <f t="shared" si="7"/>
        <v>471.25</v>
      </c>
      <c r="Q12" s="156"/>
      <c r="R12" s="156"/>
      <c r="S12" s="126">
        <f>(SUM(C12:G12)+SUM(L12:P12))</f>
        <v>3456.7</v>
      </c>
      <c r="T12" s="127">
        <v>2400</v>
      </c>
      <c r="U12" s="154">
        <f t="shared" si="0"/>
        <v>-1056.6999999999998</v>
      </c>
    </row>
    <row r="13" spans="1:29" ht="18.75" hidden="1" customHeight="1" thickBot="1">
      <c r="A13" s="159" t="s">
        <v>18</v>
      </c>
      <c r="B13" s="161">
        <v>3.1199999999999999E-5</v>
      </c>
      <c r="C13" s="128">
        <f>C3*$B$13</f>
        <v>101.39999999999999</v>
      </c>
      <c r="D13" s="128">
        <f>D3*$B$13</f>
        <v>466.44</v>
      </c>
      <c r="E13" s="128">
        <f t="shared" ref="E13:G13" si="8">E3*$B$13</f>
        <v>304.2</v>
      </c>
      <c r="F13" s="128">
        <f t="shared" si="8"/>
        <v>507</v>
      </c>
      <c r="G13" s="128">
        <f t="shared" si="8"/>
        <v>507</v>
      </c>
      <c r="H13" s="128"/>
      <c r="I13" s="128"/>
      <c r="J13" s="128"/>
      <c r="K13" s="157">
        <v>3.4E-5</v>
      </c>
      <c r="L13" s="157">
        <f>L3*$K$13</f>
        <v>265.2</v>
      </c>
      <c r="M13" s="157">
        <f>M3*$K$13</f>
        <v>508.3</v>
      </c>
      <c r="N13" s="157">
        <f t="shared" ref="N13:P13" si="9">N3*$K$13</f>
        <v>331.5</v>
      </c>
      <c r="O13" s="157">
        <f t="shared" si="9"/>
        <v>552.5</v>
      </c>
      <c r="P13" s="157">
        <f t="shared" si="9"/>
        <v>552.5</v>
      </c>
      <c r="Q13" s="223"/>
      <c r="R13" s="223"/>
      <c r="S13" s="126">
        <f>(SUM(C13:G13)+SUM(L13:P13))</f>
        <v>4096.04</v>
      </c>
      <c r="T13" s="129">
        <v>2904</v>
      </c>
      <c r="U13" s="155">
        <f t="shared" si="0"/>
        <v>-1192.04</v>
      </c>
    </row>
    <row r="14" spans="1:29" ht="18.75" hidden="1" customHeight="1">
      <c r="A14" s="231" t="s">
        <v>13</v>
      </c>
      <c r="B14" s="234">
        <v>1.6000000000000001E-4</v>
      </c>
      <c r="C14" s="237">
        <f>C3*$B$14</f>
        <v>520</v>
      </c>
      <c r="D14" s="237">
        <f>D3*$B$14</f>
        <v>2392</v>
      </c>
      <c r="E14" s="237">
        <f t="shared" ref="E14:G14" si="10">E3*$B$14</f>
        <v>1560.0000000000002</v>
      </c>
      <c r="F14" s="237">
        <f t="shared" si="10"/>
        <v>2600</v>
      </c>
      <c r="G14" s="237">
        <f t="shared" si="10"/>
        <v>2600</v>
      </c>
      <c r="H14" s="151"/>
      <c r="I14" s="151"/>
      <c r="J14" s="237"/>
      <c r="K14" s="240">
        <v>1.8000000000000001E-4</v>
      </c>
      <c r="L14" s="228">
        <f>L3*$K$14</f>
        <v>1404</v>
      </c>
      <c r="M14" s="228">
        <f>M3*$K$14</f>
        <v>2691</v>
      </c>
      <c r="N14" s="228">
        <f t="shared" ref="N14:P14" si="11">N3*$K$14</f>
        <v>1755</v>
      </c>
      <c r="O14" s="228">
        <f t="shared" si="11"/>
        <v>2925</v>
      </c>
      <c r="P14" s="228">
        <f t="shared" si="11"/>
        <v>2925</v>
      </c>
      <c r="Q14" s="142"/>
      <c r="R14" s="142"/>
      <c r="S14" s="228">
        <f>((SUM(C14:G16))+SUM(L14:P16))</f>
        <v>21372</v>
      </c>
      <c r="T14" s="246">
        <v>5786</v>
      </c>
      <c r="U14" s="249">
        <f t="shared" si="0"/>
        <v>-15586</v>
      </c>
    </row>
    <row r="15" spans="1:29" ht="15" hidden="1" customHeight="1">
      <c r="A15" s="232"/>
      <c r="B15" s="235"/>
      <c r="C15" s="238"/>
      <c r="D15" s="238"/>
      <c r="E15" s="238"/>
      <c r="F15" s="238"/>
      <c r="G15" s="238"/>
      <c r="H15" s="152"/>
      <c r="I15" s="152"/>
      <c r="J15" s="238"/>
      <c r="K15" s="241"/>
      <c r="L15" s="229"/>
      <c r="M15" s="229"/>
      <c r="N15" s="229"/>
      <c r="O15" s="229"/>
      <c r="P15" s="229"/>
      <c r="Q15" s="143"/>
      <c r="R15" s="143"/>
      <c r="S15" s="229"/>
      <c r="T15" s="247"/>
      <c r="U15" s="250"/>
    </row>
    <row r="16" spans="1:29" ht="15.75" hidden="1" customHeight="1" thickBot="1">
      <c r="A16" s="233"/>
      <c r="B16" s="236"/>
      <c r="C16" s="239"/>
      <c r="D16" s="239"/>
      <c r="E16" s="239"/>
      <c r="F16" s="239"/>
      <c r="G16" s="239"/>
      <c r="H16" s="153"/>
      <c r="I16" s="153"/>
      <c r="J16" s="239"/>
      <c r="K16" s="242"/>
      <c r="L16" s="230"/>
      <c r="M16" s="230"/>
      <c r="N16" s="230"/>
      <c r="O16" s="230"/>
      <c r="P16" s="230"/>
      <c r="Q16" s="144"/>
      <c r="R16" s="144"/>
      <c r="S16" s="230"/>
      <c r="T16" s="248"/>
      <c r="U16" s="251"/>
    </row>
    <row r="17" spans="1:21" ht="15" hidden="1" customHeight="1">
      <c r="A17" s="231" t="s">
        <v>14</v>
      </c>
      <c r="B17" s="234">
        <v>70</v>
      </c>
      <c r="C17" s="243">
        <f t="shared" ref="C17:G17" si="12">C2*$B$17</f>
        <v>350</v>
      </c>
      <c r="D17" s="243">
        <f t="shared" si="12"/>
        <v>1610</v>
      </c>
      <c r="E17" s="243">
        <f t="shared" si="12"/>
        <v>1050</v>
      </c>
      <c r="F17" s="243">
        <f t="shared" si="12"/>
        <v>1750</v>
      </c>
      <c r="G17" s="243">
        <f t="shared" si="12"/>
        <v>1750</v>
      </c>
      <c r="H17" s="145"/>
      <c r="I17" s="145"/>
      <c r="J17" s="243">
        <f>F17+E17+D17+C17+G17</f>
        <v>6510</v>
      </c>
      <c r="K17" s="252"/>
      <c r="L17" s="228"/>
      <c r="M17" s="228"/>
      <c r="N17" s="228"/>
      <c r="O17" s="228"/>
      <c r="P17" s="255"/>
      <c r="Q17" s="148"/>
      <c r="R17" s="148"/>
      <c r="S17" s="228">
        <f>J17</f>
        <v>6510</v>
      </c>
      <c r="T17" s="246">
        <v>1960</v>
      </c>
      <c r="U17" s="249">
        <f>T17-S17</f>
        <v>-4550</v>
      </c>
    </row>
    <row r="18" spans="1:21" ht="15" hidden="1" customHeight="1">
      <c r="A18" s="232"/>
      <c r="B18" s="235"/>
      <c r="C18" s="244"/>
      <c r="D18" s="244"/>
      <c r="E18" s="244"/>
      <c r="F18" s="244"/>
      <c r="G18" s="244"/>
      <c r="H18" s="146"/>
      <c r="I18" s="146"/>
      <c r="J18" s="244"/>
      <c r="K18" s="253"/>
      <c r="L18" s="229"/>
      <c r="M18" s="229"/>
      <c r="N18" s="229"/>
      <c r="O18" s="229"/>
      <c r="P18" s="256"/>
      <c r="Q18" s="149"/>
      <c r="R18" s="149"/>
      <c r="S18" s="229"/>
      <c r="T18" s="247"/>
      <c r="U18" s="250"/>
    </row>
    <row r="19" spans="1:21" ht="15.75" hidden="1" customHeight="1" thickBot="1">
      <c r="A19" s="233"/>
      <c r="B19" s="236"/>
      <c r="C19" s="245"/>
      <c r="D19" s="245"/>
      <c r="E19" s="245"/>
      <c r="F19" s="245"/>
      <c r="G19" s="245"/>
      <c r="H19" s="147"/>
      <c r="I19" s="147"/>
      <c r="J19" s="245"/>
      <c r="K19" s="254"/>
      <c r="L19" s="230"/>
      <c r="M19" s="230"/>
      <c r="N19" s="230"/>
      <c r="O19" s="230"/>
      <c r="P19" s="257"/>
      <c r="Q19" s="150"/>
      <c r="R19" s="150"/>
      <c r="S19" s="230"/>
      <c r="T19" s="248"/>
      <c r="U19" s="251"/>
    </row>
    <row r="20" spans="1:21" ht="21" hidden="1" customHeight="1" thickBot="1">
      <c r="A20" s="113" t="s">
        <v>15</v>
      </c>
      <c r="B20" s="130">
        <v>2.1250000000000002E-3</v>
      </c>
      <c r="C20" s="114">
        <f>C3*$B$20</f>
        <v>6906.2500000000009</v>
      </c>
      <c r="D20" s="114">
        <f>D3*$B$20</f>
        <v>31768.750000000004</v>
      </c>
      <c r="E20" s="114">
        <f t="shared" ref="E20:G20" si="13">E3*$B$20</f>
        <v>20718.75</v>
      </c>
      <c r="F20" s="114">
        <f t="shared" si="13"/>
        <v>34531.25</v>
      </c>
      <c r="G20" s="114">
        <f t="shared" si="13"/>
        <v>34531.25</v>
      </c>
      <c r="H20" s="114"/>
      <c r="I20" s="114"/>
      <c r="J20" s="114"/>
      <c r="K20" s="115">
        <v>2.1250000000000002E-3</v>
      </c>
      <c r="L20" s="116">
        <f>L3*$K$20</f>
        <v>16575</v>
      </c>
      <c r="M20" s="116">
        <f>M3*$K$20</f>
        <v>31768.750000000004</v>
      </c>
      <c r="N20" s="116">
        <f t="shared" ref="N20:P20" si="14">N3*$K$20</f>
        <v>20718.75</v>
      </c>
      <c r="O20" s="116">
        <f t="shared" si="14"/>
        <v>34531.25</v>
      </c>
      <c r="P20" s="116">
        <f t="shared" si="14"/>
        <v>34531.25</v>
      </c>
      <c r="Q20" s="116"/>
      <c r="R20" s="116"/>
      <c r="S20" s="116"/>
      <c r="T20" s="131"/>
      <c r="U20" s="112"/>
    </row>
  </sheetData>
  <mergeCells count="38">
    <mergeCell ref="U17:U19"/>
    <mergeCell ref="F17:F19"/>
    <mergeCell ref="G17:G19"/>
    <mergeCell ref="J17:J19"/>
    <mergeCell ref="K17:K19"/>
    <mergeCell ref="L17:L19"/>
    <mergeCell ref="M17:M19"/>
    <mergeCell ref="N17:N19"/>
    <mergeCell ref="O17:O19"/>
    <mergeCell ref="P17:P19"/>
    <mergeCell ref="S17:S19"/>
    <mergeCell ref="T17:T19"/>
    <mergeCell ref="A17:A19"/>
    <mergeCell ref="B17:B19"/>
    <mergeCell ref="C17:C19"/>
    <mergeCell ref="D17:D19"/>
    <mergeCell ref="E17:E19"/>
    <mergeCell ref="F14:F16"/>
    <mergeCell ref="G14:G16"/>
    <mergeCell ref="J14:J16"/>
    <mergeCell ref="K14:K16"/>
    <mergeCell ref="L14:L16"/>
    <mergeCell ref="A14:A16"/>
    <mergeCell ref="B14:B16"/>
    <mergeCell ref="C14:C16"/>
    <mergeCell ref="D14:D16"/>
    <mergeCell ref="E14:E16"/>
    <mergeCell ref="J1:J2"/>
    <mergeCell ref="S1:S2"/>
    <mergeCell ref="T1:T2"/>
    <mergeCell ref="U1:U2"/>
    <mergeCell ref="N14:N16"/>
    <mergeCell ref="M14:M16"/>
    <mergeCell ref="O14:O16"/>
    <mergeCell ref="P14:P16"/>
    <mergeCell ref="S14:S16"/>
    <mergeCell ref="T14:T16"/>
    <mergeCell ref="U14:U16"/>
  </mergeCells>
  <pageMargins left="0.16" right="0.23622047244094491" top="0.4" bottom="0.19685039370078741" header="0.16" footer="0.31496062992125984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8"/>
  <sheetViews>
    <sheetView rightToLeft="1" zoomScale="40" zoomScaleNormal="40" workbookViewId="0">
      <pane ySplit="3" topLeftCell="A4" activePane="bottomLeft" state="frozen"/>
      <selection pane="bottomLeft" activeCell="H63" sqref="H63"/>
    </sheetView>
  </sheetViews>
  <sheetFormatPr defaultColWidth="6.109375" defaultRowHeight="14.4"/>
  <cols>
    <col min="1" max="1" width="16.88671875" style="1" customWidth="1"/>
    <col min="2" max="3" width="15.88671875" style="1" customWidth="1"/>
    <col min="4" max="4" width="18.5546875" style="1" customWidth="1"/>
    <col min="5" max="5" width="15.88671875" style="110" customWidth="1"/>
    <col min="6" max="6" width="19.33203125" style="110" customWidth="1"/>
    <col min="7" max="7" width="20" style="134" customWidth="1"/>
    <col min="8" max="8" width="18.109375" style="141" customWidth="1"/>
    <col min="9" max="9" width="18.5546875" style="141" customWidth="1"/>
    <col min="10" max="10" width="15.88671875" style="1" customWidth="1"/>
    <col min="11" max="13" width="15.88671875" style="1" hidden="1" customWidth="1"/>
    <col min="14" max="15" width="15.88671875" style="110" hidden="1" customWidth="1"/>
    <col min="16" max="16" width="15.88671875" style="134" hidden="1" customWidth="1"/>
    <col min="17" max="19" width="15.88671875" style="1" customWidth="1"/>
    <col min="20" max="16384" width="6.109375" style="1"/>
  </cols>
  <sheetData>
    <row r="1" spans="1:27" ht="39.75" customHeight="1">
      <c r="A1" s="163" t="s">
        <v>0</v>
      </c>
      <c r="B1" s="164" t="s">
        <v>1</v>
      </c>
      <c r="C1" s="165" t="s">
        <v>2</v>
      </c>
      <c r="D1" s="165" t="s">
        <v>3</v>
      </c>
      <c r="E1" s="165" t="s">
        <v>46</v>
      </c>
      <c r="F1" s="165" t="s">
        <v>47</v>
      </c>
      <c r="G1" s="166" t="s">
        <v>50</v>
      </c>
      <c r="H1" s="165" t="s">
        <v>52</v>
      </c>
      <c r="I1" s="165" t="s">
        <v>53</v>
      </c>
      <c r="J1" s="224" t="s">
        <v>4</v>
      </c>
      <c r="K1" s="165" t="s">
        <v>5</v>
      </c>
      <c r="L1" s="165" t="s">
        <v>2</v>
      </c>
      <c r="M1" s="165" t="s">
        <v>3</v>
      </c>
      <c r="N1" s="165" t="s">
        <v>46</v>
      </c>
      <c r="O1" s="165" t="s">
        <v>47</v>
      </c>
      <c r="P1" s="166" t="s">
        <v>50</v>
      </c>
      <c r="Q1" s="224" t="s">
        <v>6</v>
      </c>
      <c r="R1" s="224" t="s">
        <v>51</v>
      </c>
      <c r="S1" s="226" t="s">
        <v>7</v>
      </c>
    </row>
    <row r="2" spans="1:27" ht="24" thickBot="1">
      <c r="A2" s="168" t="s">
        <v>16</v>
      </c>
      <c r="B2" s="169"/>
      <c r="C2" s="170">
        <v>5</v>
      </c>
      <c r="D2" s="170">
        <v>23</v>
      </c>
      <c r="E2" s="170">
        <v>15</v>
      </c>
      <c r="F2" s="170">
        <v>25</v>
      </c>
      <c r="G2" s="170">
        <v>25</v>
      </c>
      <c r="H2" s="171">
        <v>25</v>
      </c>
      <c r="I2" s="171">
        <v>25</v>
      </c>
      <c r="J2" s="225"/>
      <c r="K2" s="172"/>
      <c r="L2" s="172">
        <v>12</v>
      </c>
      <c r="M2" s="172">
        <v>23</v>
      </c>
      <c r="N2" s="172">
        <v>15</v>
      </c>
      <c r="O2" s="172">
        <v>25</v>
      </c>
      <c r="P2" s="170">
        <v>25</v>
      </c>
      <c r="Q2" s="225"/>
      <c r="R2" s="225"/>
      <c r="S2" s="227"/>
      <c r="AA2" s="1" t="s">
        <v>45</v>
      </c>
    </row>
    <row r="3" spans="1:27" ht="24" thickBot="1">
      <c r="A3" s="173" t="s">
        <v>29</v>
      </c>
      <c r="B3" s="174">
        <v>650000</v>
      </c>
      <c r="C3" s="175">
        <f>B3*C2</f>
        <v>3250000</v>
      </c>
      <c r="D3" s="175">
        <f>D2*B3</f>
        <v>14950000</v>
      </c>
      <c r="E3" s="175">
        <f>E2*B3</f>
        <v>9750000</v>
      </c>
      <c r="F3" s="175">
        <f>F2*B3</f>
        <v>16250000</v>
      </c>
      <c r="G3" s="176">
        <f>G2*B3</f>
        <v>16250000</v>
      </c>
      <c r="H3" s="176">
        <f>B3*H2</f>
        <v>16250000</v>
      </c>
      <c r="I3" s="176">
        <f>I2*B3</f>
        <v>16250000</v>
      </c>
      <c r="J3" s="175"/>
      <c r="K3" s="177">
        <v>650000</v>
      </c>
      <c r="L3" s="177">
        <f>K3*L2</f>
        <v>7800000</v>
      </c>
      <c r="M3" s="177">
        <f>K3*M2</f>
        <v>14950000</v>
      </c>
      <c r="N3" s="177">
        <f>N2*K3</f>
        <v>9750000</v>
      </c>
      <c r="O3" s="177">
        <f>O2*K3</f>
        <v>16250000</v>
      </c>
      <c r="P3" s="177">
        <f>P2*K3</f>
        <v>16250000</v>
      </c>
      <c r="Q3" s="177"/>
      <c r="R3" s="178"/>
      <c r="S3" s="179"/>
    </row>
    <row r="4" spans="1:27" ht="18.75" hidden="1" customHeight="1">
      <c r="A4" s="274" t="s">
        <v>8</v>
      </c>
      <c r="B4" s="277"/>
      <c r="C4" s="271">
        <v>1200</v>
      </c>
      <c r="D4" s="271">
        <v>1200</v>
      </c>
      <c r="E4" s="280">
        <v>1200</v>
      </c>
      <c r="F4" s="280">
        <v>1200</v>
      </c>
      <c r="G4" s="280">
        <v>1200</v>
      </c>
      <c r="H4" s="180"/>
      <c r="I4" s="180"/>
      <c r="J4" s="271"/>
      <c r="K4" s="261"/>
      <c r="L4" s="283">
        <v>1200</v>
      </c>
      <c r="M4" s="283">
        <v>1200</v>
      </c>
      <c r="N4" s="286">
        <v>1200</v>
      </c>
      <c r="O4" s="286">
        <v>1200</v>
      </c>
      <c r="P4" s="286">
        <v>1201</v>
      </c>
      <c r="Q4" s="283"/>
      <c r="R4" s="292"/>
      <c r="S4" s="289"/>
    </row>
    <row r="5" spans="1:27" ht="23.4" hidden="1">
      <c r="A5" s="275"/>
      <c r="B5" s="278"/>
      <c r="C5" s="272"/>
      <c r="D5" s="272"/>
      <c r="E5" s="281"/>
      <c r="F5" s="281"/>
      <c r="G5" s="281"/>
      <c r="H5" s="181"/>
      <c r="I5" s="181"/>
      <c r="J5" s="272"/>
      <c r="K5" s="262"/>
      <c r="L5" s="284"/>
      <c r="M5" s="284"/>
      <c r="N5" s="287"/>
      <c r="O5" s="287"/>
      <c r="P5" s="287"/>
      <c r="Q5" s="284"/>
      <c r="R5" s="293"/>
      <c r="S5" s="290"/>
    </row>
    <row r="6" spans="1:27" ht="23.4" hidden="1">
      <c r="A6" s="275"/>
      <c r="B6" s="278"/>
      <c r="C6" s="272"/>
      <c r="D6" s="272"/>
      <c r="E6" s="281"/>
      <c r="F6" s="281"/>
      <c r="G6" s="281"/>
      <c r="H6" s="181"/>
      <c r="I6" s="181"/>
      <c r="J6" s="272"/>
      <c r="K6" s="262"/>
      <c r="L6" s="284"/>
      <c r="M6" s="284"/>
      <c r="N6" s="287"/>
      <c r="O6" s="287"/>
      <c r="P6" s="287"/>
      <c r="Q6" s="284"/>
      <c r="R6" s="293"/>
      <c r="S6" s="290"/>
    </row>
    <row r="7" spans="1:27" ht="24" hidden="1" thickBot="1">
      <c r="A7" s="276"/>
      <c r="B7" s="279"/>
      <c r="C7" s="273"/>
      <c r="D7" s="273"/>
      <c r="E7" s="282"/>
      <c r="F7" s="282"/>
      <c r="G7" s="282"/>
      <c r="H7" s="176"/>
      <c r="I7" s="176"/>
      <c r="J7" s="273"/>
      <c r="K7" s="263"/>
      <c r="L7" s="285"/>
      <c r="M7" s="285"/>
      <c r="N7" s="288"/>
      <c r="O7" s="288"/>
      <c r="P7" s="288"/>
      <c r="Q7" s="285"/>
      <c r="R7" s="294"/>
      <c r="S7" s="291"/>
    </row>
    <row r="8" spans="1:27" ht="18.75" hidden="1" customHeight="1">
      <c r="A8" s="274" t="s">
        <v>9</v>
      </c>
      <c r="B8" s="277">
        <v>45</v>
      </c>
      <c r="C8" s="258">
        <f>C2*45</f>
        <v>225</v>
      </c>
      <c r="D8" s="258">
        <f>D2*45</f>
        <v>1035</v>
      </c>
      <c r="E8" s="258">
        <f t="shared" ref="E8:F8" si="0">E2*45</f>
        <v>675</v>
      </c>
      <c r="F8" s="258">
        <f t="shared" si="0"/>
        <v>1125</v>
      </c>
      <c r="G8" s="258">
        <f t="shared" ref="G8" si="1">G2*45</f>
        <v>1125</v>
      </c>
      <c r="H8" s="183"/>
      <c r="I8" s="183"/>
      <c r="J8" s="258"/>
      <c r="K8" s="261">
        <v>45</v>
      </c>
      <c r="L8" s="264">
        <f>L2*B8</f>
        <v>540</v>
      </c>
      <c r="M8" s="264">
        <f>B8*M2</f>
        <v>1035</v>
      </c>
      <c r="N8" s="264">
        <f>B8*N2</f>
        <v>675</v>
      </c>
      <c r="O8" s="264">
        <f>B8*O2</f>
        <v>1125</v>
      </c>
      <c r="P8" s="264">
        <f>B8*P2</f>
        <v>1125</v>
      </c>
      <c r="Q8" s="299">
        <f>F8+E8+D8+C8+G8</f>
        <v>4185</v>
      </c>
      <c r="R8" s="267"/>
      <c r="S8" s="295"/>
    </row>
    <row r="9" spans="1:27" ht="15" hidden="1" customHeight="1">
      <c r="A9" s="275"/>
      <c r="B9" s="278"/>
      <c r="C9" s="259"/>
      <c r="D9" s="259"/>
      <c r="E9" s="259"/>
      <c r="F9" s="259"/>
      <c r="G9" s="259"/>
      <c r="H9" s="184"/>
      <c r="I9" s="184"/>
      <c r="J9" s="259"/>
      <c r="K9" s="262"/>
      <c r="L9" s="265"/>
      <c r="M9" s="265"/>
      <c r="N9" s="265"/>
      <c r="O9" s="265"/>
      <c r="P9" s="265"/>
      <c r="Q9" s="300"/>
      <c r="R9" s="268"/>
      <c r="S9" s="296"/>
    </row>
    <row r="10" spans="1:27" ht="15" hidden="1" customHeight="1">
      <c r="A10" s="275"/>
      <c r="B10" s="278"/>
      <c r="C10" s="259"/>
      <c r="D10" s="259"/>
      <c r="E10" s="259"/>
      <c r="F10" s="259"/>
      <c r="G10" s="259"/>
      <c r="H10" s="184"/>
      <c r="I10" s="184"/>
      <c r="J10" s="259"/>
      <c r="K10" s="262"/>
      <c r="L10" s="265"/>
      <c r="M10" s="265"/>
      <c r="N10" s="265"/>
      <c r="O10" s="265"/>
      <c r="P10" s="265"/>
      <c r="Q10" s="301">
        <f>O8+N8+M8+L8+P8</f>
        <v>4500</v>
      </c>
      <c r="R10" s="269"/>
      <c r="S10" s="297"/>
    </row>
    <row r="11" spans="1:27" ht="15" hidden="1" customHeight="1" thickBot="1">
      <c r="A11" s="276"/>
      <c r="B11" s="279"/>
      <c r="C11" s="260"/>
      <c r="D11" s="260"/>
      <c r="E11" s="260"/>
      <c r="F11" s="260"/>
      <c r="G11" s="260"/>
      <c r="H11" s="185"/>
      <c r="I11" s="185"/>
      <c r="J11" s="260"/>
      <c r="K11" s="263"/>
      <c r="L11" s="266"/>
      <c r="M11" s="266"/>
      <c r="N11" s="266"/>
      <c r="O11" s="266"/>
      <c r="P11" s="266"/>
      <c r="Q11" s="302"/>
      <c r="R11" s="270"/>
      <c r="S11" s="298"/>
    </row>
    <row r="12" spans="1:27" s="110" customFormat="1" ht="32.25" hidden="1" customHeight="1" thickBot="1">
      <c r="A12" s="186" t="s">
        <v>48</v>
      </c>
      <c r="B12" s="187"/>
      <c r="C12" s="188">
        <f>((C3/120)*1.35)</f>
        <v>36562.5</v>
      </c>
      <c r="D12" s="188">
        <f t="shared" ref="D12:G12" si="2">((D3/120)*1.35)</f>
        <v>168187.5</v>
      </c>
      <c r="E12" s="188">
        <f t="shared" si="2"/>
        <v>109687.5</v>
      </c>
      <c r="F12" s="188">
        <f t="shared" si="2"/>
        <v>182812.5</v>
      </c>
      <c r="G12" s="188">
        <f t="shared" si="2"/>
        <v>182812.5</v>
      </c>
      <c r="H12" s="188"/>
      <c r="I12" s="188"/>
      <c r="J12" s="188"/>
      <c r="K12" s="189"/>
      <c r="L12" s="190"/>
      <c r="M12" s="190"/>
      <c r="N12" s="190"/>
      <c r="O12" s="190"/>
      <c r="P12" s="190"/>
      <c r="Q12" s="190">
        <f>((F3+E3+D3+C3+G3)/120)*1.35</f>
        <v>680062.5</v>
      </c>
      <c r="R12" s="191"/>
      <c r="S12" s="179"/>
    </row>
    <row r="13" spans="1:27" s="110" customFormat="1" ht="29.25" hidden="1" customHeight="1" thickBot="1">
      <c r="A13" s="192" t="s">
        <v>49</v>
      </c>
      <c r="B13" s="193"/>
      <c r="C13" s="194"/>
      <c r="D13" s="194"/>
      <c r="E13" s="194"/>
      <c r="F13" s="194"/>
      <c r="G13" s="194"/>
      <c r="H13" s="194"/>
      <c r="I13" s="194"/>
      <c r="J13" s="194"/>
      <c r="K13" s="195"/>
      <c r="L13" s="196">
        <f>((L3/64)*1.34)</f>
        <v>163312.5</v>
      </c>
      <c r="M13" s="196">
        <f t="shared" ref="M13:O13" si="3">((M3/64)*1.34)</f>
        <v>313015.625</v>
      </c>
      <c r="N13" s="196">
        <f t="shared" si="3"/>
        <v>204140.625</v>
      </c>
      <c r="O13" s="196">
        <f t="shared" si="3"/>
        <v>340234.375</v>
      </c>
      <c r="P13" s="196"/>
      <c r="Q13" s="196">
        <f>((O3+N3+M3+L3+P3)/64)*1.34</f>
        <v>1360937.5</v>
      </c>
      <c r="R13" s="197"/>
      <c r="S13" s="198"/>
    </row>
    <row r="14" spans="1:27" ht="23.4" hidden="1">
      <c r="A14" s="199" t="s">
        <v>31</v>
      </c>
      <c r="B14" s="200">
        <v>14.2</v>
      </c>
      <c r="C14" s="201"/>
      <c r="D14" s="201"/>
      <c r="E14" s="201"/>
      <c r="F14" s="201"/>
      <c r="G14" s="201"/>
      <c r="H14" s="201"/>
      <c r="I14" s="201"/>
      <c r="J14" s="183"/>
      <c r="K14" s="202">
        <v>13.2</v>
      </c>
      <c r="L14" s="203">
        <f>(L3/64)*(K14/1000)</f>
        <v>1608.75</v>
      </c>
      <c r="M14" s="203">
        <f>(M3/64)*(K14/1000)</f>
        <v>3083.4375</v>
      </c>
      <c r="N14" s="203">
        <f>(N3/64)*(K14/1000)</f>
        <v>2010.9375</v>
      </c>
      <c r="O14" s="203">
        <f>(O3/64)*(K14/1000)</f>
        <v>3351.5625</v>
      </c>
      <c r="P14" s="203">
        <f>(P3/64)*(K14/1000)</f>
        <v>3351.5625</v>
      </c>
      <c r="Q14" s="203">
        <f>O14+N14+M14+L14+P14</f>
        <v>13406.25</v>
      </c>
      <c r="R14" s="204">
        <v>6200</v>
      </c>
      <c r="S14" s="205">
        <f t="shared" ref="S14:S22" si="4">R14-Q14</f>
        <v>-7206.25</v>
      </c>
    </row>
    <row r="15" spans="1:27" ht="23.4" hidden="1">
      <c r="A15" s="206" t="s">
        <v>30</v>
      </c>
      <c r="B15" s="207">
        <v>22.6</v>
      </c>
      <c r="C15" s="208"/>
      <c r="D15" s="208"/>
      <c r="E15" s="208"/>
      <c r="F15" s="208"/>
      <c r="G15" s="208"/>
      <c r="H15" s="208"/>
      <c r="I15" s="208"/>
      <c r="J15" s="184"/>
      <c r="K15" s="209">
        <v>22</v>
      </c>
      <c r="L15" s="210">
        <f>(L3/64)*(K15/1000)</f>
        <v>2681.25</v>
      </c>
      <c r="M15" s="210">
        <f>(M3/64)*(K15/1000)</f>
        <v>5139.0625</v>
      </c>
      <c r="N15" s="210">
        <f>(N3/64)*(K15/1000)</f>
        <v>3351.5625</v>
      </c>
      <c r="O15" s="210">
        <f>(O3/64)*(K15/1000)</f>
        <v>5585.9375</v>
      </c>
      <c r="P15" s="210">
        <f>(P3/64)*(K15/1000)</f>
        <v>5585.9375</v>
      </c>
      <c r="Q15" s="210">
        <f>O15+N15+M15+L15+P15</f>
        <v>22343.75</v>
      </c>
      <c r="R15" s="211">
        <v>8300</v>
      </c>
      <c r="S15" s="212">
        <f t="shared" si="4"/>
        <v>-14043.75</v>
      </c>
    </row>
    <row r="16" spans="1:27" ht="24" hidden="1" thickBot="1">
      <c r="A16" s="213" t="s">
        <v>32</v>
      </c>
      <c r="B16" s="214">
        <v>17.7</v>
      </c>
      <c r="C16" s="215"/>
      <c r="D16" s="215"/>
      <c r="E16" s="215"/>
      <c r="F16" s="215"/>
      <c r="G16" s="215"/>
      <c r="H16" s="215"/>
      <c r="I16" s="215"/>
      <c r="J16" s="185"/>
      <c r="K16" s="216">
        <v>17.2</v>
      </c>
      <c r="L16" s="217">
        <f>(L3/64)*(K16/1000)</f>
        <v>2096.25</v>
      </c>
      <c r="M16" s="217">
        <f>(M3/64)*(K16/1000)</f>
        <v>4017.8125</v>
      </c>
      <c r="N16" s="217">
        <f>(N3/64)*(K16/1000)</f>
        <v>2620.3125</v>
      </c>
      <c r="O16" s="217">
        <f>(O3/64)*(K16/1000)</f>
        <v>4367.1875</v>
      </c>
      <c r="P16" s="217">
        <f>(P3/64)*(K16/1000)</f>
        <v>4367.1875</v>
      </c>
      <c r="Q16" s="217">
        <f>O16+N16+M16+L16+P16</f>
        <v>17468.75</v>
      </c>
      <c r="R16" s="218">
        <v>5800</v>
      </c>
      <c r="S16" s="219">
        <f t="shared" si="4"/>
        <v>-11668.75</v>
      </c>
    </row>
    <row r="17" spans="1:19" ht="23.4">
      <c r="A17" s="220" t="s">
        <v>10</v>
      </c>
      <c r="B17" s="200">
        <v>28</v>
      </c>
      <c r="C17" s="201">
        <f>(C3/120)*(B17/1000)</f>
        <v>758.33333333333337</v>
      </c>
      <c r="D17" s="201">
        <f>(D3/120)*(B17/1000)</f>
        <v>3488.3333333333335</v>
      </c>
      <c r="E17" s="201">
        <f>(E3/120)*(B17/1000)</f>
        <v>2275</v>
      </c>
      <c r="F17" s="201">
        <f>(F3/120)*($B$17/1000)</f>
        <v>3791.6666666666665</v>
      </c>
      <c r="G17" s="201">
        <f>(G3/120)*($B$17/1000)</f>
        <v>3791.6666666666665</v>
      </c>
      <c r="H17" s="201">
        <f t="shared" ref="H17:I17" si="5">(H3/120)*($B$17/1000)</f>
        <v>3791.6666666666665</v>
      </c>
      <c r="I17" s="201">
        <f t="shared" si="5"/>
        <v>3791.6666666666665</v>
      </c>
      <c r="J17" s="183"/>
      <c r="K17" s="202">
        <v>24.4</v>
      </c>
      <c r="L17" s="203"/>
      <c r="M17" s="203"/>
      <c r="N17" s="203"/>
      <c r="O17" s="203"/>
      <c r="P17" s="203"/>
      <c r="Q17" s="203">
        <f>D17+C17+E17+F17+G17+H17+I17</f>
        <v>21688.333333333336</v>
      </c>
      <c r="R17" s="204">
        <f>9600+18720</f>
        <v>28320</v>
      </c>
      <c r="S17" s="205">
        <f t="shared" si="4"/>
        <v>6631.6666666666642</v>
      </c>
    </row>
    <row r="18" spans="1:19" ht="23.4">
      <c r="A18" s="221" t="s">
        <v>11</v>
      </c>
      <c r="B18" s="207">
        <v>16.399999999999999</v>
      </c>
      <c r="C18" s="208">
        <f t="shared" ref="C18:I18" si="6">(C3/120)*($B$18/1000)</f>
        <v>444.16666666666657</v>
      </c>
      <c r="D18" s="208">
        <f t="shared" si="6"/>
        <v>2043.1666666666663</v>
      </c>
      <c r="E18" s="208">
        <f t="shared" si="6"/>
        <v>1332.4999999999998</v>
      </c>
      <c r="F18" s="208">
        <f t="shared" si="6"/>
        <v>2220.833333333333</v>
      </c>
      <c r="G18" s="208">
        <f t="shared" si="6"/>
        <v>2220.833333333333</v>
      </c>
      <c r="H18" s="208">
        <f t="shared" si="6"/>
        <v>2220.833333333333</v>
      </c>
      <c r="I18" s="208">
        <f t="shared" si="6"/>
        <v>2220.833333333333</v>
      </c>
      <c r="J18" s="184"/>
      <c r="K18" s="209">
        <v>14.2</v>
      </c>
      <c r="L18" s="210"/>
      <c r="M18" s="210"/>
      <c r="N18" s="210"/>
      <c r="O18" s="210"/>
      <c r="P18" s="210"/>
      <c r="Q18" s="210">
        <f>D18+C18+E18+F18+G18+H18+I18</f>
        <v>12703.166666666664</v>
      </c>
      <c r="R18" s="211">
        <f>7200+10800</f>
        <v>18000</v>
      </c>
      <c r="S18" s="212">
        <f t="shared" si="4"/>
        <v>5296.8333333333358</v>
      </c>
    </row>
    <row r="19" spans="1:19" ht="24" thickBot="1">
      <c r="A19" s="222" t="s">
        <v>12</v>
      </c>
      <c r="B19" s="214">
        <v>15</v>
      </c>
      <c r="C19" s="215">
        <f t="shared" ref="C19:I19" si="7">((C3)/120)*($B$19/1000)</f>
        <v>406.24999999999994</v>
      </c>
      <c r="D19" s="215">
        <f t="shared" si="7"/>
        <v>1868.7499999999998</v>
      </c>
      <c r="E19" s="215">
        <f t="shared" si="7"/>
        <v>1218.75</v>
      </c>
      <c r="F19" s="215">
        <f t="shared" si="7"/>
        <v>2031.2499999999998</v>
      </c>
      <c r="G19" s="215">
        <f t="shared" si="7"/>
        <v>2031.2499999999998</v>
      </c>
      <c r="H19" s="215">
        <f t="shared" si="7"/>
        <v>2031.2499999999998</v>
      </c>
      <c r="I19" s="215">
        <f t="shared" si="7"/>
        <v>2031.2499999999998</v>
      </c>
      <c r="J19" s="185"/>
      <c r="K19" s="216">
        <v>12.8</v>
      </c>
      <c r="L19" s="217"/>
      <c r="M19" s="217"/>
      <c r="N19" s="217"/>
      <c r="O19" s="217"/>
      <c r="P19" s="217"/>
      <c r="Q19" s="217">
        <f>D19+C19+E19+F19+G19+H19+I19</f>
        <v>11618.749999999998</v>
      </c>
      <c r="R19" s="218">
        <f>6200+8800</f>
        <v>15000</v>
      </c>
      <c r="S19" s="219">
        <f t="shared" si="4"/>
        <v>3381.2500000000018</v>
      </c>
    </row>
    <row r="20" spans="1:19" ht="18.75" hidden="1" customHeight="1" thickBot="1">
      <c r="A20" s="123" t="s">
        <v>17</v>
      </c>
      <c r="B20" s="117">
        <v>2.5999999999999998E-5</v>
      </c>
      <c r="C20" s="125">
        <f>C3*$B$20</f>
        <v>84.5</v>
      </c>
      <c r="D20" s="125">
        <f>D3*$B$20</f>
        <v>388.7</v>
      </c>
      <c r="E20" s="125">
        <f t="shared" ref="E20:G20" si="8">E3*$B$20</f>
        <v>253.49999999999997</v>
      </c>
      <c r="F20" s="125">
        <f t="shared" si="8"/>
        <v>422.5</v>
      </c>
      <c r="G20" s="125">
        <f t="shared" si="8"/>
        <v>422.5</v>
      </c>
      <c r="H20" s="125"/>
      <c r="I20" s="125"/>
      <c r="J20" s="125"/>
      <c r="K20" s="118">
        <v>2.9E-5</v>
      </c>
      <c r="L20" s="118">
        <f>L3*$K$20</f>
        <v>226.2</v>
      </c>
      <c r="M20" s="118">
        <f>M3*$K$20</f>
        <v>433.55</v>
      </c>
      <c r="N20" s="118">
        <f t="shared" ref="N20:P20" si="9">N3*$K$20</f>
        <v>282.75</v>
      </c>
      <c r="O20" s="118">
        <f t="shared" si="9"/>
        <v>471.25</v>
      </c>
      <c r="P20" s="132">
        <f t="shared" si="9"/>
        <v>471.25</v>
      </c>
      <c r="Q20" s="126">
        <f>(SUM(C20:G20)+SUM(L20:P20))</f>
        <v>3456.7</v>
      </c>
      <c r="R20" s="127">
        <v>2400</v>
      </c>
      <c r="S20" s="119">
        <f t="shared" si="4"/>
        <v>-1056.6999999999998</v>
      </c>
    </row>
    <row r="21" spans="1:19" ht="18.75" hidden="1" customHeight="1" thickBot="1">
      <c r="A21" s="124" t="s">
        <v>18</v>
      </c>
      <c r="B21" s="120">
        <v>3.1199999999999999E-5</v>
      </c>
      <c r="C21" s="128">
        <f>C3*$B$21</f>
        <v>101.39999999999999</v>
      </c>
      <c r="D21" s="128">
        <f>D3*$B$21</f>
        <v>466.44</v>
      </c>
      <c r="E21" s="128">
        <f t="shared" ref="E21:G21" si="10">E3*$B$21</f>
        <v>304.2</v>
      </c>
      <c r="F21" s="128">
        <f t="shared" si="10"/>
        <v>507</v>
      </c>
      <c r="G21" s="128">
        <f t="shared" si="10"/>
        <v>507</v>
      </c>
      <c r="H21" s="128"/>
      <c r="I21" s="128"/>
      <c r="J21" s="128"/>
      <c r="K21" s="121">
        <v>3.4E-5</v>
      </c>
      <c r="L21" s="121">
        <f>L3*$K$21</f>
        <v>265.2</v>
      </c>
      <c r="M21" s="121">
        <f>M3*$K$21</f>
        <v>508.3</v>
      </c>
      <c r="N21" s="121">
        <f t="shared" ref="N21:P21" si="11">N3*$K$21</f>
        <v>331.5</v>
      </c>
      <c r="O21" s="121">
        <f t="shared" si="11"/>
        <v>552.5</v>
      </c>
      <c r="P21" s="133">
        <f t="shared" si="11"/>
        <v>552.5</v>
      </c>
      <c r="Q21" s="126">
        <f>(SUM(C21:G21)+SUM(L21:P21))</f>
        <v>4096.04</v>
      </c>
      <c r="R21" s="129">
        <v>2904</v>
      </c>
      <c r="S21" s="122">
        <f t="shared" si="4"/>
        <v>-1192.04</v>
      </c>
    </row>
    <row r="22" spans="1:19" ht="18.75" hidden="1" customHeight="1">
      <c r="A22" s="231" t="s">
        <v>13</v>
      </c>
      <c r="B22" s="234">
        <v>1.6000000000000001E-4</v>
      </c>
      <c r="C22" s="237">
        <f>C3*$B$22</f>
        <v>520</v>
      </c>
      <c r="D22" s="237">
        <f>D3*$B$22</f>
        <v>2392</v>
      </c>
      <c r="E22" s="237">
        <f t="shared" ref="E22:F22" si="12">E3*$B$22</f>
        <v>1560.0000000000002</v>
      </c>
      <c r="F22" s="237">
        <f t="shared" si="12"/>
        <v>2600</v>
      </c>
      <c r="G22" s="237">
        <f t="shared" ref="G22" si="13">G3*$B$22</f>
        <v>2600</v>
      </c>
      <c r="H22" s="138"/>
      <c r="I22" s="138"/>
      <c r="J22" s="237"/>
      <c r="K22" s="240">
        <v>1.8000000000000001E-4</v>
      </c>
      <c r="L22" s="228">
        <f>L3*$K$22</f>
        <v>1404</v>
      </c>
      <c r="M22" s="228">
        <f>M3*$K$22</f>
        <v>2691</v>
      </c>
      <c r="N22" s="228">
        <f t="shared" ref="N22:O22" si="14">N3*$K$22</f>
        <v>1755</v>
      </c>
      <c r="O22" s="228">
        <f t="shared" si="14"/>
        <v>2925</v>
      </c>
      <c r="P22" s="228">
        <f t="shared" ref="P22" si="15">P3*$K$22</f>
        <v>2925</v>
      </c>
      <c r="Q22" s="228">
        <f>((SUM(C22:G24))+SUM(L22:P24))</f>
        <v>21372</v>
      </c>
      <c r="R22" s="246">
        <v>5786</v>
      </c>
      <c r="S22" s="249">
        <f t="shared" si="4"/>
        <v>-15586</v>
      </c>
    </row>
    <row r="23" spans="1:19" ht="15" hidden="1" customHeight="1">
      <c r="A23" s="232"/>
      <c r="B23" s="235"/>
      <c r="C23" s="238"/>
      <c r="D23" s="238"/>
      <c r="E23" s="238"/>
      <c r="F23" s="238"/>
      <c r="G23" s="238"/>
      <c r="H23" s="139"/>
      <c r="I23" s="139"/>
      <c r="J23" s="238"/>
      <c r="K23" s="241"/>
      <c r="L23" s="229"/>
      <c r="M23" s="229"/>
      <c r="N23" s="229"/>
      <c r="O23" s="229"/>
      <c r="P23" s="229"/>
      <c r="Q23" s="229"/>
      <c r="R23" s="247"/>
      <c r="S23" s="250"/>
    </row>
    <row r="24" spans="1:19" ht="15.75" hidden="1" customHeight="1" thickBot="1">
      <c r="A24" s="233"/>
      <c r="B24" s="236"/>
      <c r="C24" s="239"/>
      <c r="D24" s="239"/>
      <c r="E24" s="239"/>
      <c r="F24" s="239"/>
      <c r="G24" s="239"/>
      <c r="H24" s="140"/>
      <c r="I24" s="140"/>
      <c r="J24" s="239"/>
      <c r="K24" s="242"/>
      <c r="L24" s="230"/>
      <c r="M24" s="230"/>
      <c r="N24" s="230"/>
      <c r="O24" s="230"/>
      <c r="P24" s="230"/>
      <c r="Q24" s="230"/>
      <c r="R24" s="248"/>
      <c r="S24" s="251"/>
    </row>
    <row r="25" spans="1:19" ht="15" hidden="1" customHeight="1">
      <c r="A25" s="231" t="s">
        <v>14</v>
      </c>
      <c r="B25" s="234">
        <v>70</v>
      </c>
      <c r="C25" s="243">
        <f t="shared" ref="C25:F25" si="16">C2*$B$25</f>
        <v>350</v>
      </c>
      <c r="D25" s="243">
        <f t="shared" si="16"/>
        <v>1610</v>
      </c>
      <c r="E25" s="243">
        <f t="shared" si="16"/>
        <v>1050</v>
      </c>
      <c r="F25" s="243">
        <f t="shared" si="16"/>
        <v>1750</v>
      </c>
      <c r="G25" s="243">
        <f t="shared" ref="G25" si="17">G2*$B$25</f>
        <v>1750</v>
      </c>
      <c r="H25" s="135"/>
      <c r="I25" s="135"/>
      <c r="J25" s="243">
        <f>F25+E25+D25+C25+G25</f>
        <v>6510</v>
      </c>
      <c r="K25" s="252"/>
      <c r="L25" s="228"/>
      <c r="M25" s="228"/>
      <c r="N25" s="228"/>
      <c r="O25" s="228"/>
      <c r="P25" s="255"/>
      <c r="Q25" s="228">
        <f>J25</f>
        <v>6510</v>
      </c>
      <c r="R25" s="246">
        <v>1960</v>
      </c>
      <c r="S25" s="249">
        <f>R25-Q25</f>
        <v>-4550</v>
      </c>
    </row>
    <row r="26" spans="1:19" ht="15" hidden="1" customHeight="1">
      <c r="A26" s="232"/>
      <c r="B26" s="235"/>
      <c r="C26" s="244"/>
      <c r="D26" s="244"/>
      <c r="E26" s="244"/>
      <c r="F26" s="244"/>
      <c r="G26" s="244"/>
      <c r="H26" s="136"/>
      <c r="I26" s="136"/>
      <c r="J26" s="244"/>
      <c r="K26" s="253"/>
      <c r="L26" s="229"/>
      <c r="M26" s="229"/>
      <c r="N26" s="229"/>
      <c r="O26" s="229"/>
      <c r="P26" s="256"/>
      <c r="Q26" s="229"/>
      <c r="R26" s="247"/>
      <c r="S26" s="250"/>
    </row>
    <row r="27" spans="1:19" ht="15.75" hidden="1" customHeight="1" thickBot="1">
      <c r="A27" s="233"/>
      <c r="B27" s="236"/>
      <c r="C27" s="245"/>
      <c r="D27" s="245"/>
      <c r="E27" s="245"/>
      <c r="F27" s="245"/>
      <c r="G27" s="245"/>
      <c r="H27" s="137"/>
      <c r="I27" s="137"/>
      <c r="J27" s="245"/>
      <c r="K27" s="254"/>
      <c r="L27" s="230"/>
      <c r="M27" s="230"/>
      <c r="N27" s="230"/>
      <c r="O27" s="230"/>
      <c r="P27" s="257"/>
      <c r="Q27" s="230"/>
      <c r="R27" s="248"/>
      <c r="S27" s="251"/>
    </row>
    <row r="28" spans="1:19" ht="21" hidden="1" customHeight="1" thickBot="1">
      <c r="A28" s="113" t="s">
        <v>15</v>
      </c>
      <c r="B28" s="130">
        <v>2.1250000000000002E-3</v>
      </c>
      <c r="C28" s="114">
        <f>C3*$B$28</f>
        <v>6906.2500000000009</v>
      </c>
      <c r="D28" s="114">
        <f>D3*$B$28</f>
        <v>31768.750000000004</v>
      </c>
      <c r="E28" s="114">
        <f t="shared" ref="E28:G28" si="18">E3*$B$28</f>
        <v>20718.75</v>
      </c>
      <c r="F28" s="114">
        <f t="shared" si="18"/>
        <v>34531.25</v>
      </c>
      <c r="G28" s="114">
        <f t="shared" si="18"/>
        <v>34531.25</v>
      </c>
      <c r="H28" s="114"/>
      <c r="I28" s="114"/>
      <c r="J28" s="114"/>
      <c r="K28" s="115">
        <v>2.1250000000000002E-3</v>
      </c>
      <c r="L28" s="116">
        <f>L3*$K$28</f>
        <v>16575</v>
      </c>
      <c r="M28" s="116">
        <f>M3*$K$28</f>
        <v>31768.750000000004</v>
      </c>
      <c r="N28" s="116">
        <f t="shared" ref="N28:P28" si="19">N3*$K$28</f>
        <v>20718.75</v>
      </c>
      <c r="O28" s="116">
        <f t="shared" si="19"/>
        <v>34531.25</v>
      </c>
      <c r="P28" s="116">
        <f t="shared" si="19"/>
        <v>34531.25</v>
      </c>
      <c r="Q28" s="116"/>
      <c r="R28" s="131"/>
      <c r="S28" s="112"/>
    </row>
  </sheetData>
  <mergeCells count="77">
    <mergeCell ref="G25:G27"/>
    <mergeCell ref="P25:P27"/>
    <mergeCell ref="P22:P24"/>
    <mergeCell ref="G22:G24"/>
    <mergeCell ref="G8:G11"/>
    <mergeCell ref="S8:S9"/>
    <mergeCell ref="S10:S11"/>
    <mergeCell ref="Q8:Q9"/>
    <mergeCell ref="Q10:Q11"/>
    <mergeCell ref="P8:P11"/>
    <mergeCell ref="S1:S2"/>
    <mergeCell ref="S4:S5"/>
    <mergeCell ref="S6:S7"/>
    <mergeCell ref="R4:R5"/>
    <mergeCell ref="R6:R7"/>
    <mergeCell ref="F4:F7"/>
    <mergeCell ref="E4:E7"/>
    <mergeCell ref="Q1:Q2"/>
    <mergeCell ref="J1:J2"/>
    <mergeCell ref="R1:R2"/>
    <mergeCell ref="Q4:Q7"/>
    <mergeCell ref="J4:J7"/>
    <mergeCell ref="K4:K7"/>
    <mergeCell ref="L4:L7"/>
    <mergeCell ref="M4:M7"/>
    <mergeCell ref="N4:N7"/>
    <mergeCell ref="O4:O7"/>
    <mergeCell ref="P4:P7"/>
    <mergeCell ref="G4:G7"/>
    <mergeCell ref="D4:D7"/>
    <mergeCell ref="A8:A11"/>
    <mergeCell ref="B8:B11"/>
    <mergeCell ref="C8:C11"/>
    <mergeCell ref="D8:D11"/>
    <mergeCell ref="A4:A7"/>
    <mergeCell ref="B4:B7"/>
    <mergeCell ref="C4:C7"/>
    <mergeCell ref="A22:A24"/>
    <mergeCell ref="R22:R24"/>
    <mergeCell ref="J8:J11"/>
    <mergeCell ref="K8:K11"/>
    <mergeCell ref="L8:L11"/>
    <mergeCell ref="K22:K24"/>
    <mergeCell ref="B22:B24"/>
    <mergeCell ref="C22:C24"/>
    <mergeCell ref="D22:D24"/>
    <mergeCell ref="N8:N11"/>
    <mergeCell ref="O8:O11"/>
    <mergeCell ref="E8:E11"/>
    <mergeCell ref="F8:F11"/>
    <mergeCell ref="M8:M11"/>
    <mergeCell ref="R8:R9"/>
    <mergeCell ref="R10:R11"/>
    <mergeCell ref="Q25:Q27"/>
    <mergeCell ref="M25:M27"/>
    <mergeCell ref="L25:L27"/>
    <mergeCell ref="L22:L24"/>
    <mergeCell ref="M22:M24"/>
    <mergeCell ref="Q22:Q24"/>
    <mergeCell ref="N25:N27"/>
    <mergeCell ref="O25:O27"/>
    <mergeCell ref="A25:A27"/>
    <mergeCell ref="B25:B27"/>
    <mergeCell ref="C25:C27"/>
    <mergeCell ref="S22:S24"/>
    <mergeCell ref="S25:S27"/>
    <mergeCell ref="D25:D27"/>
    <mergeCell ref="J25:J27"/>
    <mergeCell ref="K25:K27"/>
    <mergeCell ref="J22:J24"/>
    <mergeCell ref="R25:R27"/>
    <mergeCell ref="E22:E24"/>
    <mergeCell ref="F22:F24"/>
    <mergeCell ref="N22:N24"/>
    <mergeCell ref="O22:O24"/>
    <mergeCell ref="E25:E27"/>
    <mergeCell ref="F25:F27"/>
  </mergeCells>
  <pageMargins left="0.16" right="0.23622047244094491" top="0.4" bottom="0.19685039370078741" header="0.16" footer="0.31496062992125984"/>
  <pageSetup paperSize="9" scale="5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6"/>
  <sheetViews>
    <sheetView rightToLeft="1" zoomScale="90" zoomScaleNormal="90" workbookViewId="0">
      <pane ySplit="3" topLeftCell="A4" activePane="bottomLeft" state="frozen"/>
      <selection pane="bottomLeft" activeCell="D28" sqref="D28"/>
    </sheetView>
  </sheetViews>
  <sheetFormatPr defaultColWidth="6.109375" defaultRowHeight="14.4"/>
  <cols>
    <col min="1" max="1" width="14" style="1" bestFit="1" customWidth="1"/>
    <col min="2" max="2" width="11.109375" style="1" bestFit="1" customWidth="1"/>
    <col min="3" max="3" width="15.44140625" style="1" bestFit="1" customWidth="1"/>
    <col min="4" max="4" width="11.109375" style="1" bestFit="1" customWidth="1"/>
    <col min="5" max="5" width="10.5546875" style="1" bestFit="1" customWidth="1"/>
    <col min="6" max="6" width="10.33203125" style="1" bestFit="1" customWidth="1"/>
    <col min="7" max="7" width="5" style="1" bestFit="1" customWidth="1"/>
    <col min="8" max="8" width="12.33203125" style="1" bestFit="1" customWidth="1"/>
    <col min="9" max="9" width="10.44140625" style="1" bestFit="1" customWidth="1"/>
    <col min="10" max="16384" width="6.109375" style="1"/>
  </cols>
  <sheetData>
    <row r="1" spans="1:9" ht="39.75" customHeight="1">
      <c r="A1" s="51" t="s">
        <v>0</v>
      </c>
      <c r="B1" s="45" t="s">
        <v>1</v>
      </c>
      <c r="C1" s="37" t="s">
        <v>42</v>
      </c>
      <c r="D1" s="37" t="s">
        <v>5</v>
      </c>
      <c r="E1" s="37" t="s">
        <v>43</v>
      </c>
      <c r="F1" s="343" t="s">
        <v>6</v>
      </c>
      <c r="G1" s="343" t="s">
        <v>26</v>
      </c>
      <c r="H1" s="343" t="s">
        <v>27</v>
      </c>
      <c r="I1" s="347" t="s">
        <v>7</v>
      </c>
    </row>
    <row r="2" spans="1:9" ht="15" thickBot="1">
      <c r="A2" s="52" t="s">
        <v>43</v>
      </c>
      <c r="B2" s="46"/>
      <c r="C2" s="93">
        <v>966397</v>
      </c>
      <c r="D2" s="38"/>
      <c r="E2" s="93"/>
      <c r="F2" s="344"/>
      <c r="G2" s="344"/>
      <c r="H2" s="344"/>
      <c r="I2" s="348"/>
    </row>
    <row r="3" spans="1:9" ht="15" hidden="1" thickBot="1">
      <c r="A3" s="53" t="s">
        <v>29</v>
      </c>
      <c r="B3" s="92">
        <v>1.35</v>
      </c>
      <c r="C3" s="34">
        <f>(C2/1.35)*120</f>
        <v>85901955.555555552</v>
      </c>
      <c r="D3" s="91">
        <v>1.34</v>
      </c>
      <c r="E3" s="35">
        <f>(E2/1.34)*64</f>
        <v>0</v>
      </c>
      <c r="F3" s="35"/>
      <c r="G3" s="35"/>
      <c r="H3" s="36"/>
      <c r="I3" s="30"/>
    </row>
    <row r="4" spans="1:9" hidden="1">
      <c r="A4" s="309" t="s">
        <v>8</v>
      </c>
      <c r="B4" s="312"/>
      <c r="C4" s="329"/>
      <c r="D4" s="332"/>
      <c r="E4" s="349"/>
      <c r="F4" s="349"/>
      <c r="G4" s="349">
        <v>73</v>
      </c>
      <c r="H4" s="345"/>
      <c r="I4" s="306"/>
    </row>
    <row r="5" spans="1:9" hidden="1">
      <c r="A5" s="310"/>
      <c r="B5" s="313"/>
      <c r="C5" s="330"/>
      <c r="D5" s="333"/>
      <c r="E5" s="350"/>
      <c r="F5" s="350"/>
      <c r="G5" s="350"/>
      <c r="H5" s="346"/>
      <c r="I5" s="307"/>
    </row>
    <row r="6" spans="1:9" hidden="1">
      <c r="A6" s="310"/>
      <c r="B6" s="313"/>
      <c r="C6" s="330"/>
      <c r="D6" s="333"/>
      <c r="E6" s="350"/>
      <c r="F6" s="350"/>
      <c r="G6" s="350">
        <v>99</v>
      </c>
      <c r="H6" s="346"/>
      <c r="I6" s="307"/>
    </row>
    <row r="7" spans="1:9" ht="15" hidden="1" thickBot="1">
      <c r="A7" s="311"/>
      <c r="B7" s="314"/>
      <c r="C7" s="331"/>
      <c r="D7" s="334"/>
      <c r="E7" s="351"/>
      <c r="F7" s="351"/>
      <c r="G7" s="351"/>
      <c r="H7" s="352"/>
      <c r="I7" s="308"/>
    </row>
    <row r="8" spans="1:9" hidden="1">
      <c r="A8" s="309" t="s">
        <v>9</v>
      </c>
      <c r="B8" s="312">
        <v>45</v>
      </c>
      <c r="C8" s="315">
        <f>(C3/700000)*B8</f>
        <v>5522.2685714285708</v>
      </c>
      <c r="D8" s="332">
        <v>45</v>
      </c>
      <c r="E8" s="321">
        <f>(E3/650000)*45</f>
        <v>0</v>
      </c>
      <c r="F8" s="321"/>
      <c r="G8" s="321">
        <v>73</v>
      </c>
      <c r="H8" s="335">
        <f>710+2500+500</f>
        <v>3710</v>
      </c>
      <c r="I8" s="337">
        <f>H8-C8</f>
        <v>-1812.2685714285708</v>
      </c>
    </row>
    <row r="9" spans="1:9" ht="15" hidden="1" customHeight="1">
      <c r="A9" s="310"/>
      <c r="B9" s="313"/>
      <c r="C9" s="316"/>
      <c r="D9" s="333"/>
      <c r="E9" s="322"/>
      <c r="F9" s="322"/>
      <c r="G9" s="322"/>
      <c r="H9" s="336"/>
      <c r="I9" s="338"/>
    </row>
    <row r="10" spans="1:9" ht="15" hidden="1" customHeight="1">
      <c r="A10" s="310"/>
      <c r="B10" s="313"/>
      <c r="C10" s="316"/>
      <c r="D10" s="333"/>
      <c r="E10" s="322"/>
      <c r="F10" s="322"/>
      <c r="G10" s="322">
        <v>99</v>
      </c>
      <c r="H10" s="339">
        <f>1402.7+2500+500</f>
        <v>4402.7</v>
      </c>
      <c r="I10" s="341">
        <f>H10-E8</f>
        <v>4402.7</v>
      </c>
    </row>
    <row r="11" spans="1:9" ht="15" hidden="1" customHeight="1" thickBot="1">
      <c r="A11" s="311"/>
      <c r="B11" s="314"/>
      <c r="C11" s="317"/>
      <c r="D11" s="334"/>
      <c r="E11" s="323"/>
      <c r="F11" s="323"/>
      <c r="G11" s="323"/>
      <c r="H11" s="340"/>
      <c r="I11" s="342"/>
    </row>
    <row r="12" spans="1:9" hidden="1">
      <c r="A12" s="56" t="s">
        <v>31</v>
      </c>
      <c r="B12" s="48"/>
      <c r="C12" s="39"/>
      <c r="D12" s="11">
        <v>14.3</v>
      </c>
      <c r="E12" s="40">
        <f>(E3/64)*(D12/1000)</f>
        <v>0</v>
      </c>
      <c r="F12" s="40"/>
      <c r="G12" s="40"/>
      <c r="H12" s="41">
        <v>3200</v>
      </c>
      <c r="I12" s="12">
        <f>H12-E12</f>
        <v>3200</v>
      </c>
    </row>
    <row r="13" spans="1:9" hidden="1">
      <c r="A13" s="57" t="s">
        <v>30</v>
      </c>
      <c r="B13" s="47"/>
      <c r="C13" s="3"/>
      <c r="D13" s="9">
        <v>18.600000000000001</v>
      </c>
      <c r="E13" s="5">
        <f>(E3/64)*(D13/1000)</f>
        <v>0</v>
      </c>
      <c r="F13" s="5"/>
      <c r="G13" s="5"/>
      <c r="H13" s="10">
        <v>4320</v>
      </c>
      <c r="I13" s="4">
        <f>H13-E13</f>
        <v>4320</v>
      </c>
    </row>
    <row r="14" spans="1:9" ht="15" hidden="1" thickBot="1">
      <c r="A14" s="58" t="s">
        <v>32</v>
      </c>
      <c r="B14" s="49"/>
      <c r="C14" s="42"/>
      <c r="D14" s="17">
        <v>13.7</v>
      </c>
      <c r="E14" s="43">
        <f>(E3/64)*(D14/1000)</f>
        <v>0</v>
      </c>
      <c r="F14" s="43"/>
      <c r="G14" s="43"/>
      <c r="H14" s="44">
        <v>3125</v>
      </c>
      <c r="I14" s="18">
        <f>H14-E14</f>
        <v>3125</v>
      </c>
    </row>
    <row r="15" spans="1:9">
      <c r="A15" s="59" t="s">
        <v>10</v>
      </c>
      <c r="B15" s="48">
        <v>28</v>
      </c>
      <c r="C15" s="39">
        <f>(C2/1.35)*(B15/1000)</f>
        <v>20043.789629629628</v>
      </c>
      <c r="D15" s="11"/>
      <c r="E15" s="40"/>
      <c r="F15" s="40"/>
      <c r="G15" s="40"/>
      <c r="H15" s="41">
        <f>15360+18720</f>
        <v>34080</v>
      </c>
      <c r="I15" s="12">
        <f>H15-C15</f>
        <v>14036.210370370372</v>
      </c>
    </row>
    <row r="16" spans="1:9">
      <c r="A16" s="54" t="s">
        <v>11</v>
      </c>
      <c r="B16" s="47">
        <v>16.399999999999999</v>
      </c>
      <c r="C16" s="3">
        <f>(C3/120)*($B$16/1000)</f>
        <v>11739.933925925923</v>
      </c>
      <c r="D16" s="9"/>
      <c r="E16" s="5"/>
      <c r="F16" s="5"/>
      <c r="G16" s="5"/>
      <c r="H16" s="10">
        <f>10820+10800</f>
        <v>21620</v>
      </c>
      <c r="I16" s="4">
        <f>H16-C16</f>
        <v>9880.0660740740768</v>
      </c>
    </row>
    <row r="17" spans="1:9" ht="15" thickBot="1">
      <c r="A17" s="55" t="s">
        <v>12</v>
      </c>
      <c r="B17" s="49">
        <v>13.8</v>
      </c>
      <c r="C17" s="42">
        <f>((C3)/120)*($B$17/1000)</f>
        <v>9878.724888888888</v>
      </c>
      <c r="D17" s="17"/>
      <c r="E17" s="43"/>
      <c r="F17" s="43"/>
      <c r="G17" s="43"/>
      <c r="H17" s="44">
        <f>8730+8800</f>
        <v>17530</v>
      </c>
      <c r="I17" s="18">
        <f>H17-C17</f>
        <v>7651.275111111112</v>
      </c>
    </row>
    <row r="18" spans="1:9" ht="18.75" hidden="1" customHeight="1">
      <c r="A18" s="59" t="s">
        <v>17</v>
      </c>
      <c r="B18" s="48">
        <v>2.6599999999999999E-5</v>
      </c>
      <c r="C18" s="6">
        <f>C3*$B$18</f>
        <v>2284.9920177777776</v>
      </c>
      <c r="D18" s="11">
        <v>2.8500000000000002E-5</v>
      </c>
      <c r="E18" s="11">
        <f>E3*$D$18</f>
        <v>0</v>
      </c>
      <c r="F18" s="22">
        <f>E18+C18</f>
        <v>2284.9920177777776</v>
      </c>
      <c r="G18" s="327"/>
      <c r="H18" s="23">
        <v>1400</v>
      </c>
      <c r="I18" s="12">
        <f>H18-F18</f>
        <v>-884.99201777777762</v>
      </c>
    </row>
    <row r="19" spans="1:9" ht="18.75" hidden="1" customHeight="1" thickBot="1">
      <c r="A19" s="55" t="s">
        <v>18</v>
      </c>
      <c r="B19" s="49">
        <v>3.1199999999999999E-5</v>
      </c>
      <c r="C19" s="7">
        <f>C3*$B$19</f>
        <v>2680.1410133333334</v>
      </c>
      <c r="D19" s="17">
        <v>3.7100000000000001E-5</v>
      </c>
      <c r="E19" s="17">
        <f>E3*$D$19</f>
        <v>0</v>
      </c>
      <c r="F19" s="24">
        <f>E19+C19</f>
        <v>2680.1410133333334</v>
      </c>
      <c r="G19" s="328"/>
      <c r="H19" s="25">
        <v>2155</v>
      </c>
      <c r="I19" s="18">
        <f>H19-F19</f>
        <v>-525.14101333333338</v>
      </c>
    </row>
    <row r="20" spans="1:9" hidden="1">
      <c r="A20" s="309" t="s">
        <v>13</v>
      </c>
      <c r="B20" s="312">
        <v>1.8000000000000001E-4</v>
      </c>
      <c r="C20" s="329">
        <f>C3*$B$20</f>
        <v>15462.352000000001</v>
      </c>
      <c r="D20" s="332">
        <v>1.75E-4</v>
      </c>
      <c r="E20" s="321">
        <f>E3*$D$20</f>
        <v>0</v>
      </c>
      <c r="F20" s="321">
        <f>E20+C20</f>
        <v>15462.352000000001</v>
      </c>
      <c r="G20" s="321"/>
      <c r="H20" s="303">
        <v>3916</v>
      </c>
      <c r="I20" s="306">
        <f>H20-F20</f>
        <v>-11546.352000000001</v>
      </c>
    </row>
    <row r="21" spans="1:9" hidden="1">
      <c r="A21" s="310"/>
      <c r="B21" s="313"/>
      <c r="C21" s="330"/>
      <c r="D21" s="333"/>
      <c r="E21" s="322"/>
      <c r="F21" s="322"/>
      <c r="G21" s="322"/>
      <c r="H21" s="304"/>
      <c r="I21" s="307"/>
    </row>
    <row r="22" spans="1:9" ht="15" hidden="1" thickBot="1">
      <c r="A22" s="311"/>
      <c r="B22" s="314"/>
      <c r="C22" s="331"/>
      <c r="D22" s="334"/>
      <c r="E22" s="323"/>
      <c r="F22" s="323"/>
      <c r="G22" s="323"/>
      <c r="H22" s="305"/>
      <c r="I22" s="308"/>
    </row>
    <row r="23" spans="1:9" hidden="1">
      <c r="A23" s="309" t="s">
        <v>14</v>
      </c>
      <c r="B23" s="312">
        <v>4.1999999999999998E-5</v>
      </c>
      <c r="C23" s="315">
        <f>C3*$B$23</f>
        <v>3607.8821333333331</v>
      </c>
      <c r="D23" s="318">
        <v>6.2000000000000003E-5</v>
      </c>
      <c r="E23" s="321">
        <f>E3*$D$23</f>
        <v>0</v>
      </c>
      <c r="F23" s="321">
        <f>E23+C23</f>
        <v>3607.8821333333331</v>
      </c>
      <c r="G23" s="324"/>
      <c r="H23" s="303">
        <v>1970</v>
      </c>
      <c r="I23" s="306">
        <f>H23-F23</f>
        <v>-1637.8821333333331</v>
      </c>
    </row>
    <row r="24" spans="1:9" hidden="1">
      <c r="A24" s="310"/>
      <c r="B24" s="313"/>
      <c r="C24" s="316"/>
      <c r="D24" s="319"/>
      <c r="E24" s="322"/>
      <c r="F24" s="322"/>
      <c r="G24" s="325"/>
      <c r="H24" s="304"/>
      <c r="I24" s="307"/>
    </row>
    <row r="25" spans="1:9" ht="15" hidden="1" thickBot="1">
      <c r="A25" s="311"/>
      <c r="B25" s="314"/>
      <c r="C25" s="317"/>
      <c r="D25" s="320"/>
      <c r="E25" s="323"/>
      <c r="F25" s="323"/>
      <c r="G25" s="326"/>
      <c r="H25" s="305"/>
      <c r="I25" s="308"/>
    </row>
    <row r="26" spans="1:9" ht="21" hidden="1" customHeight="1" thickBot="1">
      <c r="A26" s="60" t="s">
        <v>15</v>
      </c>
      <c r="B26" s="50">
        <v>2.1250000000000002E-3</v>
      </c>
      <c r="C26" s="26">
        <f>C3*$B$26</f>
        <v>182541.65555555557</v>
      </c>
      <c r="D26" s="27">
        <v>2.1250000000000002E-3</v>
      </c>
      <c r="E26" s="28">
        <f>E3*$D$26</f>
        <v>0</v>
      </c>
      <c r="F26" s="28">
        <f>SUM(E26:E26)</f>
        <v>0</v>
      </c>
      <c r="G26" s="28"/>
      <c r="H26" s="29">
        <f>169840+196000</f>
        <v>365840</v>
      </c>
      <c r="I26" s="30" t="e">
        <f>F26+#REF!-H26</f>
        <v>#REF!</v>
      </c>
    </row>
  </sheetData>
  <mergeCells count="47">
    <mergeCell ref="H1:H2"/>
    <mergeCell ref="H4:H5"/>
    <mergeCell ref="I4:I5"/>
    <mergeCell ref="A4:A7"/>
    <mergeCell ref="B4:B7"/>
    <mergeCell ref="I1:I2"/>
    <mergeCell ref="F4:F7"/>
    <mergeCell ref="H6:H7"/>
    <mergeCell ref="I6:I7"/>
    <mergeCell ref="G1:G2"/>
    <mergeCell ref="F1:F2"/>
    <mergeCell ref="C4:C7"/>
    <mergeCell ref="D4:D7"/>
    <mergeCell ref="E4:E7"/>
    <mergeCell ref="G4:G5"/>
    <mergeCell ref="G6:G7"/>
    <mergeCell ref="E8:E11"/>
    <mergeCell ref="A8:A11"/>
    <mergeCell ref="B8:B11"/>
    <mergeCell ref="C8:C11"/>
    <mergeCell ref="D8:D11"/>
    <mergeCell ref="F8:F11"/>
    <mergeCell ref="G8:G9"/>
    <mergeCell ref="H8:H9"/>
    <mergeCell ref="I8:I9"/>
    <mergeCell ref="G10:G11"/>
    <mergeCell ref="H10:H11"/>
    <mergeCell ref="I10:I11"/>
    <mergeCell ref="G18:G19"/>
    <mergeCell ref="A20:A22"/>
    <mergeCell ref="B20:B22"/>
    <mergeCell ref="C20:C22"/>
    <mergeCell ref="D20:D22"/>
    <mergeCell ref="H20:H22"/>
    <mergeCell ref="I20:I22"/>
    <mergeCell ref="A23:A25"/>
    <mergeCell ref="B23:B25"/>
    <mergeCell ref="C23:C25"/>
    <mergeCell ref="D23:D25"/>
    <mergeCell ref="E20:E22"/>
    <mergeCell ref="F20:F22"/>
    <mergeCell ref="G20:G22"/>
    <mergeCell ref="H23:H25"/>
    <mergeCell ref="I23:I25"/>
    <mergeCell ref="E23:E25"/>
    <mergeCell ref="F23:F25"/>
    <mergeCell ref="G23:G25"/>
  </mergeCells>
  <pageMargins left="0.25" right="0.25" top="0.75" bottom="0.75" header="0.3" footer="0.3"/>
  <pageSetup paperSize="9" scale="60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4"/>
  <sheetViews>
    <sheetView rightToLeft="1" zoomScale="90" zoomScaleNormal="90" workbookViewId="0">
      <pane ySplit="1" topLeftCell="A2" activePane="bottomLeft" state="frozen"/>
      <selection pane="bottomLeft" activeCell="D18" sqref="D18"/>
    </sheetView>
  </sheetViews>
  <sheetFormatPr defaultColWidth="6.109375" defaultRowHeight="14.4"/>
  <cols>
    <col min="1" max="1" width="14" style="1" bestFit="1" customWidth="1"/>
    <col min="2" max="2" width="9.88671875" style="1" bestFit="1" customWidth="1"/>
    <col min="3" max="3" width="10.44140625" style="1" bestFit="1" customWidth="1"/>
    <col min="4" max="4" width="18.33203125" style="1" bestFit="1" customWidth="1"/>
    <col min="5" max="6" width="14.109375" style="1" customWidth="1"/>
    <col min="7" max="7" width="22.6640625" style="1" bestFit="1" customWidth="1"/>
    <col min="8" max="8" width="20" style="1" customWidth="1"/>
    <col min="9" max="16384" width="6.109375" style="1"/>
  </cols>
  <sheetData>
    <row r="1" spans="1:8" ht="39.75" customHeight="1" thickBot="1">
      <c r="A1" s="71" t="s">
        <v>0</v>
      </c>
      <c r="B1" s="61" t="s">
        <v>26</v>
      </c>
      <c r="C1" s="37" t="s">
        <v>34</v>
      </c>
      <c r="D1" s="37" t="s">
        <v>28</v>
      </c>
      <c r="E1" s="37" t="s">
        <v>22</v>
      </c>
      <c r="F1" s="73" t="s">
        <v>35</v>
      </c>
      <c r="G1" s="72" t="s">
        <v>23</v>
      </c>
      <c r="H1" s="72" t="s">
        <v>39</v>
      </c>
    </row>
    <row r="2" spans="1:8">
      <c r="A2" s="353" t="s">
        <v>8</v>
      </c>
      <c r="B2" s="65">
        <v>73</v>
      </c>
      <c r="C2" s="62"/>
      <c r="D2" s="13" t="s">
        <v>38</v>
      </c>
      <c r="E2" s="14">
        <v>14600</v>
      </c>
      <c r="F2" s="74">
        <f>E2+(E2*0.09)</f>
        <v>15914</v>
      </c>
      <c r="G2" s="15">
        <f t="shared" ref="G2:G3" si="0">F2*C2</f>
        <v>0</v>
      </c>
      <c r="H2" s="356">
        <f>G2+G3</f>
        <v>0</v>
      </c>
    </row>
    <row r="3" spans="1:8" ht="15" thickBot="1">
      <c r="A3" s="355"/>
      <c r="B3" s="67">
        <v>99</v>
      </c>
      <c r="C3" s="64"/>
      <c r="D3" s="19" t="s">
        <v>38</v>
      </c>
      <c r="E3" s="20">
        <v>19900</v>
      </c>
      <c r="F3" s="75">
        <f t="shared" ref="F3:F11" si="1">E3+(E3*0.09)</f>
        <v>21691</v>
      </c>
      <c r="G3" s="21">
        <f t="shared" si="0"/>
        <v>0</v>
      </c>
      <c r="H3" s="358"/>
    </row>
    <row r="4" spans="1:8" ht="15" thickBot="1">
      <c r="A4" s="83" t="s">
        <v>40</v>
      </c>
      <c r="B4" s="84"/>
      <c r="C4" s="85">
        <v>500</v>
      </c>
      <c r="D4" s="86" t="s">
        <v>41</v>
      </c>
      <c r="E4" s="87">
        <v>129000</v>
      </c>
      <c r="F4" s="88"/>
      <c r="G4" s="89">
        <f>E4*C4</f>
        <v>64500000</v>
      </c>
      <c r="H4" s="90">
        <f>G4</f>
        <v>64500000</v>
      </c>
    </row>
    <row r="5" spans="1:8">
      <c r="A5" s="353" t="s">
        <v>9</v>
      </c>
      <c r="B5" s="65">
        <v>99</v>
      </c>
      <c r="C5" s="62">
        <v>500</v>
      </c>
      <c r="D5" s="13" t="s">
        <v>36</v>
      </c>
      <c r="E5" s="14">
        <v>130000</v>
      </c>
      <c r="F5" s="14">
        <f t="shared" si="1"/>
        <v>141700</v>
      </c>
      <c r="G5" s="15">
        <f>F5*C5</f>
        <v>70850000</v>
      </c>
      <c r="H5" s="356">
        <f>G5+G6+G7+G8</f>
        <v>893800000</v>
      </c>
    </row>
    <row r="6" spans="1:8" ht="15" customHeight="1">
      <c r="A6" s="354"/>
      <c r="B6" s="66">
        <v>73</v>
      </c>
      <c r="C6" s="63">
        <v>500</v>
      </c>
      <c r="D6" s="2" t="s">
        <v>36</v>
      </c>
      <c r="E6" s="8">
        <v>130000</v>
      </c>
      <c r="F6" s="8">
        <f t="shared" si="1"/>
        <v>141700</v>
      </c>
      <c r="G6" s="16">
        <f t="shared" ref="G6:G8" si="2">F6*C6</f>
        <v>70850000</v>
      </c>
      <c r="H6" s="357"/>
    </row>
    <row r="7" spans="1:8" ht="15" customHeight="1">
      <c r="A7" s="354"/>
      <c r="B7" s="66">
        <v>99</v>
      </c>
      <c r="C7" s="63">
        <v>2000</v>
      </c>
      <c r="D7" s="2" t="s">
        <v>37</v>
      </c>
      <c r="E7" s="8">
        <v>138000</v>
      </c>
      <c r="F7" s="8">
        <f t="shared" si="1"/>
        <v>150420</v>
      </c>
      <c r="G7" s="16">
        <f t="shared" si="2"/>
        <v>300840000</v>
      </c>
      <c r="H7" s="357"/>
    </row>
    <row r="8" spans="1:8" ht="15" customHeight="1" thickBot="1">
      <c r="A8" s="355"/>
      <c r="B8" s="67">
        <v>73</v>
      </c>
      <c r="C8" s="64">
        <v>3000</v>
      </c>
      <c r="D8" s="19" t="s">
        <v>37</v>
      </c>
      <c r="E8" s="20">
        <v>138000</v>
      </c>
      <c r="F8" s="20">
        <f t="shared" si="1"/>
        <v>150420</v>
      </c>
      <c r="G8" s="21">
        <f t="shared" si="2"/>
        <v>451260000</v>
      </c>
      <c r="H8" s="358"/>
    </row>
    <row r="9" spans="1:8">
      <c r="A9" s="76" t="s">
        <v>31</v>
      </c>
      <c r="B9" s="68"/>
      <c r="C9" s="62">
        <v>5400</v>
      </c>
      <c r="D9" s="13" t="s">
        <v>19</v>
      </c>
      <c r="E9" s="14">
        <v>750000</v>
      </c>
      <c r="F9" s="14">
        <f t="shared" si="1"/>
        <v>817500</v>
      </c>
      <c r="G9" s="15">
        <f>F9*C9</f>
        <v>4414500000</v>
      </c>
      <c r="H9" s="356">
        <f>G9+G10+G11</f>
        <v>14715000000</v>
      </c>
    </row>
    <row r="10" spans="1:8">
      <c r="A10" s="77" t="s">
        <v>30</v>
      </c>
      <c r="B10" s="69"/>
      <c r="C10" s="63">
        <v>7000</v>
      </c>
      <c r="D10" s="2" t="s">
        <v>19</v>
      </c>
      <c r="E10" s="8">
        <v>750000</v>
      </c>
      <c r="F10" s="8">
        <f t="shared" si="1"/>
        <v>817500</v>
      </c>
      <c r="G10" s="16">
        <f t="shared" ref="G10:G22" si="3">F10*C10</f>
        <v>5722500000</v>
      </c>
      <c r="H10" s="357"/>
    </row>
    <row r="11" spans="1:8" ht="15" thickBot="1">
      <c r="A11" s="78" t="s">
        <v>32</v>
      </c>
      <c r="B11" s="70"/>
      <c r="C11" s="64">
        <v>6000</v>
      </c>
      <c r="D11" s="19" t="s">
        <v>19</v>
      </c>
      <c r="E11" s="20">
        <v>700000</v>
      </c>
      <c r="F11" s="20">
        <f t="shared" si="1"/>
        <v>763000</v>
      </c>
      <c r="G11" s="21">
        <f t="shared" si="3"/>
        <v>4578000000</v>
      </c>
      <c r="H11" s="358"/>
    </row>
    <row r="12" spans="1:8">
      <c r="A12" s="79" t="s">
        <v>10</v>
      </c>
      <c r="B12" s="68"/>
      <c r="C12" s="62">
        <v>18720</v>
      </c>
      <c r="D12" s="13" t="s">
        <v>33</v>
      </c>
      <c r="E12" s="14">
        <v>791062</v>
      </c>
      <c r="F12" s="14">
        <f>E12</f>
        <v>791062</v>
      </c>
      <c r="G12" s="15">
        <f t="shared" si="3"/>
        <v>14808680640</v>
      </c>
      <c r="H12" s="356">
        <f>G12+G13+G14</f>
        <v>26874674440</v>
      </c>
    </row>
    <row r="13" spans="1:8">
      <c r="A13" s="80" t="s">
        <v>11</v>
      </c>
      <c r="B13" s="69"/>
      <c r="C13" s="63">
        <v>10800</v>
      </c>
      <c r="D13" s="2" t="s">
        <v>33</v>
      </c>
      <c r="E13" s="8">
        <v>648723.5</v>
      </c>
      <c r="F13" s="8">
        <f>E13</f>
        <v>648723.5</v>
      </c>
      <c r="G13" s="16">
        <f t="shared" si="3"/>
        <v>7006213800</v>
      </c>
      <c r="H13" s="357"/>
    </row>
    <row r="14" spans="1:8" ht="15" thickBot="1">
      <c r="A14" s="81" t="s">
        <v>12</v>
      </c>
      <c r="B14" s="70"/>
      <c r="C14" s="64">
        <v>8800</v>
      </c>
      <c r="D14" s="19" t="s">
        <v>33</v>
      </c>
      <c r="E14" s="20">
        <v>574975</v>
      </c>
      <c r="F14" s="20">
        <f>E14</f>
        <v>574975</v>
      </c>
      <c r="G14" s="21">
        <f t="shared" si="3"/>
        <v>5059780000</v>
      </c>
      <c r="H14" s="358"/>
    </row>
    <row r="15" spans="1:8" ht="18.75" customHeight="1">
      <c r="A15" s="79" t="s">
        <v>17</v>
      </c>
      <c r="B15" s="6"/>
      <c r="C15" s="62">
        <v>1200</v>
      </c>
      <c r="D15" s="13" t="s">
        <v>19</v>
      </c>
      <c r="E15" s="14">
        <v>600000</v>
      </c>
      <c r="F15" s="14">
        <f t="shared" ref="F15:F22" si="4">E15+(E15*0.09)</f>
        <v>654000</v>
      </c>
      <c r="G15" s="15">
        <f t="shared" si="3"/>
        <v>784800000</v>
      </c>
      <c r="H15" s="356">
        <f>G15+G16</f>
        <v>1831200000</v>
      </c>
    </row>
    <row r="16" spans="1:8" ht="18.75" customHeight="1" thickBot="1">
      <c r="A16" s="81" t="s">
        <v>18</v>
      </c>
      <c r="B16" s="7"/>
      <c r="C16" s="64">
        <v>1600</v>
      </c>
      <c r="D16" s="19" t="s">
        <v>19</v>
      </c>
      <c r="E16" s="20">
        <v>600000</v>
      </c>
      <c r="F16" s="20">
        <f t="shared" si="4"/>
        <v>654000</v>
      </c>
      <c r="G16" s="21">
        <f t="shared" si="3"/>
        <v>1046400000</v>
      </c>
      <c r="H16" s="358"/>
    </row>
    <row r="17" spans="1:8">
      <c r="A17" s="353" t="s">
        <v>13</v>
      </c>
      <c r="B17" s="329"/>
      <c r="C17" s="306"/>
      <c r="D17" s="13" t="s">
        <v>19</v>
      </c>
      <c r="E17" s="14">
        <v>290000</v>
      </c>
      <c r="F17" s="14">
        <f t="shared" si="4"/>
        <v>316100</v>
      </c>
      <c r="G17" s="15">
        <f t="shared" si="3"/>
        <v>0</v>
      </c>
      <c r="H17" s="356"/>
    </row>
    <row r="18" spans="1:8">
      <c r="A18" s="354"/>
      <c r="B18" s="330"/>
      <c r="C18" s="307"/>
      <c r="D18" s="2" t="s">
        <v>20</v>
      </c>
      <c r="E18" s="8">
        <v>180005</v>
      </c>
      <c r="F18" s="8">
        <f t="shared" si="4"/>
        <v>196205.45</v>
      </c>
      <c r="G18" s="16">
        <f t="shared" si="3"/>
        <v>0</v>
      </c>
      <c r="H18" s="357"/>
    </row>
    <row r="19" spans="1:8" ht="15" thickBot="1">
      <c r="A19" s="355"/>
      <c r="B19" s="331"/>
      <c r="C19" s="308"/>
      <c r="D19" s="19" t="s">
        <v>21</v>
      </c>
      <c r="E19" s="20">
        <v>173600</v>
      </c>
      <c r="F19" s="20">
        <f t="shared" si="4"/>
        <v>189224</v>
      </c>
      <c r="G19" s="21">
        <f t="shared" si="3"/>
        <v>0</v>
      </c>
      <c r="H19" s="358"/>
    </row>
    <row r="20" spans="1:8">
      <c r="A20" s="353" t="s">
        <v>14</v>
      </c>
      <c r="B20" s="315"/>
      <c r="C20" s="62">
        <v>1600</v>
      </c>
      <c r="D20" s="13" t="s">
        <v>19</v>
      </c>
      <c r="E20" s="14">
        <v>300000</v>
      </c>
      <c r="F20" s="14">
        <f t="shared" si="4"/>
        <v>327000</v>
      </c>
      <c r="G20" s="15">
        <f t="shared" si="3"/>
        <v>523200000</v>
      </c>
      <c r="H20" s="356">
        <f>G20+G21+G22</f>
        <v>523200000</v>
      </c>
    </row>
    <row r="21" spans="1:8">
      <c r="A21" s="354"/>
      <c r="B21" s="316"/>
      <c r="C21" s="63"/>
      <c r="D21" s="2" t="s">
        <v>20</v>
      </c>
      <c r="E21" s="8" t="s">
        <v>25</v>
      </c>
      <c r="F21" s="8"/>
      <c r="G21" s="16">
        <f t="shared" si="3"/>
        <v>0</v>
      </c>
      <c r="H21" s="357"/>
    </row>
    <row r="22" spans="1:8" ht="15" thickBot="1">
      <c r="A22" s="355"/>
      <c r="B22" s="317"/>
      <c r="C22" s="64"/>
      <c r="D22" s="19" t="s">
        <v>21</v>
      </c>
      <c r="E22" s="20">
        <v>270800</v>
      </c>
      <c r="F22" s="20">
        <f t="shared" si="4"/>
        <v>295172</v>
      </c>
      <c r="G22" s="21">
        <f t="shared" si="3"/>
        <v>0</v>
      </c>
      <c r="H22" s="358"/>
    </row>
    <row r="23" spans="1:8" ht="21" customHeight="1" thickBot="1">
      <c r="A23" s="82" t="s">
        <v>15</v>
      </c>
      <c r="B23" s="26"/>
      <c r="C23" s="30"/>
      <c r="D23" s="31" t="s">
        <v>24</v>
      </c>
      <c r="E23" s="32">
        <v>140935.71</v>
      </c>
      <c r="F23" s="32"/>
      <c r="G23" s="33">
        <f>E23*C23</f>
        <v>0</v>
      </c>
      <c r="H23" s="33"/>
    </row>
    <row r="24" spans="1:8" ht="15" thickBot="1">
      <c r="H24" s="33">
        <f>H23+H20+H17+H15+H12+H9+H5+H2+H4</f>
        <v>44902374440</v>
      </c>
    </row>
  </sheetData>
  <mergeCells count="14">
    <mergeCell ref="A5:A8"/>
    <mergeCell ref="A2:A3"/>
    <mergeCell ref="H20:H22"/>
    <mergeCell ref="H17:H19"/>
    <mergeCell ref="C17:C19"/>
    <mergeCell ref="A20:A22"/>
    <mergeCell ref="B20:B22"/>
    <mergeCell ref="A17:A19"/>
    <mergeCell ref="B17:B19"/>
    <mergeCell ref="H2:H3"/>
    <mergeCell ref="H5:H8"/>
    <mergeCell ref="H9:H11"/>
    <mergeCell ref="H12:H14"/>
    <mergeCell ref="H15:H16"/>
  </mergeCells>
  <pageMargins left="0.25" right="0.25" top="0.75" bottom="0.75" header="0.3" footer="0.3"/>
  <pageSetup paperSize="9" fitToHeight="0" orientation="landscape" horizontalDpi="300" verticalDpi="300" r:id="rId1"/>
  <ignoredErrors>
    <ignoredError sqref="G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4"/>
  <sheetViews>
    <sheetView rightToLeft="1" zoomScale="90" zoomScaleNormal="90" workbookViewId="0">
      <pane ySplit="1" topLeftCell="A2" activePane="bottomLeft" state="frozen"/>
      <selection pane="bottomLeft" activeCell="D11" sqref="D11"/>
    </sheetView>
  </sheetViews>
  <sheetFormatPr defaultColWidth="6.109375" defaultRowHeight="14.4"/>
  <cols>
    <col min="1" max="1" width="14" style="1" bestFit="1" customWidth="1"/>
    <col min="2" max="2" width="9.88671875" style="1" bestFit="1" customWidth="1"/>
    <col min="3" max="3" width="10.44140625" style="1" bestFit="1" customWidth="1"/>
    <col min="4" max="4" width="18.33203125" style="1" bestFit="1" customWidth="1"/>
    <col min="5" max="6" width="14.109375" style="1" customWidth="1"/>
    <col min="7" max="7" width="22.6640625" style="1" bestFit="1" customWidth="1"/>
    <col min="8" max="8" width="20" style="1" customWidth="1"/>
    <col min="9" max="9" width="11.109375" style="1" bestFit="1" customWidth="1"/>
    <col min="10" max="16384" width="6.109375" style="1"/>
  </cols>
  <sheetData>
    <row r="1" spans="1:8" ht="39.75" customHeight="1" thickBot="1">
      <c r="A1" s="71" t="s">
        <v>0</v>
      </c>
      <c r="B1" s="61" t="s">
        <v>26</v>
      </c>
      <c r="C1" s="37" t="s">
        <v>34</v>
      </c>
      <c r="D1" s="37" t="s">
        <v>28</v>
      </c>
      <c r="E1" s="37" t="s">
        <v>22</v>
      </c>
      <c r="F1" s="73" t="s">
        <v>35</v>
      </c>
      <c r="G1" s="72" t="s">
        <v>23</v>
      </c>
      <c r="H1" s="72" t="s">
        <v>39</v>
      </c>
    </row>
    <row r="2" spans="1:8">
      <c r="A2" s="353" t="s">
        <v>8</v>
      </c>
      <c r="B2" s="65">
        <v>73</v>
      </c>
      <c r="C2" s="62">
        <v>3000</v>
      </c>
      <c r="D2" s="13" t="s">
        <v>38</v>
      </c>
      <c r="E2" s="14">
        <v>14600</v>
      </c>
      <c r="F2" s="74">
        <f>E2+(E2*0.09)</f>
        <v>15914</v>
      </c>
      <c r="G2" s="15">
        <f t="shared" ref="G2:G3" si="0">F2*C2</f>
        <v>47742000</v>
      </c>
      <c r="H2" s="356">
        <f>G2+G3</f>
        <v>112815000</v>
      </c>
    </row>
    <row r="3" spans="1:8" ht="15" thickBot="1">
      <c r="A3" s="355"/>
      <c r="B3" s="67">
        <v>99</v>
      </c>
      <c r="C3" s="64">
        <v>3000</v>
      </c>
      <c r="D3" s="19" t="s">
        <v>38</v>
      </c>
      <c r="E3" s="20">
        <v>19900</v>
      </c>
      <c r="F3" s="75">
        <f t="shared" ref="F3:F11" si="1">E3+(E3*0.09)</f>
        <v>21691</v>
      </c>
      <c r="G3" s="21">
        <f t="shared" si="0"/>
        <v>65073000</v>
      </c>
      <c r="H3" s="358"/>
    </row>
    <row r="4" spans="1:8" ht="15" thickBot="1">
      <c r="A4" s="83" t="s">
        <v>40</v>
      </c>
      <c r="B4" s="84"/>
      <c r="C4" s="85">
        <v>0</v>
      </c>
      <c r="D4" s="86" t="s">
        <v>41</v>
      </c>
      <c r="E4" s="87">
        <v>129000</v>
      </c>
      <c r="F4" s="88"/>
      <c r="G4" s="89">
        <f>E4*C4</f>
        <v>0</v>
      </c>
      <c r="H4" s="90">
        <f>G4</f>
        <v>0</v>
      </c>
    </row>
    <row r="5" spans="1:8">
      <c r="A5" s="353" t="s">
        <v>9</v>
      </c>
      <c r="B5" s="65">
        <v>99</v>
      </c>
      <c r="C5" s="62">
        <v>1000</v>
      </c>
      <c r="D5" s="13" t="s">
        <v>36</v>
      </c>
      <c r="E5" s="14">
        <v>130000</v>
      </c>
      <c r="F5" s="14">
        <f t="shared" si="1"/>
        <v>141700</v>
      </c>
      <c r="G5" s="15">
        <f>F5*C5</f>
        <v>141700000</v>
      </c>
      <c r="H5" s="356">
        <f>G5+G6+G7+G8</f>
        <v>283400000</v>
      </c>
    </row>
    <row r="6" spans="1:8" ht="15" customHeight="1">
      <c r="A6" s="354"/>
      <c r="B6" s="66">
        <v>73</v>
      </c>
      <c r="C6" s="63">
        <v>1000</v>
      </c>
      <c r="D6" s="2" t="s">
        <v>36</v>
      </c>
      <c r="E6" s="8">
        <v>130000</v>
      </c>
      <c r="F6" s="8">
        <f t="shared" si="1"/>
        <v>141700</v>
      </c>
      <c r="G6" s="16">
        <f t="shared" ref="G6:G8" si="2">F6*C6</f>
        <v>141700000</v>
      </c>
      <c r="H6" s="357"/>
    </row>
    <row r="7" spans="1:8" ht="15" customHeight="1">
      <c r="A7" s="354"/>
      <c r="B7" s="66">
        <v>99</v>
      </c>
      <c r="C7" s="63">
        <v>0</v>
      </c>
      <c r="D7" s="2" t="s">
        <v>37</v>
      </c>
      <c r="E7" s="8">
        <v>138000</v>
      </c>
      <c r="F7" s="8">
        <f t="shared" si="1"/>
        <v>150420</v>
      </c>
      <c r="G7" s="16">
        <f t="shared" si="2"/>
        <v>0</v>
      </c>
      <c r="H7" s="357"/>
    </row>
    <row r="8" spans="1:8" ht="15" customHeight="1" thickBot="1">
      <c r="A8" s="355"/>
      <c r="B8" s="67">
        <v>73</v>
      </c>
      <c r="C8" s="64">
        <v>0</v>
      </c>
      <c r="D8" s="19" t="s">
        <v>37</v>
      </c>
      <c r="E8" s="20">
        <v>138000</v>
      </c>
      <c r="F8" s="20">
        <f t="shared" si="1"/>
        <v>150420</v>
      </c>
      <c r="G8" s="21">
        <f t="shared" si="2"/>
        <v>0</v>
      </c>
      <c r="H8" s="358"/>
    </row>
    <row r="9" spans="1:8">
      <c r="A9" s="76" t="s">
        <v>31</v>
      </c>
      <c r="B9" s="6">
        <v>0.21</v>
      </c>
      <c r="C9" s="62">
        <v>4018.046875</v>
      </c>
      <c r="D9" s="13" t="s">
        <v>19</v>
      </c>
      <c r="E9" s="14">
        <v>750000</v>
      </c>
      <c r="F9" s="14">
        <f t="shared" si="1"/>
        <v>817500</v>
      </c>
      <c r="G9" s="15">
        <f>F9*C9</f>
        <v>3284753320.3125</v>
      </c>
      <c r="H9" s="356">
        <f>G9+G10+G11</f>
        <v>10729742851.5625</v>
      </c>
    </row>
    <row r="10" spans="1:8">
      <c r="A10" s="77" t="s">
        <v>30</v>
      </c>
      <c r="B10" s="111">
        <v>0.21</v>
      </c>
      <c r="C10" s="63">
        <v>5360.78125</v>
      </c>
      <c r="D10" s="2" t="s">
        <v>19</v>
      </c>
      <c r="E10" s="8">
        <v>750000</v>
      </c>
      <c r="F10" s="8">
        <f t="shared" si="1"/>
        <v>817500</v>
      </c>
      <c r="G10" s="16">
        <f t="shared" ref="G10:G22" si="3">F10*C10</f>
        <v>4382438671.875</v>
      </c>
      <c r="H10" s="357"/>
    </row>
    <row r="11" spans="1:8" ht="15" thickBot="1">
      <c r="A11" s="78" t="s">
        <v>32</v>
      </c>
      <c r="B11" s="7">
        <v>0.21</v>
      </c>
      <c r="C11" s="64">
        <v>4013.828125</v>
      </c>
      <c r="D11" s="19" t="s">
        <v>19</v>
      </c>
      <c r="E11" s="20">
        <v>700000</v>
      </c>
      <c r="F11" s="20">
        <f t="shared" si="1"/>
        <v>763000</v>
      </c>
      <c r="G11" s="21">
        <f t="shared" si="3"/>
        <v>3062550859.375</v>
      </c>
      <c r="H11" s="358"/>
    </row>
    <row r="12" spans="1:8">
      <c r="A12" s="79" t="s">
        <v>10</v>
      </c>
      <c r="B12" s="68"/>
      <c r="C12" s="62"/>
      <c r="D12" s="13" t="s">
        <v>33</v>
      </c>
      <c r="E12" s="14">
        <v>791062</v>
      </c>
      <c r="F12" s="14">
        <f>E12</f>
        <v>791062</v>
      </c>
      <c r="G12" s="15">
        <f t="shared" si="3"/>
        <v>0</v>
      </c>
      <c r="H12" s="356">
        <f>G12+G13+G14</f>
        <v>0</v>
      </c>
    </row>
    <row r="13" spans="1:8">
      <c r="A13" s="80" t="s">
        <v>11</v>
      </c>
      <c r="B13" s="69"/>
      <c r="C13" s="63"/>
      <c r="D13" s="2" t="s">
        <v>33</v>
      </c>
      <c r="E13" s="8">
        <v>648723.5</v>
      </c>
      <c r="F13" s="8">
        <f>E13</f>
        <v>648723.5</v>
      </c>
      <c r="G13" s="16">
        <f t="shared" si="3"/>
        <v>0</v>
      </c>
      <c r="H13" s="357"/>
    </row>
    <row r="14" spans="1:8" ht="15" thickBot="1">
      <c r="A14" s="81" t="s">
        <v>12</v>
      </c>
      <c r="B14" s="70"/>
      <c r="C14" s="64"/>
      <c r="D14" s="19" t="s">
        <v>33</v>
      </c>
      <c r="E14" s="20">
        <v>574975</v>
      </c>
      <c r="F14" s="20">
        <f>E14</f>
        <v>574975</v>
      </c>
      <c r="G14" s="21">
        <f t="shared" si="3"/>
        <v>0</v>
      </c>
      <c r="H14" s="358"/>
    </row>
    <row r="15" spans="1:8" ht="18.75" customHeight="1">
      <c r="A15" s="79" t="s">
        <v>17</v>
      </c>
      <c r="B15" s="6"/>
      <c r="C15" s="62">
        <v>1000</v>
      </c>
      <c r="D15" s="13" t="s">
        <v>19</v>
      </c>
      <c r="E15" s="14">
        <v>600000</v>
      </c>
      <c r="F15" s="14">
        <f t="shared" ref="F15:F22" si="4">E15+(E15*0.09)</f>
        <v>654000</v>
      </c>
      <c r="G15" s="15">
        <f t="shared" si="3"/>
        <v>654000000</v>
      </c>
      <c r="H15" s="356">
        <f>G15+G16</f>
        <v>1308000000</v>
      </c>
    </row>
    <row r="16" spans="1:8" ht="18.75" customHeight="1" thickBot="1">
      <c r="A16" s="81" t="s">
        <v>18</v>
      </c>
      <c r="B16" s="7"/>
      <c r="C16" s="64">
        <v>1000</v>
      </c>
      <c r="D16" s="19" t="s">
        <v>19</v>
      </c>
      <c r="E16" s="20">
        <v>600000</v>
      </c>
      <c r="F16" s="20">
        <f t="shared" si="4"/>
        <v>654000</v>
      </c>
      <c r="G16" s="21">
        <f t="shared" si="3"/>
        <v>654000000</v>
      </c>
      <c r="H16" s="358"/>
    </row>
    <row r="17" spans="1:8">
      <c r="A17" s="353" t="s">
        <v>13</v>
      </c>
      <c r="B17" s="329"/>
      <c r="C17" s="337">
        <v>12600</v>
      </c>
      <c r="D17" s="13" t="s">
        <v>19</v>
      </c>
      <c r="E17" s="14">
        <v>290000</v>
      </c>
      <c r="F17" s="14">
        <f t="shared" si="4"/>
        <v>316100</v>
      </c>
      <c r="G17" s="15">
        <f t="shared" si="3"/>
        <v>3982860000</v>
      </c>
      <c r="H17" s="356">
        <f t="shared" ref="H17" si="5">G18</f>
        <v>2472188670</v>
      </c>
    </row>
    <row r="18" spans="1:8">
      <c r="A18" s="354"/>
      <c r="B18" s="330"/>
      <c r="C18" s="359"/>
      <c r="D18" s="2" t="s">
        <v>20</v>
      </c>
      <c r="E18" s="8">
        <v>180005</v>
      </c>
      <c r="F18" s="8">
        <f t="shared" si="4"/>
        <v>196205.45</v>
      </c>
      <c r="G18" s="16">
        <f>F18*C17</f>
        <v>2472188670</v>
      </c>
      <c r="H18" s="357"/>
    </row>
    <row r="19" spans="1:8" ht="15" thickBot="1">
      <c r="A19" s="355"/>
      <c r="B19" s="331"/>
      <c r="C19" s="342"/>
      <c r="D19" s="19" t="s">
        <v>21</v>
      </c>
      <c r="E19" s="20">
        <v>173600</v>
      </c>
      <c r="F19" s="20">
        <f t="shared" si="4"/>
        <v>189224</v>
      </c>
      <c r="G19" s="21">
        <f>F19*C17</f>
        <v>2384222400</v>
      </c>
      <c r="H19" s="358"/>
    </row>
    <row r="20" spans="1:8">
      <c r="A20" s="353" t="s">
        <v>14</v>
      </c>
      <c r="B20" s="315"/>
      <c r="C20" s="62">
        <v>3000</v>
      </c>
      <c r="D20" s="13" t="s">
        <v>19</v>
      </c>
      <c r="E20" s="14">
        <v>300000</v>
      </c>
      <c r="F20" s="14">
        <f t="shared" si="4"/>
        <v>327000</v>
      </c>
      <c r="G20" s="15">
        <f t="shared" si="3"/>
        <v>981000000</v>
      </c>
      <c r="H20" s="356">
        <f>G20</f>
        <v>981000000</v>
      </c>
    </row>
    <row r="21" spans="1:8">
      <c r="A21" s="354"/>
      <c r="B21" s="316"/>
      <c r="C21" s="63"/>
      <c r="D21" s="2" t="s">
        <v>20</v>
      </c>
      <c r="E21" s="8" t="s">
        <v>25</v>
      </c>
      <c r="F21" s="8"/>
      <c r="G21" s="16">
        <f t="shared" si="3"/>
        <v>0</v>
      </c>
      <c r="H21" s="357"/>
    </row>
    <row r="22" spans="1:8" ht="15" thickBot="1">
      <c r="A22" s="355"/>
      <c r="B22" s="317"/>
      <c r="C22" s="64">
        <v>3000</v>
      </c>
      <c r="D22" s="19" t="s">
        <v>21</v>
      </c>
      <c r="E22" s="20">
        <v>270800</v>
      </c>
      <c r="F22" s="20">
        <f t="shared" si="4"/>
        <v>295172</v>
      </c>
      <c r="G22" s="21">
        <f t="shared" si="3"/>
        <v>885516000</v>
      </c>
      <c r="H22" s="358"/>
    </row>
    <row r="23" spans="1:8" ht="21" customHeight="1" thickBot="1">
      <c r="A23" s="82" t="s">
        <v>15</v>
      </c>
      <c r="B23" s="26"/>
      <c r="C23" s="30"/>
      <c r="D23" s="31" t="s">
        <v>24</v>
      </c>
      <c r="E23" s="32">
        <v>140935.71</v>
      </c>
      <c r="F23" s="32"/>
      <c r="G23" s="33">
        <f>E23*C23</f>
        <v>0</v>
      </c>
      <c r="H23" s="33">
        <f>G23</f>
        <v>0</v>
      </c>
    </row>
    <row r="24" spans="1:8" ht="15" thickBot="1">
      <c r="H24" s="33">
        <f>H23+H20+H17+H15+H12+H9+H5+H2+H4</f>
        <v>15887146521.5625</v>
      </c>
    </row>
  </sheetData>
  <mergeCells count="14">
    <mergeCell ref="A20:A22"/>
    <mergeCell ref="B20:B22"/>
    <mergeCell ref="H20:H22"/>
    <mergeCell ref="A2:A3"/>
    <mergeCell ref="H2:H3"/>
    <mergeCell ref="A5:A8"/>
    <mergeCell ref="H5:H8"/>
    <mergeCell ref="H9:H11"/>
    <mergeCell ref="H12:H14"/>
    <mergeCell ref="H15:H16"/>
    <mergeCell ref="A17:A19"/>
    <mergeCell ref="B17:B19"/>
    <mergeCell ref="C17:C19"/>
    <mergeCell ref="H17:H19"/>
  </mergeCells>
  <pageMargins left="0.25" right="0.25" top="0.75" bottom="0.75" header="0.3" footer="0.3"/>
  <pageSetup paperSize="9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4"/>
  <sheetViews>
    <sheetView rightToLeft="1" zoomScale="90" zoomScaleNormal="90" workbookViewId="0">
      <pane ySplit="1" topLeftCell="A2" activePane="bottomLeft" state="frozen"/>
      <selection pane="bottomLeft" activeCell="F19" sqref="F19"/>
    </sheetView>
  </sheetViews>
  <sheetFormatPr defaultColWidth="6.109375" defaultRowHeight="14.4"/>
  <cols>
    <col min="1" max="1" width="14" style="1" bestFit="1" customWidth="1"/>
    <col min="2" max="2" width="9.88671875" style="1" bestFit="1" customWidth="1"/>
    <col min="3" max="3" width="10.44140625" style="1" bestFit="1" customWidth="1"/>
    <col min="4" max="4" width="18.33203125" style="1" bestFit="1" customWidth="1"/>
    <col min="5" max="6" width="14.109375" style="1" customWidth="1"/>
    <col min="7" max="7" width="22.6640625" style="1" bestFit="1" customWidth="1"/>
    <col min="8" max="8" width="20" style="1" customWidth="1"/>
    <col min="9" max="16384" width="6.109375" style="1"/>
  </cols>
  <sheetData>
    <row r="1" spans="1:8" ht="39.75" customHeight="1" thickBot="1">
      <c r="A1" s="71" t="s">
        <v>0</v>
      </c>
      <c r="B1" s="104" t="s">
        <v>26</v>
      </c>
      <c r="C1" s="37" t="s">
        <v>34</v>
      </c>
      <c r="D1" s="37" t="s">
        <v>28</v>
      </c>
      <c r="E1" s="37" t="s">
        <v>22</v>
      </c>
      <c r="F1" s="73" t="s">
        <v>35</v>
      </c>
      <c r="G1" s="72" t="s">
        <v>23</v>
      </c>
      <c r="H1" s="72" t="s">
        <v>39</v>
      </c>
    </row>
    <row r="2" spans="1:8">
      <c r="A2" s="353" t="s">
        <v>8</v>
      </c>
      <c r="B2" s="101">
        <v>73</v>
      </c>
      <c r="C2" s="98">
        <v>3000</v>
      </c>
      <c r="D2" s="13" t="s">
        <v>38</v>
      </c>
      <c r="E2" s="14">
        <v>14600</v>
      </c>
      <c r="F2" s="74">
        <f>E2+(E2*0.09)</f>
        <v>15914</v>
      </c>
      <c r="G2" s="15">
        <f t="shared" ref="G2:G3" si="0">F2*C2</f>
        <v>47742000</v>
      </c>
      <c r="H2" s="356">
        <f>G2+G3</f>
        <v>112815000</v>
      </c>
    </row>
    <row r="3" spans="1:8" ht="15" thickBot="1">
      <c r="A3" s="355"/>
      <c r="B3" s="103">
        <v>99</v>
      </c>
      <c r="C3" s="100">
        <v>3000</v>
      </c>
      <c r="D3" s="19" t="s">
        <v>38</v>
      </c>
      <c r="E3" s="20">
        <v>19900</v>
      </c>
      <c r="F3" s="75">
        <f t="shared" ref="F3:F11" si="1">E3+(E3*0.09)</f>
        <v>21691</v>
      </c>
      <c r="G3" s="21">
        <f t="shared" si="0"/>
        <v>65073000</v>
      </c>
      <c r="H3" s="358"/>
    </row>
    <row r="4" spans="1:8" ht="15" thickBot="1">
      <c r="A4" s="83" t="s">
        <v>40</v>
      </c>
      <c r="B4" s="84"/>
      <c r="C4" s="109">
        <v>0</v>
      </c>
      <c r="D4" s="86" t="s">
        <v>41</v>
      </c>
      <c r="E4" s="87">
        <v>129000</v>
      </c>
      <c r="F4" s="88"/>
      <c r="G4" s="89">
        <f>E4*C4</f>
        <v>0</v>
      </c>
      <c r="H4" s="108">
        <f>G4</f>
        <v>0</v>
      </c>
    </row>
    <row r="5" spans="1:8">
      <c r="A5" s="353" t="s">
        <v>9</v>
      </c>
      <c r="B5" s="101">
        <v>99</v>
      </c>
      <c r="C5" s="98">
        <v>2000</v>
      </c>
      <c r="D5" s="13" t="s">
        <v>36</v>
      </c>
      <c r="E5" s="14">
        <v>130000</v>
      </c>
      <c r="F5" s="14">
        <f t="shared" si="1"/>
        <v>141700</v>
      </c>
      <c r="G5" s="15">
        <f>F5*C5</f>
        <v>283400000</v>
      </c>
      <c r="H5" s="356">
        <f>G5+G6+G7+G8</f>
        <v>566800000</v>
      </c>
    </row>
    <row r="6" spans="1:8" ht="15" customHeight="1">
      <c r="A6" s="354"/>
      <c r="B6" s="102">
        <v>73</v>
      </c>
      <c r="C6" s="99">
        <v>2000</v>
      </c>
      <c r="D6" s="2" t="s">
        <v>36</v>
      </c>
      <c r="E6" s="8">
        <v>130000</v>
      </c>
      <c r="F6" s="8">
        <f t="shared" si="1"/>
        <v>141700</v>
      </c>
      <c r="G6" s="16">
        <f t="shared" ref="G6:G8" si="2">F6*C6</f>
        <v>283400000</v>
      </c>
      <c r="H6" s="357"/>
    </row>
    <row r="7" spans="1:8" ht="15" customHeight="1">
      <c r="A7" s="354"/>
      <c r="B7" s="102">
        <v>99</v>
      </c>
      <c r="C7" s="99">
        <v>0</v>
      </c>
      <c r="D7" s="2" t="s">
        <v>37</v>
      </c>
      <c r="E7" s="8">
        <v>138000</v>
      </c>
      <c r="F7" s="8">
        <f t="shared" si="1"/>
        <v>150420</v>
      </c>
      <c r="G7" s="16">
        <f t="shared" si="2"/>
        <v>0</v>
      </c>
      <c r="H7" s="357"/>
    </row>
    <row r="8" spans="1:8" ht="15" customHeight="1" thickBot="1">
      <c r="A8" s="355"/>
      <c r="B8" s="103">
        <v>73</v>
      </c>
      <c r="C8" s="100">
        <v>0</v>
      </c>
      <c r="D8" s="19" t="s">
        <v>37</v>
      </c>
      <c r="E8" s="20">
        <v>138000</v>
      </c>
      <c r="F8" s="20">
        <f t="shared" si="1"/>
        <v>150420</v>
      </c>
      <c r="G8" s="21">
        <f t="shared" si="2"/>
        <v>0</v>
      </c>
      <c r="H8" s="358"/>
    </row>
    <row r="9" spans="1:8">
      <c r="A9" s="76" t="s">
        <v>31</v>
      </c>
      <c r="B9" s="95"/>
      <c r="C9" s="98">
        <v>9400</v>
      </c>
      <c r="D9" s="13" t="s">
        <v>19</v>
      </c>
      <c r="E9" s="14">
        <v>750000</v>
      </c>
      <c r="F9" s="14">
        <f t="shared" si="1"/>
        <v>817500</v>
      </c>
      <c r="G9" s="15">
        <f>F9*C9</f>
        <v>7684500000</v>
      </c>
      <c r="H9" s="356">
        <f>G9+G10+G11</f>
        <v>24486850000</v>
      </c>
    </row>
    <row r="10" spans="1:8">
      <c r="A10" s="77" t="s">
        <v>30</v>
      </c>
      <c r="B10" s="96"/>
      <c r="C10" s="99">
        <v>12200</v>
      </c>
      <c r="D10" s="2" t="s">
        <v>19</v>
      </c>
      <c r="E10" s="8">
        <v>750000</v>
      </c>
      <c r="F10" s="8">
        <f t="shared" si="1"/>
        <v>817500</v>
      </c>
      <c r="G10" s="16">
        <f t="shared" ref="G10:G22" si="3">F10*C10</f>
        <v>9973500000</v>
      </c>
      <c r="H10" s="357"/>
    </row>
    <row r="11" spans="1:8" ht="15" thickBot="1">
      <c r="A11" s="78" t="s">
        <v>32</v>
      </c>
      <c r="B11" s="97"/>
      <c r="C11" s="100">
        <v>8950</v>
      </c>
      <c r="D11" s="19" t="s">
        <v>19</v>
      </c>
      <c r="E11" s="20">
        <v>700000</v>
      </c>
      <c r="F11" s="20">
        <f t="shared" si="1"/>
        <v>763000</v>
      </c>
      <c r="G11" s="21">
        <f t="shared" si="3"/>
        <v>6828850000</v>
      </c>
      <c r="H11" s="358"/>
    </row>
    <row r="12" spans="1:8">
      <c r="A12" s="105" t="s">
        <v>10</v>
      </c>
      <c r="B12" s="95"/>
      <c r="C12" s="98"/>
      <c r="D12" s="13" t="s">
        <v>33</v>
      </c>
      <c r="E12" s="14">
        <v>791062</v>
      </c>
      <c r="F12" s="14">
        <f>E12</f>
        <v>791062</v>
      </c>
      <c r="G12" s="15">
        <f t="shared" si="3"/>
        <v>0</v>
      </c>
      <c r="H12" s="356">
        <f>G12+G13+G14</f>
        <v>0</v>
      </c>
    </row>
    <row r="13" spans="1:8">
      <c r="A13" s="106" t="s">
        <v>11</v>
      </c>
      <c r="B13" s="96"/>
      <c r="C13" s="99"/>
      <c r="D13" s="2" t="s">
        <v>33</v>
      </c>
      <c r="E13" s="8">
        <v>648723.5</v>
      </c>
      <c r="F13" s="8">
        <f>E13</f>
        <v>648723.5</v>
      </c>
      <c r="G13" s="16">
        <f t="shared" si="3"/>
        <v>0</v>
      </c>
      <c r="H13" s="357"/>
    </row>
    <row r="14" spans="1:8" ht="15" thickBot="1">
      <c r="A14" s="107" t="s">
        <v>12</v>
      </c>
      <c r="B14" s="97"/>
      <c r="C14" s="100"/>
      <c r="D14" s="19" t="s">
        <v>33</v>
      </c>
      <c r="E14" s="20">
        <v>574975</v>
      </c>
      <c r="F14" s="20">
        <f>E14</f>
        <v>574975</v>
      </c>
      <c r="G14" s="21">
        <f t="shared" si="3"/>
        <v>0</v>
      </c>
      <c r="H14" s="358"/>
    </row>
    <row r="15" spans="1:8" ht="18.75" customHeight="1">
      <c r="A15" s="105" t="s">
        <v>17</v>
      </c>
      <c r="B15" s="6"/>
      <c r="C15" s="98">
        <v>1800</v>
      </c>
      <c r="D15" s="13" t="s">
        <v>19</v>
      </c>
      <c r="E15" s="14">
        <v>600000</v>
      </c>
      <c r="F15" s="14">
        <f t="shared" ref="F15:F22" si="4">E15+(E15*0.09)</f>
        <v>654000</v>
      </c>
      <c r="G15" s="15">
        <f t="shared" si="3"/>
        <v>1177200000</v>
      </c>
      <c r="H15" s="356">
        <f>G15+G16</f>
        <v>2354400000</v>
      </c>
    </row>
    <row r="16" spans="1:8" ht="18.75" customHeight="1" thickBot="1">
      <c r="A16" s="107" t="s">
        <v>18</v>
      </c>
      <c r="B16" s="7"/>
      <c r="C16" s="100">
        <v>1800</v>
      </c>
      <c r="D16" s="19" t="s">
        <v>19</v>
      </c>
      <c r="E16" s="20">
        <v>600000</v>
      </c>
      <c r="F16" s="20">
        <f t="shared" si="4"/>
        <v>654000</v>
      </c>
      <c r="G16" s="21">
        <f t="shared" si="3"/>
        <v>1177200000</v>
      </c>
      <c r="H16" s="358"/>
    </row>
    <row r="17" spans="1:8">
      <c r="A17" s="353" t="s">
        <v>13</v>
      </c>
      <c r="B17" s="329"/>
      <c r="C17" s="337">
        <v>16000</v>
      </c>
      <c r="D17" s="13" t="s">
        <v>19</v>
      </c>
      <c r="E17" s="14">
        <v>290000</v>
      </c>
      <c r="F17" s="14">
        <f t="shared" si="4"/>
        <v>316100</v>
      </c>
      <c r="G17" s="15">
        <f t="shared" si="3"/>
        <v>5057600000</v>
      </c>
      <c r="H17" s="356">
        <f t="shared" ref="H17" si="5">G18</f>
        <v>3139287200</v>
      </c>
    </row>
    <row r="18" spans="1:8">
      <c r="A18" s="354"/>
      <c r="B18" s="330"/>
      <c r="C18" s="359"/>
      <c r="D18" s="2" t="s">
        <v>20</v>
      </c>
      <c r="E18" s="8">
        <v>180005</v>
      </c>
      <c r="F18" s="8">
        <f t="shared" si="4"/>
        <v>196205.45</v>
      </c>
      <c r="G18" s="16">
        <f>F18*C17</f>
        <v>3139287200</v>
      </c>
      <c r="H18" s="357"/>
    </row>
    <row r="19" spans="1:8" ht="15" thickBot="1">
      <c r="A19" s="355"/>
      <c r="B19" s="331"/>
      <c r="C19" s="342"/>
      <c r="D19" s="19" t="s">
        <v>21</v>
      </c>
      <c r="E19" s="20">
        <v>173600</v>
      </c>
      <c r="F19" s="20">
        <f t="shared" si="4"/>
        <v>189224</v>
      </c>
      <c r="G19" s="21">
        <f>F19*C17</f>
        <v>3027584000</v>
      </c>
      <c r="H19" s="358"/>
    </row>
    <row r="20" spans="1:8">
      <c r="A20" s="353" t="s">
        <v>14</v>
      </c>
      <c r="B20" s="315"/>
      <c r="C20" s="98">
        <v>4000</v>
      </c>
      <c r="D20" s="13" t="s">
        <v>19</v>
      </c>
      <c r="E20" s="14">
        <v>300000</v>
      </c>
      <c r="F20" s="14">
        <f t="shared" si="4"/>
        <v>327000</v>
      </c>
      <c r="G20" s="15">
        <f t="shared" si="3"/>
        <v>1308000000</v>
      </c>
      <c r="H20" s="356">
        <f>G20</f>
        <v>1308000000</v>
      </c>
    </row>
    <row r="21" spans="1:8">
      <c r="A21" s="354"/>
      <c r="B21" s="316"/>
      <c r="C21" s="99"/>
      <c r="D21" s="2" t="s">
        <v>20</v>
      </c>
      <c r="E21" s="8" t="s">
        <v>25</v>
      </c>
      <c r="F21" s="8"/>
      <c r="G21" s="16">
        <f t="shared" si="3"/>
        <v>0</v>
      </c>
      <c r="H21" s="357"/>
    </row>
    <row r="22" spans="1:8" ht="15" thickBot="1">
      <c r="A22" s="355"/>
      <c r="B22" s="317"/>
      <c r="C22" s="100">
        <v>4000</v>
      </c>
      <c r="D22" s="19" t="s">
        <v>21</v>
      </c>
      <c r="E22" s="20">
        <v>270800</v>
      </c>
      <c r="F22" s="20">
        <f t="shared" si="4"/>
        <v>295172</v>
      </c>
      <c r="G22" s="21">
        <f t="shared" si="3"/>
        <v>1180688000</v>
      </c>
      <c r="H22" s="358"/>
    </row>
    <row r="23" spans="1:8" ht="21" customHeight="1" thickBot="1">
      <c r="A23" s="82" t="s">
        <v>15</v>
      </c>
      <c r="B23" s="26"/>
      <c r="C23" s="30">
        <v>200000</v>
      </c>
      <c r="D23" s="31" t="s">
        <v>24</v>
      </c>
      <c r="E23" s="32">
        <v>140935.71</v>
      </c>
      <c r="F23" s="32"/>
      <c r="G23" s="33">
        <f>E23*C23</f>
        <v>28187142000</v>
      </c>
      <c r="H23" s="33">
        <f>G23</f>
        <v>28187142000</v>
      </c>
    </row>
    <row r="24" spans="1:8" ht="15" thickBot="1">
      <c r="H24" s="33">
        <f>H23+H20+H17+H15+H12+H9+H5+H2+H4</f>
        <v>60155294200</v>
      </c>
    </row>
  </sheetData>
  <mergeCells count="14">
    <mergeCell ref="A20:A22"/>
    <mergeCell ref="B20:B22"/>
    <mergeCell ref="H20:H22"/>
    <mergeCell ref="A2:A3"/>
    <mergeCell ref="H2:H3"/>
    <mergeCell ref="A5:A8"/>
    <mergeCell ref="H5:H8"/>
    <mergeCell ref="H9:H11"/>
    <mergeCell ref="H12:H14"/>
    <mergeCell ref="H15:H16"/>
    <mergeCell ref="A17:A19"/>
    <mergeCell ref="B17:B19"/>
    <mergeCell ref="C17:C19"/>
    <mergeCell ref="H17:H19"/>
  </mergeCells>
  <pageMargins left="0.25" right="0.25" top="0.75" bottom="0.75" header="0.3" footer="0.3"/>
  <pageSetup paperSize="9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rightToLeft="1" workbookViewId="0">
      <selection activeCell="M11" sqref="M11"/>
    </sheetView>
  </sheetViews>
  <sheetFormatPr defaultRowHeight="14.4"/>
  <cols>
    <col min="1" max="1" width="15.44140625" customWidth="1"/>
    <col min="2" max="4" width="10" customWidth="1"/>
  </cols>
  <sheetData>
    <row r="1" spans="1:7">
      <c r="B1" s="361">
        <v>11</v>
      </c>
      <c r="C1" s="361"/>
      <c r="D1" s="361">
        <v>24</v>
      </c>
      <c r="E1" s="361"/>
      <c r="F1" s="362">
        <v>23</v>
      </c>
      <c r="G1" s="362"/>
    </row>
    <row r="2" spans="1:7" ht="22.5" customHeight="1">
      <c r="A2" s="94" t="s">
        <v>0</v>
      </c>
      <c r="B2" s="360" t="s">
        <v>44</v>
      </c>
      <c r="C2" s="360"/>
      <c r="D2" s="360" t="s">
        <v>2</v>
      </c>
      <c r="E2" s="360"/>
      <c r="F2" s="360" t="s">
        <v>3</v>
      </c>
      <c r="G2" s="360"/>
    </row>
    <row r="3" spans="1:7" ht="22.5" customHeight="1">
      <c r="A3" s="94" t="s">
        <v>29</v>
      </c>
      <c r="B3" s="94"/>
    </row>
    <row r="4" spans="1:7" ht="22.5" customHeight="1">
      <c r="A4" s="94" t="s">
        <v>8</v>
      </c>
      <c r="B4" s="94"/>
    </row>
    <row r="5" spans="1:7" ht="22.5" customHeight="1">
      <c r="A5" s="94" t="s">
        <v>9</v>
      </c>
      <c r="B5" s="94"/>
    </row>
    <row r="6" spans="1:7" ht="22.5" customHeight="1">
      <c r="A6" s="94" t="s">
        <v>31</v>
      </c>
      <c r="B6" s="94"/>
    </row>
    <row r="7" spans="1:7" ht="22.5" customHeight="1">
      <c r="A7" s="94" t="s">
        <v>30</v>
      </c>
      <c r="B7" s="94"/>
    </row>
    <row r="8" spans="1:7" ht="22.5" customHeight="1">
      <c r="A8" s="94" t="s">
        <v>32</v>
      </c>
      <c r="B8" s="94"/>
    </row>
    <row r="9" spans="1:7" ht="22.5" customHeight="1">
      <c r="A9" s="94" t="s">
        <v>10</v>
      </c>
      <c r="B9" s="94"/>
    </row>
    <row r="10" spans="1:7" ht="22.5" customHeight="1">
      <c r="A10" s="94" t="s">
        <v>11</v>
      </c>
      <c r="B10" s="94"/>
    </row>
    <row r="11" spans="1:7" ht="22.5" customHeight="1">
      <c r="A11" s="94" t="s">
        <v>12</v>
      </c>
      <c r="B11" s="94"/>
    </row>
    <row r="12" spans="1:7" ht="22.5" customHeight="1">
      <c r="A12" s="94" t="s">
        <v>17</v>
      </c>
      <c r="B12" s="94"/>
    </row>
    <row r="13" spans="1:7" ht="22.5" customHeight="1">
      <c r="A13" s="94" t="s">
        <v>18</v>
      </c>
      <c r="B13" s="94"/>
    </row>
    <row r="14" spans="1:7" ht="22.5" customHeight="1">
      <c r="A14" s="94" t="s">
        <v>13</v>
      </c>
      <c r="B14" s="94"/>
    </row>
    <row r="15" spans="1:7" ht="22.5" customHeight="1">
      <c r="A15" s="94" t="s">
        <v>14</v>
      </c>
      <c r="B15" s="94"/>
    </row>
    <row r="16" spans="1:7" ht="22.5" customHeight="1">
      <c r="A16" s="94" t="s">
        <v>15</v>
      </c>
      <c r="B16" s="94"/>
    </row>
  </sheetData>
  <mergeCells count="6">
    <mergeCell ref="B2:C2"/>
    <mergeCell ref="B1:C1"/>
    <mergeCell ref="D1:E1"/>
    <mergeCell ref="D2:E2"/>
    <mergeCell ref="F2:G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محاسبه روز (2)</vt:lpstr>
      <vt:lpstr>محاسبه روز</vt:lpstr>
      <vt:lpstr>محاسبه وزن</vt:lpstr>
      <vt:lpstr>قیمتی خریداری شده</vt:lpstr>
      <vt:lpstr>قیمتی خرید شود</vt:lpstr>
      <vt:lpstr>قیمتی خرید شود (2)</vt:lpstr>
      <vt:lpstr>مواد جهت خرید ماهانه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</dc:creator>
  <cp:lastModifiedBy>Afshin Mansoury</cp:lastModifiedBy>
  <cp:lastPrinted>2020-02-13T08:55:04Z</cp:lastPrinted>
  <dcterms:created xsi:type="dcterms:W3CDTF">2019-12-03T08:23:06Z</dcterms:created>
  <dcterms:modified xsi:type="dcterms:W3CDTF">2021-01-14T21:53:57Z</dcterms:modified>
</cp:coreProperties>
</file>