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8800" windowHeight="13020" activeTab="1"/>
  </bookViews>
  <sheets>
    <sheet name="Paramètres" sheetId="2" r:id="rId1"/>
    <sheet name="TFC" sheetId="1" r:id="rId2"/>
    <sheet name="Charges et couts" sheetId="4" r:id="rId3"/>
  </sheets>
  <definedNames>
    <definedName name="CDC_QUALITE">Paramètres!$T$3:$T$9</definedName>
    <definedName name="CLIENT">Paramètres!$D$4</definedName>
    <definedName name="DATE_DEB">Paramètres!$D$6</definedName>
    <definedName name="DATE_FIN">Paramètres!$D$7</definedName>
    <definedName name="ENV_PROD">Paramètres!$D$23</definedName>
    <definedName name="ENV_RECETTE">Paramètres!$D$22</definedName>
    <definedName name="LANGAGE">Paramètres!$D$18</definedName>
    <definedName name="LANGAGES">Paramètres!$N$3:$N$20</definedName>
    <definedName name="PRODUITS_DESC">Paramètres!$S$3:$S$23</definedName>
    <definedName name="PRODUITS_TRIGRAMMES">Paramètres!$R$3:$R$23</definedName>
    <definedName name="PROJET">Paramètres!$D$5</definedName>
    <definedName name="TYPE_APPLI">Paramètres!$D$19</definedName>
    <definedName name="TYPE_SERVEUR_APPLI">Paramètres!$D$20</definedName>
    <definedName name="TYPE_SERVEUR_BDD">Paramètres!$D$21</definedName>
    <definedName name="TYPES_APPLI">Paramètres!$O$3:$O$5</definedName>
    <definedName name="TYPES_SERVEUR_APPLI">Paramètres!$P$3:$P$23</definedName>
    <definedName name="TYPES_SERVEUR_BDD">Paramètres!$Q$3:$Q$22</definedName>
    <definedName name="_xlnm.Print_Area" localSheetId="2">'Charges et couts'!$A$1:$N$20</definedName>
    <definedName name="_xlnm.Print_Area" localSheetId="1">TFC!$A$1:$Y$124</definedName>
  </definedNames>
  <calcPr calcId="152511"/>
</workbook>
</file>

<file path=xl/calcChain.xml><?xml version="1.0" encoding="utf-8"?>
<calcChain xmlns="http://schemas.openxmlformats.org/spreadsheetml/2006/main">
  <c r="P16" i="1" l="1"/>
  <c r="R16" i="1" s="1"/>
  <c r="Q16" i="1"/>
  <c r="S16" i="1" s="1"/>
  <c r="T16" i="1"/>
  <c r="U16" i="1"/>
  <c r="V16" i="1"/>
  <c r="W16" i="1"/>
  <c r="P17" i="1"/>
  <c r="R17" i="1" s="1"/>
  <c r="Q17" i="1"/>
  <c r="S17" i="1" s="1"/>
  <c r="T17" i="1"/>
  <c r="U17" i="1"/>
  <c r="V17" i="1"/>
  <c r="W17" i="1"/>
  <c r="P18" i="1"/>
  <c r="R18" i="1" s="1"/>
  <c r="Q18" i="1"/>
  <c r="S18" i="1" s="1"/>
  <c r="T18" i="1"/>
  <c r="U18" i="1"/>
  <c r="V18" i="1"/>
  <c r="W18" i="1"/>
  <c r="P19" i="1"/>
  <c r="R19" i="1" s="1"/>
  <c r="Q19" i="1"/>
  <c r="S19" i="1" s="1"/>
  <c r="T19" i="1"/>
  <c r="U19" i="1"/>
  <c r="V19" i="1"/>
  <c r="W19" i="1"/>
  <c r="P20" i="1"/>
  <c r="R20" i="1" s="1"/>
  <c r="Q20" i="1"/>
  <c r="S20" i="1" s="1"/>
  <c r="T20" i="1"/>
  <c r="U20" i="1"/>
  <c r="V20" i="1"/>
  <c r="W20" i="1"/>
  <c r="P21" i="1"/>
  <c r="R21" i="1" s="1"/>
  <c r="Q21" i="1"/>
  <c r="S21" i="1" s="1"/>
  <c r="T21" i="1"/>
  <c r="U21" i="1"/>
  <c r="V21" i="1"/>
  <c r="W21" i="1"/>
  <c r="P22" i="1"/>
  <c r="R22" i="1" s="1"/>
  <c r="Q22" i="1"/>
  <c r="S22" i="1" s="1"/>
  <c r="T22" i="1"/>
  <c r="U22" i="1"/>
  <c r="V22" i="1"/>
  <c r="W22" i="1"/>
  <c r="P23" i="1"/>
  <c r="R23" i="1" s="1"/>
  <c r="Q23" i="1"/>
  <c r="S23" i="1" s="1"/>
  <c r="T23" i="1"/>
  <c r="U23" i="1"/>
  <c r="V23" i="1"/>
  <c r="W23" i="1"/>
  <c r="P24" i="1"/>
  <c r="R24" i="1" s="1"/>
  <c r="Q24" i="1"/>
  <c r="S24" i="1" s="1"/>
  <c r="T24" i="1"/>
  <c r="U24" i="1"/>
  <c r="V24" i="1"/>
  <c r="W24" i="1"/>
  <c r="P25" i="1"/>
  <c r="R25" i="1" s="1"/>
  <c r="Q25" i="1"/>
  <c r="S25" i="1" s="1"/>
  <c r="T25" i="1"/>
  <c r="U25" i="1"/>
  <c r="V25" i="1"/>
  <c r="W25" i="1"/>
  <c r="P26" i="1"/>
  <c r="R26" i="1" s="1"/>
  <c r="Q26" i="1"/>
  <c r="S26" i="1" s="1"/>
  <c r="T26" i="1"/>
  <c r="U26" i="1"/>
  <c r="V26" i="1"/>
  <c r="W26" i="1"/>
  <c r="P27" i="1"/>
  <c r="R27" i="1" s="1"/>
  <c r="Q27" i="1"/>
  <c r="S27" i="1" s="1"/>
  <c r="T27" i="1"/>
  <c r="U27" i="1"/>
  <c r="V27" i="1"/>
  <c r="W27" i="1"/>
  <c r="P28" i="1"/>
  <c r="R28" i="1" s="1"/>
  <c r="Q28" i="1"/>
  <c r="S28" i="1" s="1"/>
  <c r="T28" i="1"/>
  <c r="U28" i="1"/>
  <c r="V28" i="1"/>
  <c r="W28" i="1"/>
  <c r="P29" i="1"/>
  <c r="R29" i="1" s="1"/>
  <c r="Q29" i="1"/>
  <c r="S29" i="1" s="1"/>
  <c r="T29" i="1"/>
  <c r="U29" i="1"/>
  <c r="V29" i="1"/>
  <c r="W29" i="1"/>
  <c r="P30" i="1"/>
  <c r="R30" i="1" s="1"/>
  <c r="Q30" i="1"/>
  <c r="S30" i="1" s="1"/>
  <c r="T30" i="1"/>
  <c r="U30" i="1"/>
  <c r="V30" i="1"/>
  <c r="W30" i="1"/>
  <c r="P31" i="1"/>
  <c r="R31" i="1" s="1"/>
  <c r="Q31" i="1"/>
  <c r="S31" i="1" s="1"/>
  <c r="T31" i="1"/>
  <c r="U31" i="1"/>
  <c r="V31" i="1"/>
  <c r="W31" i="1"/>
  <c r="P32" i="1"/>
  <c r="R32" i="1" s="1"/>
  <c r="Q32" i="1"/>
  <c r="S32" i="1" s="1"/>
  <c r="T32" i="1"/>
  <c r="U32" i="1"/>
  <c r="V32" i="1"/>
  <c r="W32" i="1"/>
  <c r="P33" i="1"/>
  <c r="R33" i="1" s="1"/>
  <c r="Q33" i="1"/>
  <c r="S33" i="1" s="1"/>
  <c r="T33" i="1"/>
  <c r="U33" i="1"/>
  <c r="V33" i="1"/>
  <c r="W33" i="1"/>
  <c r="P34" i="1"/>
  <c r="R34" i="1" s="1"/>
  <c r="Q34" i="1"/>
  <c r="S34" i="1" s="1"/>
  <c r="T34" i="1"/>
  <c r="U34" i="1"/>
  <c r="V34" i="1"/>
  <c r="W34" i="1"/>
  <c r="P35" i="1"/>
  <c r="R35" i="1" s="1"/>
  <c r="Q35" i="1"/>
  <c r="S35" i="1" s="1"/>
  <c r="T35" i="1"/>
  <c r="U35" i="1"/>
  <c r="V35" i="1"/>
  <c r="W35" i="1"/>
  <c r="P36" i="1"/>
  <c r="R36" i="1" s="1"/>
  <c r="Q36" i="1"/>
  <c r="S36" i="1" s="1"/>
  <c r="T36" i="1"/>
  <c r="U36" i="1"/>
  <c r="V36" i="1"/>
  <c r="W36" i="1"/>
  <c r="P37" i="1"/>
  <c r="R37" i="1" s="1"/>
  <c r="Q37" i="1"/>
  <c r="S37" i="1" s="1"/>
  <c r="T37" i="1"/>
  <c r="U37" i="1"/>
  <c r="V37" i="1"/>
  <c r="W37" i="1"/>
  <c r="P38" i="1"/>
  <c r="R38" i="1" s="1"/>
  <c r="Q38" i="1"/>
  <c r="S38" i="1" s="1"/>
  <c r="T38" i="1"/>
  <c r="U38" i="1"/>
  <c r="V38" i="1"/>
  <c r="W38" i="1"/>
  <c r="P39" i="1"/>
  <c r="R39" i="1" s="1"/>
  <c r="Q39" i="1"/>
  <c r="S39" i="1" s="1"/>
  <c r="T39" i="1"/>
  <c r="U39" i="1"/>
  <c r="V39" i="1"/>
  <c r="W39" i="1"/>
  <c r="P40" i="1"/>
  <c r="R40" i="1" s="1"/>
  <c r="Q40" i="1"/>
  <c r="S40" i="1" s="1"/>
  <c r="T40" i="1"/>
  <c r="U40" i="1"/>
  <c r="V40" i="1"/>
  <c r="W40" i="1"/>
  <c r="P41" i="1"/>
  <c r="R41" i="1" s="1"/>
  <c r="Q41" i="1"/>
  <c r="S41" i="1" s="1"/>
  <c r="T41" i="1"/>
  <c r="U41" i="1"/>
  <c r="V41" i="1"/>
  <c r="W41" i="1"/>
  <c r="P42" i="1"/>
  <c r="R42" i="1" s="1"/>
  <c r="Q42" i="1"/>
  <c r="S42" i="1" s="1"/>
  <c r="T42" i="1"/>
  <c r="U42" i="1"/>
  <c r="V42" i="1"/>
  <c r="W42" i="1"/>
  <c r="P43" i="1"/>
  <c r="R43" i="1" s="1"/>
  <c r="Q43" i="1"/>
  <c r="S43" i="1" s="1"/>
  <c r="T43" i="1"/>
  <c r="U43" i="1"/>
  <c r="V43" i="1"/>
  <c r="W43" i="1"/>
  <c r="P44" i="1"/>
  <c r="R44" i="1" s="1"/>
  <c r="Q44" i="1"/>
  <c r="S44" i="1" s="1"/>
  <c r="T44" i="1"/>
  <c r="U44" i="1"/>
  <c r="V44" i="1"/>
  <c r="W44" i="1"/>
  <c r="P45" i="1"/>
  <c r="R45" i="1" s="1"/>
  <c r="Q45" i="1"/>
  <c r="S45" i="1" s="1"/>
  <c r="T45" i="1"/>
  <c r="U45" i="1"/>
  <c r="V45" i="1"/>
  <c r="W45" i="1"/>
  <c r="P46" i="1"/>
  <c r="R46" i="1" s="1"/>
  <c r="Q46" i="1"/>
  <c r="S46" i="1" s="1"/>
  <c r="T46" i="1"/>
  <c r="U46" i="1"/>
  <c r="V46" i="1"/>
  <c r="W46" i="1"/>
  <c r="P47" i="1"/>
  <c r="R47" i="1" s="1"/>
  <c r="Q47" i="1"/>
  <c r="S47" i="1" s="1"/>
  <c r="T47" i="1"/>
  <c r="U47" i="1"/>
  <c r="V47" i="1"/>
  <c r="W47" i="1"/>
  <c r="P48" i="1"/>
  <c r="R48" i="1" s="1"/>
  <c r="Q48" i="1"/>
  <c r="S48" i="1" s="1"/>
  <c r="T48" i="1"/>
  <c r="U48" i="1"/>
  <c r="V48" i="1"/>
  <c r="W48" i="1"/>
  <c r="P49" i="1"/>
  <c r="R49" i="1" s="1"/>
  <c r="Q49" i="1"/>
  <c r="S49" i="1" s="1"/>
  <c r="T49" i="1"/>
  <c r="U49" i="1"/>
  <c r="V49" i="1"/>
  <c r="W49" i="1"/>
  <c r="P50" i="1"/>
  <c r="R50" i="1" s="1"/>
  <c r="Q50" i="1"/>
  <c r="S50" i="1" s="1"/>
  <c r="T50" i="1"/>
  <c r="U50" i="1"/>
  <c r="V50" i="1"/>
  <c r="W50" i="1"/>
  <c r="P51" i="1"/>
  <c r="R51" i="1" s="1"/>
  <c r="Q51" i="1"/>
  <c r="S51" i="1" s="1"/>
  <c r="T51" i="1"/>
  <c r="U51" i="1"/>
  <c r="V51" i="1"/>
  <c r="W51" i="1"/>
  <c r="P52" i="1"/>
  <c r="R52" i="1" s="1"/>
  <c r="Q52" i="1"/>
  <c r="S52" i="1" s="1"/>
  <c r="T52" i="1"/>
  <c r="U52" i="1"/>
  <c r="V52" i="1"/>
  <c r="W52" i="1"/>
  <c r="P53" i="1"/>
  <c r="R53" i="1" s="1"/>
  <c r="Q53" i="1"/>
  <c r="S53" i="1" s="1"/>
  <c r="T53" i="1"/>
  <c r="U53" i="1"/>
  <c r="V53" i="1"/>
  <c r="W53" i="1"/>
  <c r="P54" i="1"/>
  <c r="R54" i="1" s="1"/>
  <c r="Q54" i="1"/>
  <c r="S54" i="1" s="1"/>
  <c r="T54" i="1"/>
  <c r="U54" i="1"/>
  <c r="V54" i="1"/>
  <c r="W54" i="1"/>
  <c r="P55" i="1"/>
  <c r="R55" i="1" s="1"/>
  <c r="Q55" i="1"/>
  <c r="S55" i="1" s="1"/>
  <c r="T55" i="1"/>
  <c r="U55" i="1"/>
  <c r="V55" i="1"/>
  <c r="W55" i="1"/>
  <c r="P56" i="1"/>
  <c r="R56" i="1" s="1"/>
  <c r="Q56" i="1"/>
  <c r="S56" i="1" s="1"/>
  <c r="T56" i="1"/>
  <c r="U56" i="1"/>
  <c r="V56" i="1"/>
  <c r="W56" i="1"/>
  <c r="P57" i="1"/>
  <c r="R57" i="1" s="1"/>
  <c r="Q57" i="1"/>
  <c r="S57" i="1" s="1"/>
  <c r="T57" i="1"/>
  <c r="U57" i="1"/>
  <c r="V57" i="1"/>
  <c r="W57" i="1"/>
  <c r="P58" i="1"/>
  <c r="R58" i="1" s="1"/>
  <c r="Q58" i="1"/>
  <c r="S58" i="1" s="1"/>
  <c r="T58" i="1"/>
  <c r="U58" i="1"/>
  <c r="V58" i="1"/>
  <c r="W58" i="1"/>
  <c r="P59" i="1"/>
  <c r="R59" i="1" s="1"/>
  <c r="Q59" i="1"/>
  <c r="S59" i="1" s="1"/>
  <c r="T59" i="1"/>
  <c r="U59" i="1"/>
  <c r="V59" i="1"/>
  <c r="W59" i="1"/>
  <c r="P60" i="1"/>
  <c r="R60" i="1" s="1"/>
  <c r="Q60" i="1"/>
  <c r="S60" i="1" s="1"/>
  <c r="T60" i="1"/>
  <c r="U60" i="1"/>
  <c r="V60" i="1"/>
  <c r="W60" i="1"/>
  <c r="P61" i="1"/>
  <c r="R61" i="1" s="1"/>
  <c r="Q61" i="1"/>
  <c r="S61" i="1" s="1"/>
  <c r="T61" i="1"/>
  <c r="U61" i="1"/>
  <c r="V61" i="1"/>
  <c r="W61" i="1"/>
  <c r="P62" i="1"/>
  <c r="R62" i="1" s="1"/>
  <c r="Q62" i="1"/>
  <c r="S62" i="1" s="1"/>
  <c r="T62" i="1"/>
  <c r="U62" i="1"/>
  <c r="V62" i="1"/>
  <c r="W62" i="1"/>
  <c r="P63" i="1"/>
  <c r="R63" i="1" s="1"/>
  <c r="Q63" i="1"/>
  <c r="S63" i="1" s="1"/>
  <c r="T63" i="1"/>
  <c r="U63" i="1"/>
  <c r="V63" i="1"/>
  <c r="W63" i="1"/>
  <c r="P64" i="1"/>
  <c r="R64" i="1" s="1"/>
  <c r="Q64" i="1"/>
  <c r="S64" i="1" s="1"/>
  <c r="T64" i="1"/>
  <c r="U64" i="1"/>
  <c r="V64" i="1"/>
  <c r="W64" i="1"/>
  <c r="P65" i="1"/>
  <c r="R65" i="1" s="1"/>
  <c r="Q65" i="1"/>
  <c r="S65" i="1" s="1"/>
  <c r="T65" i="1"/>
  <c r="U65" i="1"/>
  <c r="V65" i="1"/>
  <c r="W65" i="1"/>
  <c r="P66" i="1"/>
  <c r="R66" i="1" s="1"/>
  <c r="Q66" i="1"/>
  <c r="S66" i="1" s="1"/>
  <c r="T66" i="1"/>
  <c r="U66" i="1"/>
  <c r="V66" i="1"/>
  <c r="W66" i="1"/>
  <c r="P67" i="1"/>
  <c r="R67" i="1" s="1"/>
  <c r="Q67" i="1"/>
  <c r="S67" i="1" s="1"/>
  <c r="T67" i="1"/>
  <c r="U67" i="1"/>
  <c r="V67" i="1"/>
  <c r="W67" i="1"/>
  <c r="P68" i="1"/>
  <c r="R68" i="1" s="1"/>
  <c r="Q68" i="1"/>
  <c r="S68" i="1" s="1"/>
  <c r="T68" i="1"/>
  <c r="U68" i="1"/>
  <c r="V68" i="1"/>
  <c r="W68" i="1"/>
  <c r="P69" i="1"/>
  <c r="R69" i="1" s="1"/>
  <c r="Q69" i="1"/>
  <c r="S69" i="1" s="1"/>
  <c r="T69" i="1"/>
  <c r="U69" i="1"/>
  <c r="V69" i="1"/>
  <c r="W69" i="1"/>
  <c r="P70" i="1"/>
  <c r="R70" i="1" s="1"/>
  <c r="Q70" i="1"/>
  <c r="S70" i="1" s="1"/>
  <c r="T70" i="1"/>
  <c r="U70" i="1"/>
  <c r="V70" i="1"/>
  <c r="W70" i="1"/>
  <c r="P71" i="1"/>
  <c r="R71" i="1" s="1"/>
  <c r="Q71" i="1"/>
  <c r="S71" i="1" s="1"/>
  <c r="T71" i="1"/>
  <c r="U71" i="1"/>
  <c r="V71" i="1"/>
  <c r="W71" i="1"/>
  <c r="P72" i="1"/>
  <c r="R72" i="1" s="1"/>
  <c r="Q72" i="1"/>
  <c r="S72" i="1" s="1"/>
  <c r="T72" i="1"/>
  <c r="U72" i="1"/>
  <c r="V72" i="1"/>
  <c r="W72" i="1"/>
  <c r="P73" i="1"/>
  <c r="R73" i="1" s="1"/>
  <c r="Q73" i="1"/>
  <c r="S73" i="1" s="1"/>
  <c r="T73" i="1"/>
  <c r="U73" i="1"/>
  <c r="V73" i="1"/>
  <c r="W73" i="1"/>
  <c r="P74" i="1"/>
  <c r="R74" i="1" s="1"/>
  <c r="Q74" i="1"/>
  <c r="S74" i="1" s="1"/>
  <c r="T74" i="1"/>
  <c r="U74" i="1"/>
  <c r="V74" i="1"/>
  <c r="W74" i="1"/>
  <c r="P75" i="1"/>
  <c r="R75" i="1" s="1"/>
  <c r="Q75" i="1"/>
  <c r="S75" i="1" s="1"/>
  <c r="T75" i="1"/>
  <c r="U75" i="1"/>
  <c r="V75" i="1"/>
  <c r="W75" i="1"/>
  <c r="P76" i="1"/>
  <c r="R76" i="1" s="1"/>
  <c r="Q76" i="1"/>
  <c r="S76" i="1" s="1"/>
  <c r="T76" i="1"/>
  <c r="U76" i="1"/>
  <c r="V76" i="1"/>
  <c r="W76" i="1"/>
  <c r="P77" i="1"/>
  <c r="R77" i="1" s="1"/>
  <c r="Q77" i="1"/>
  <c r="S77" i="1" s="1"/>
  <c r="T77" i="1"/>
  <c r="U77" i="1"/>
  <c r="V77" i="1"/>
  <c r="W77" i="1"/>
  <c r="P78" i="1"/>
  <c r="R78" i="1" s="1"/>
  <c r="Q78" i="1"/>
  <c r="S78" i="1" s="1"/>
  <c r="T78" i="1"/>
  <c r="U78" i="1"/>
  <c r="V78" i="1"/>
  <c r="W78" i="1"/>
  <c r="P79" i="1"/>
  <c r="R79" i="1" s="1"/>
  <c r="Q79" i="1"/>
  <c r="S79" i="1" s="1"/>
  <c r="T79" i="1"/>
  <c r="U79" i="1"/>
  <c r="V79" i="1"/>
  <c r="W79" i="1"/>
  <c r="P80" i="1"/>
  <c r="R80" i="1" s="1"/>
  <c r="Q80" i="1"/>
  <c r="S80" i="1" s="1"/>
  <c r="T80" i="1"/>
  <c r="U80" i="1"/>
  <c r="V80" i="1"/>
  <c r="W80" i="1"/>
  <c r="P81" i="1"/>
  <c r="R81" i="1" s="1"/>
  <c r="Q81" i="1"/>
  <c r="S81" i="1" s="1"/>
  <c r="T81" i="1"/>
  <c r="U81" i="1"/>
  <c r="V81" i="1"/>
  <c r="W81" i="1"/>
  <c r="P82" i="1"/>
  <c r="R82" i="1" s="1"/>
  <c r="Q82" i="1"/>
  <c r="S82" i="1" s="1"/>
  <c r="T82" i="1"/>
  <c r="U82" i="1"/>
  <c r="V82" i="1"/>
  <c r="W82" i="1"/>
  <c r="P83" i="1"/>
  <c r="R83" i="1" s="1"/>
  <c r="Q83" i="1"/>
  <c r="S83" i="1" s="1"/>
  <c r="T83" i="1"/>
  <c r="U83" i="1"/>
  <c r="V83" i="1"/>
  <c r="W83" i="1"/>
  <c r="P84" i="1"/>
  <c r="R84" i="1" s="1"/>
  <c r="Q84" i="1"/>
  <c r="S84" i="1" s="1"/>
  <c r="T84" i="1"/>
  <c r="U84" i="1"/>
  <c r="V84" i="1"/>
  <c r="W84" i="1"/>
  <c r="P85" i="1"/>
  <c r="R85" i="1" s="1"/>
  <c r="Q85" i="1"/>
  <c r="S85" i="1" s="1"/>
  <c r="T85" i="1"/>
  <c r="U85" i="1"/>
  <c r="V85" i="1"/>
  <c r="W85" i="1"/>
  <c r="P86" i="1"/>
  <c r="R86" i="1" s="1"/>
  <c r="Q86" i="1"/>
  <c r="S86" i="1" s="1"/>
  <c r="T86" i="1"/>
  <c r="U86" i="1"/>
  <c r="V86" i="1"/>
  <c r="W86" i="1"/>
  <c r="P87" i="1"/>
  <c r="R87" i="1" s="1"/>
  <c r="Q87" i="1"/>
  <c r="S87" i="1" s="1"/>
  <c r="T87" i="1"/>
  <c r="U87" i="1"/>
  <c r="V87" i="1"/>
  <c r="W87" i="1"/>
  <c r="P88" i="1"/>
  <c r="R88" i="1" s="1"/>
  <c r="Q88" i="1"/>
  <c r="S88" i="1" s="1"/>
  <c r="T88" i="1"/>
  <c r="U88" i="1"/>
  <c r="V88" i="1"/>
  <c r="W88" i="1"/>
  <c r="P89" i="1"/>
  <c r="R89" i="1" s="1"/>
  <c r="Q89" i="1"/>
  <c r="S89" i="1" s="1"/>
  <c r="T89" i="1"/>
  <c r="U89" i="1"/>
  <c r="V89" i="1"/>
  <c r="W89" i="1"/>
  <c r="P90" i="1"/>
  <c r="R90" i="1" s="1"/>
  <c r="Q90" i="1"/>
  <c r="S90" i="1" s="1"/>
  <c r="T90" i="1"/>
  <c r="U90" i="1"/>
  <c r="V90" i="1"/>
  <c r="W90" i="1"/>
  <c r="P91" i="1"/>
  <c r="R91" i="1" s="1"/>
  <c r="Q91" i="1"/>
  <c r="S91" i="1" s="1"/>
  <c r="T91" i="1"/>
  <c r="U91" i="1"/>
  <c r="V91" i="1"/>
  <c r="W91" i="1"/>
  <c r="P92" i="1"/>
  <c r="R92" i="1" s="1"/>
  <c r="Q92" i="1"/>
  <c r="S92" i="1" s="1"/>
  <c r="T92" i="1"/>
  <c r="U92" i="1"/>
  <c r="V92" i="1"/>
  <c r="W92" i="1"/>
  <c r="P93" i="1"/>
  <c r="R93" i="1" s="1"/>
  <c r="Q93" i="1"/>
  <c r="S93" i="1" s="1"/>
  <c r="T93" i="1"/>
  <c r="U93" i="1"/>
  <c r="V93" i="1"/>
  <c r="W93" i="1"/>
  <c r="P94" i="1"/>
  <c r="R94" i="1" s="1"/>
  <c r="Q94" i="1"/>
  <c r="S94" i="1" s="1"/>
  <c r="T94" i="1"/>
  <c r="U94" i="1"/>
  <c r="V94" i="1"/>
  <c r="W94" i="1"/>
  <c r="P95" i="1"/>
  <c r="R95" i="1" s="1"/>
  <c r="Q95" i="1"/>
  <c r="S95" i="1" s="1"/>
  <c r="T95" i="1"/>
  <c r="U95" i="1"/>
  <c r="V95" i="1"/>
  <c r="W95" i="1"/>
  <c r="P96" i="1"/>
  <c r="R96" i="1" s="1"/>
  <c r="Q96" i="1"/>
  <c r="S96" i="1" s="1"/>
  <c r="T96" i="1"/>
  <c r="U96" i="1"/>
  <c r="V96" i="1"/>
  <c r="W96" i="1"/>
  <c r="P97" i="1"/>
  <c r="R97" i="1" s="1"/>
  <c r="Q97" i="1"/>
  <c r="S97" i="1" s="1"/>
  <c r="T97" i="1"/>
  <c r="U97" i="1"/>
  <c r="V97" i="1"/>
  <c r="W97" i="1"/>
  <c r="P98" i="1"/>
  <c r="R98" i="1" s="1"/>
  <c r="Q98" i="1"/>
  <c r="S98" i="1" s="1"/>
  <c r="T98" i="1"/>
  <c r="U98" i="1"/>
  <c r="V98" i="1"/>
  <c r="W98" i="1"/>
  <c r="P99" i="1"/>
  <c r="R99" i="1" s="1"/>
  <c r="Q99" i="1"/>
  <c r="S99" i="1" s="1"/>
  <c r="T99" i="1"/>
  <c r="U99" i="1"/>
  <c r="V99" i="1"/>
  <c r="W99" i="1"/>
  <c r="P100" i="1"/>
  <c r="R100" i="1" s="1"/>
  <c r="Q100" i="1"/>
  <c r="S100" i="1" s="1"/>
  <c r="T100" i="1"/>
  <c r="U100" i="1"/>
  <c r="V100" i="1"/>
  <c r="W100" i="1"/>
  <c r="P101" i="1"/>
  <c r="R101" i="1" s="1"/>
  <c r="Q101" i="1"/>
  <c r="S101" i="1" s="1"/>
  <c r="T101" i="1"/>
  <c r="U101" i="1"/>
  <c r="V101" i="1"/>
  <c r="W101" i="1"/>
  <c r="P102" i="1"/>
  <c r="R102" i="1" s="1"/>
  <c r="Q102" i="1"/>
  <c r="S102" i="1" s="1"/>
  <c r="T102" i="1"/>
  <c r="U102" i="1"/>
  <c r="V102" i="1"/>
  <c r="W102" i="1"/>
  <c r="P103" i="1"/>
  <c r="R103" i="1" s="1"/>
  <c r="Q103" i="1"/>
  <c r="S103" i="1" s="1"/>
  <c r="T103" i="1"/>
  <c r="U103" i="1"/>
  <c r="V103" i="1"/>
  <c r="W103" i="1"/>
  <c r="P104" i="1"/>
  <c r="R104" i="1" s="1"/>
  <c r="Q104" i="1"/>
  <c r="S104" i="1" s="1"/>
  <c r="T104" i="1"/>
  <c r="U104" i="1"/>
  <c r="V104" i="1"/>
  <c r="W104" i="1"/>
  <c r="P105" i="1"/>
  <c r="R105" i="1" s="1"/>
  <c r="Q105" i="1"/>
  <c r="S105" i="1" s="1"/>
  <c r="T105" i="1"/>
  <c r="U105" i="1"/>
  <c r="V105" i="1"/>
  <c r="W105" i="1"/>
  <c r="P106" i="1"/>
  <c r="R106" i="1" s="1"/>
  <c r="Q106" i="1"/>
  <c r="S106" i="1" s="1"/>
  <c r="T106" i="1"/>
  <c r="U106" i="1"/>
  <c r="V106" i="1"/>
  <c r="W106" i="1"/>
  <c r="P107" i="1"/>
  <c r="R107" i="1" s="1"/>
  <c r="Q107" i="1"/>
  <c r="S107" i="1" s="1"/>
  <c r="T107" i="1"/>
  <c r="U107" i="1"/>
  <c r="V107" i="1"/>
  <c r="W107" i="1"/>
  <c r="P108" i="1"/>
  <c r="R108" i="1" s="1"/>
  <c r="Q108" i="1"/>
  <c r="S108" i="1" s="1"/>
  <c r="T108" i="1"/>
  <c r="U108" i="1"/>
  <c r="V108" i="1"/>
  <c r="W108" i="1"/>
  <c r="P109" i="1"/>
  <c r="R109" i="1" s="1"/>
  <c r="Q109" i="1"/>
  <c r="S109" i="1" s="1"/>
  <c r="T109" i="1"/>
  <c r="U109" i="1"/>
  <c r="V109" i="1"/>
  <c r="W109" i="1"/>
  <c r="P110" i="1"/>
  <c r="R110" i="1" s="1"/>
  <c r="Q110" i="1"/>
  <c r="S110" i="1" s="1"/>
  <c r="T110" i="1"/>
  <c r="U110" i="1"/>
  <c r="V110" i="1"/>
  <c r="W110" i="1"/>
  <c r="P111" i="1"/>
  <c r="R111" i="1" s="1"/>
  <c r="Q111" i="1"/>
  <c r="S111" i="1" s="1"/>
  <c r="T111" i="1"/>
  <c r="U111" i="1"/>
  <c r="V111" i="1"/>
  <c r="W111" i="1"/>
  <c r="P112" i="1"/>
  <c r="R112" i="1" s="1"/>
  <c r="Q112" i="1"/>
  <c r="S112" i="1" s="1"/>
  <c r="T112" i="1"/>
  <c r="U112" i="1"/>
  <c r="V112" i="1"/>
  <c r="W112" i="1"/>
  <c r="P113" i="1"/>
  <c r="R113" i="1" s="1"/>
  <c r="Q113" i="1"/>
  <c r="S113" i="1" s="1"/>
  <c r="T113" i="1"/>
  <c r="U113" i="1"/>
  <c r="V113" i="1"/>
  <c r="W113" i="1"/>
  <c r="P114" i="1"/>
  <c r="R114" i="1" s="1"/>
  <c r="Q114" i="1"/>
  <c r="S114" i="1" s="1"/>
  <c r="T114" i="1"/>
  <c r="U114" i="1"/>
  <c r="V114" i="1"/>
  <c r="W114" i="1"/>
  <c r="P115" i="1"/>
  <c r="R115" i="1" s="1"/>
  <c r="Q115" i="1"/>
  <c r="S115" i="1" s="1"/>
  <c r="T115" i="1"/>
  <c r="U115" i="1"/>
  <c r="V115" i="1"/>
  <c r="W115" i="1"/>
  <c r="P116" i="1"/>
  <c r="R116" i="1" s="1"/>
  <c r="Q116" i="1"/>
  <c r="S116" i="1" s="1"/>
  <c r="T116" i="1"/>
  <c r="U116" i="1"/>
  <c r="V116" i="1"/>
  <c r="W116" i="1"/>
  <c r="P117" i="1"/>
  <c r="R117" i="1" s="1"/>
  <c r="Q117" i="1"/>
  <c r="S117" i="1" s="1"/>
  <c r="T117" i="1"/>
  <c r="U117" i="1"/>
  <c r="V117" i="1"/>
  <c r="W117" i="1"/>
  <c r="P118" i="1"/>
  <c r="R118" i="1" s="1"/>
  <c r="Q118" i="1"/>
  <c r="S118" i="1" s="1"/>
  <c r="T118" i="1"/>
  <c r="U118" i="1"/>
  <c r="V118" i="1"/>
  <c r="W118" i="1"/>
  <c r="P119" i="1"/>
  <c r="R119" i="1" s="1"/>
  <c r="Q119" i="1"/>
  <c r="S119" i="1" s="1"/>
  <c r="T119" i="1"/>
  <c r="U119" i="1"/>
  <c r="V119" i="1"/>
  <c r="W119" i="1"/>
  <c r="P120" i="1"/>
  <c r="R120" i="1" s="1"/>
  <c r="Q120" i="1"/>
  <c r="S120" i="1" s="1"/>
  <c r="T120" i="1"/>
  <c r="U120" i="1"/>
  <c r="V120" i="1"/>
  <c r="W120" i="1"/>
  <c r="P121" i="1"/>
  <c r="R121" i="1" s="1"/>
  <c r="Q121" i="1"/>
  <c r="S121" i="1" s="1"/>
  <c r="T121" i="1"/>
  <c r="U121" i="1"/>
  <c r="V121" i="1"/>
  <c r="W121" i="1"/>
  <c r="P12" i="1"/>
  <c r="R12" i="1" s="1"/>
  <c r="Q12" i="1"/>
  <c r="S12" i="1" s="1"/>
  <c r="T12" i="1"/>
  <c r="U12" i="1"/>
  <c r="V12" i="1"/>
  <c r="W12" i="1"/>
  <c r="P13" i="1"/>
  <c r="R13" i="1" s="1"/>
  <c r="Q13" i="1"/>
  <c r="S13" i="1" s="1"/>
  <c r="T13" i="1"/>
  <c r="U13" i="1"/>
  <c r="V13" i="1"/>
  <c r="W13" i="1"/>
  <c r="P14" i="1"/>
  <c r="R14" i="1" s="1"/>
  <c r="Q14" i="1"/>
  <c r="S14" i="1" s="1"/>
  <c r="T14" i="1"/>
  <c r="U14" i="1"/>
  <c r="V14" i="1"/>
  <c r="W14" i="1"/>
  <c r="P15" i="1"/>
  <c r="R15" i="1" s="1"/>
  <c r="Q15" i="1"/>
  <c r="S15" i="1" s="1"/>
  <c r="T15" i="1"/>
  <c r="U15" i="1"/>
  <c r="V15" i="1"/>
  <c r="W15" i="1"/>
  <c r="X42" i="1" l="1"/>
  <c r="Y42" i="1" s="1"/>
  <c r="X16" i="1"/>
  <c r="X76" i="1"/>
  <c r="Y76" i="1" s="1"/>
  <c r="X56" i="1"/>
  <c r="Y56" i="1" s="1"/>
  <c r="X69" i="1"/>
  <c r="Y69" i="1" s="1"/>
  <c r="X112" i="1"/>
  <c r="Y112" i="1" s="1"/>
  <c r="X103" i="1"/>
  <c r="Y103" i="1" s="1"/>
  <c r="X116" i="1"/>
  <c r="Y116" i="1" s="1"/>
  <c r="X102" i="1"/>
  <c r="Y102" i="1" s="1"/>
  <c r="X92" i="1"/>
  <c r="Y92" i="1" s="1"/>
  <c r="X83" i="1"/>
  <c r="Y83" i="1" s="1"/>
  <c r="X52" i="1"/>
  <c r="Y52" i="1" s="1"/>
  <c r="X44" i="1"/>
  <c r="Y44" i="1" s="1"/>
  <c r="X96" i="1"/>
  <c r="Y96" i="1" s="1"/>
  <c r="X109" i="1"/>
  <c r="Y109" i="1" s="1"/>
  <c r="X82" i="1"/>
  <c r="Y82" i="1" s="1"/>
  <c r="X72" i="1"/>
  <c r="Y72" i="1" s="1"/>
  <c r="X63" i="1"/>
  <c r="Y63" i="1" s="1"/>
  <c r="X49" i="1"/>
  <c r="Y49" i="1" s="1"/>
  <c r="X89" i="1"/>
  <c r="Y89" i="1" s="1"/>
  <c r="X62" i="1"/>
  <c r="Y62" i="1" s="1"/>
  <c r="X119" i="1"/>
  <c r="Y119" i="1" s="1"/>
  <c r="X79" i="1"/>
  <c r="Y79" i="1" s="1"/>
  <c r="X73" i="1"/>
  <c r="Y73" i="1" s="1"/>
  <c r="X38" i="1"/>
  <c r="Y38" i="1" s="1"/>
  <c r="X34" i="1"/>
  <c r="Y34" i="1" s="1"/>
  <c r="X30" i="1"/>
  <c r="Y30" i="1" s="1"/>
  <c r="X25" i="1"/>
  <c r="Y25" i="1" s="1"/>
  <c r="X21" i="1"/>
  <c r="Y21" i="1" s="1"/>
  <c r="X17" i="1"/>
  <c r="Y17" i="1" s="1"/>
  <c r="X113" i="1"/>
  <c r="Y113" i="1" s="1"/>
  <c r="X106" i="1"/>
  <c r="Y106" i="1" s="1"/>
  <c r="X99" i="1"/>
  <c r="Y99" i="1" s="1"/>
  <c r="X93" i="1"/>
  <c r="Y93" i="1" s="1"/>
  <c r="X86" i="1"/>
  <c r="Y86" i="1" s="1"/>
  <c r="X59" i="1"/>
  <c r="Y59" i="1" s="1"/>
  <c r="X107" i="1"/>
  <c r="Y107" i="1" s="1"/>
  <c r="X94" i="1"/>
  <c r="Y94" i="1" s="1"/>
  <c r="X87" i="1"/>
  <c r="Y87" i="1" s="1"/>
  <c r="X74" i="1"/>
  <c r="Y74" i="1" s="1"/>
  <c r="X67" i="1"/>
  <c r="Y67" i="1" s="1"/>
  <c r="X54" i="1"/>
  <c r="Y54" i="1" s="1"/>
  <c r="X47" i="1"/>
  <c r="Y47" i="1" s="1"/>
  <c r="X43" i="1"/>
  <c r="Y43" i="1" s="1"/>
  <c r="X66" i="1"/>
  <c r="Y66" i="1" s="1"/>
  <c r="X53" i="1"/>
  <c r="Y53" i="1" s="1"/>
  <c r="X46" i="1"/>
  <c r="Y46" i="1" s="1"/>
  <c r="X114" i="1"/>
  <c r="Y114" i="1" s="1"/>
  <c r="X121" i="1"/>
  <c r="Y121" i="1" s="1"/>
  <c r="X115" i="1"/>
  <c r="Y115" i="1" s="1"/>
  <c r="X110" i="1"/>
  <c r="Y110" i="1" s="1"/>
  <c r="X108" i="1"/>
  <c r="Y108" i="1" s="1"/>
  <c r="X101" i="1"/>
  <c r="Y101" i="1" s="1"/>
  <c r="X95" i="1"/>
  <c r="Y95" i="1" s="1"/>
  <c r="X90" i="1"/>
  <c r="Y90" i="1" s="1"/>
  <c r="X88" i="1"/>
  <c r="Y88" i="1" s="1"/>
  <c r="X81" i="1"/>
  <c r="Y81" i="1" s="1"/>
  <c r="X75" i="1"/>
  <c r="Y75" i="1" s="1"/>
  <c r="X70" i="1"/>
  <c r="Y70" i="1" s="1"/>
  <c r="X68" i="1"/>
  <c r="Y68" i="1" s="1"/>
  <c r="X61" i="1"/>
  <c r="Y61" i="1" s="1"/>
  <c r="X55" i="1"/>
  <c r="Y55" i="1" s="1"/>
  <c r="X50" i="1"/>
  <c r="Y50" i="1" s="1"/>
  <c r="X48" i="1"/>
  <c r="Y48" i="1" s="1"/>
  <c r="X39" i="1"/>
  <c r="Y39" i="1" s="1"/>
  <c r="X35" i="1"/>
  <c r="Y35" i="1" s="1"/>
  <c r="X31" i="1"/>
  <c r="Y31" i="1" s="1"/>
  <c r="X26" i="1"/>
  <c r="Y26" i="1" s="1"/>
  <c r="X22" i="1"/>
  <c r="Y22" i="1" s="1"/>
  <c r="X18" i="1"/>
  <c r="Y18" i="1" s="1"/>
  <c r="X40" i="1"/>
  <c r="Y40" i="1" s="1"/>
  <c r="X36" i="1"/>
  <c r="Y36" i="1" s="1"/>
  <c r="X32" i="1"/>
  <c r="Y32" i="1" s="1"/>
  <c r="X28" i="1"/>
  <c r="Y28" i="1" s="1"/>
  <c r="X27" i="1"/>
  <c r="Y27" i="1" s="1"/>
  <c r="X23" i="1"/>
  <c r="Y23" i="1" s="1"/>
  <c r="X19" i="1"/>
  <c r="Y19" i="1" s="1"/>
  <c r="X117" i="1"/>
  <c r="Y117" i="1" s="1"/>
  <c r="X104" i="1"/>
  <c r="Y104" i="1" s="1"/>
  <c r="X97" i="1"/>
  <c r="Y97" i="1" s="1"/>
  <c r="X84" i="1"/>
  <c r="Y84" i="1" s="1"/>
  <c r="X77" i="1"/>
  <c r="Y77" i="1" s="1"/>
  <c r="X64" i="1"/>
  <c r="Y64" i="1" s="1"/>
  <c r="X57" i="1"/>
  <c r="Y57" i="1" s="1"/>
  <c r="X45" i="1"/>
  <c r="Y45" i="1" s="1"/>
  <c r="X15" i="1"/>
  <c r="Y15" i="1" s="1"/>
  <c r="X120" i="1"/>
  <c r="Y120" i="1" s="1"/>
  <c r="X118" i="1"/>
  <c r="Y118" i="1" s="1"/>
  <c r="X111" i="1"/>
  <c r="Y111" i="1" s="1"/>
  <c r="X105" i="1"/>
  <c r="Y105" i="1" s="1"/>
  <c r="X100" i="1"/>
  <c r="Y100" i="1" s="1"/>
  <c r="X98" i="1"/>
  <c r="Y98" i="1" s="1"/>
  <c r="X91" i="1"/>
  <c r="Y91" i="1" s="1"/>
  <c r="X85" i="1"/>
  <c r="Y85" i="1" s="1"/>
  <c r="X80" i="1"/>
  <c r="Y80" i="1" s="1"/>
  <c r="X78" i="1"/>
  <c r="Y78" i="1" s="1"/>
  <c r="X71" i="1"/>
  <c r="Y71" i="1" s="1"/>
  <c r="X65" i="1"/>
  <c r="Y65" i="1" s="1"/>
  <c r="X60" i="1"/>
  <c r="Y60" i="1" s="1"/>
  <c r="X58" i="1"/>
  <c r="Y58" i="1" s="1"/>
  <c r="X51" i="1"/>
  <c r="Y51" i="1" s="1"/>
  <c r="X41" i="1"/>
  <c r="Y41" i="1" s="1"/>
  <c r="X37" i="1"/>
  <c r="Y37" i="1" s="1"/>
  <c r="X33" i="1"/>
  <c r="Y33" i="1" s="1"/>
  <c r="X29" i="1"/>
  <c r="Y29" i="1" s="1"/>
  <c r="X24" i="1"/>
  <c r="Y24" i="1" s="1"/>
  <c r="X20" i="1"/>
  <c r="Y20" i="1" s="1"/>
  <c r="X13" i="1"/>
  <c r="Y13" i="1" s="1"/>
  <c r="X12" i="1"/>
  <c r="Y12" i="1" s="1"/>
  <c r="X14" i="1"/>
  <c r="Y14" i="1" s="1"/>
  <c r="Y16" i="1"/>
  <c r="K65" i="2" l="1"/>
  <c r="K71" i="2"/>
  <c r="K51" i="2" l="1"/>
  <c r="J23" i="4" l="1"/>
  <c r="L23" i="4" s="1"/>
  <c r="J38" i="4"/>
  <c r="J37" i="4"/>
  <c r="J35" i="4"/>
  <c r="L35" i="4" s="1"/>
  <c r="J34" i="4"/>
  <c r="J32" i="4"/>
  <c r="J31" i="4"/>
  <c r="J30" i="4"/>
  <c r="J25" i="4"/>
  <c r="J24" i="4"/>
  <c r="C38" i="4"/>
  <c r="C37" i="4"/>
  <c r="C36" i="4"/>
  <c r="C35" i="4"/>
  <c r="C34" i="4"/>
  <c r="C33" i="4"/>
  <c r="C32" i="4"/>
  <c r="C31" i="4"/>
  <c r="C30" i="4"/>
  <c r="C29" i="4"/>
  <c r="C28" i="4"/>
  <c r="C27" i="4"/>
  <c r="C26" i="4"/>
  <c r="C25" i="4"/>
  <c r="C24" i="4"/>
  <c r="C23" i="4"/>
  <c r="K73" i="2"/>
  <c r="E11" i="2"/>
  <c r="S129" i="1" l="1"/>
  <c r="T129" i="1"/>
  <c r="U129" i="1"/>
  <c r="V129" i="1"/>
  <c r="W129" i="1"/>
  <c r="X129" i="1"/>
  <c r="Y129" i="1"/>
  <c r="S131" i="1"/>
  <c r="T131" i="1"/>
  <c r="U131" i="1"/>
  <c r="V131" i="1"/>
  <c r="W131" i="1"/>
  <c r="X131" i="1"/>
  <c r="Y131" i="1"/>
  <c r="S132" i="1"/>
  <c r="T132" i="1"/>
  <c r="U132" i="1"/>
  <c r="V132" i="1"/>
  <c r="W132" i="1"/>
  <c r="X132" i="1"/>
  <c r="Y132" i="1"/>
  <c r="R129" i="1"/>
  <c r="R131" i="1"/>
  <c r="R132" i="1"/>
  <c r="W6" i="1" l="1"/>
  <c r="V6" i="1"/>
  <c r="J122" i="1"/>
  <c r="F9" i="4" s="1"/>
  <c r="K122" i="1"/>
  <c r="G9" i="4" s="1"/>
  <c r="L122" i="1"/>
  <c r="M122" i="1"/>
  <c r="N122" i="1"/>
  <c r="I11" i="4" s="1"/>
  <c r="I122" i="1"/>
  <c r="E10" i="4" s="1"/>
  <c r="U6" i="1"/>
  <c r="V127" i="1" l="1"/>
  <c r="W127" i="1"/>
  <c r="U127" i="1"/>
  <c r="W128" i="1"/>
  <c r="V128" i="1"/>
  <c r="T128" i="1"/>
  <c r="U128" i="1"/>
  <c r="H9" i="4"/>
  <c r="K61" i="2"/>
  <c r="J28" i="4" s="1"/>
  <c r="I12" i="4"/>
  <c r="P6" i="1"/>
  <c r="D7" i="4" l="1"/>
  <c r="C7" i="4"/>
  <c r="B7" i="4"/>
  <c r="L38" i="4" l="1"/>
  <c r="L37" i="4"/>
  <c r="L34" i="4"/>
  <c r="L32" i="4"/>
  <c r="L31" i="4"/>
  <c r="L30" i="4"/>
  <c r="L28" i="4"/>
  <c r="L25" i="4"/>
  <c r="L24" i="4"/>
  <c r="W122" i="1" l="1"/>
  <c r="J12" i="4" s="1"/>
  <c r="V122" i="1"/>
  <c r="J11" i="4" s="1"/>
  <c r="R6" i="1"/>
  <c r="T6" i="1" l="1"/>
  <c r="T127" i="1" s="1"/>
  <c r="Q6" i="1"/>
  <c r="S6" i="1" l="1"/>
  <c r="R127" i="1"/>
  <c r="X6" i="1" l="1"/>
  <c r="S127" i="1"/>
  <c r="S128" i="1"/>
  <c r="R128" i="1" l="1"/>
  <c r="Y6" i="1"/>
  <c r="Y127" i="1" s="1"/>
  <c r="X127" i="1"/>
  <c r="T122" i="1"/>
  <c r="J9" i="4" s="1"/>
  <c r="U122" i="1"/>
  <c r="J10" i="4" s="1"/>
  <c r="R122" i="1"/>
  <c r="J7" i="4" s="1"/>
  <c r="Y128" i="1" l="1"/>
  <c r="X128" i="1"/>
  <c r="J17" i="4"/>
  <c r="K57" i="2"/>
  <c r="S122" i="1"/>
  <c r="J8" i="4" s="1"/>
  <c r="N8" i="4" s="1"/>
  <c r="M4" i="2"/>
  <c r="M3" i="2"/>
  <c r="K59" i="2" l="1"/>
  <c r="J27" i="4" s="1"/>
  <c r="L27" i="4" s="1"/>
  <c r="J26" i="4"/>
  <c r="Y122" i="1"/>
  <c r="X122" i="1"/>
  <c r="J13" i="4"/>
  <c r="N7" i="4"/>
  <c r="L17" i="4"/>
  <c r="L12" i="4"/>
  <c r="N12" i="4"/>
  <c r="L11" i="4"/>
  <c r="N11" i="4"/>
  <c r="L10" i="4"/>
  <c r="N10" i="4"/>
  <c r="L9" i="4"/>
  <c r="N9" i="4"/>
  <c r="L8" i="4"/>
  <c r="L13" i="4" l="1"/>
  <c r="N13" i="4"/>
  <c r="L26" i="4"/>
  <c r="J16" i="4" l="1"/>
  <c r="L16" i="4" s="1"/>
  <c r="J18" i="4"/>
  <c r="L18" i="4" s="1"/>
  <c r="J15" i="4"/>
  <c r="L15" i="4" s="1"/>
  <c r="L19" i="4" l="1"/>
  <c r="J19" i="4"/>
  <c r="K63" i="2" l="1"/>
  <c r="J29" i="4" s="1"/>
  <c r="L29" i="4" s="1"/>
  <c r="K39" i="4" l="1"/>
  <c r="K77" i="2" l="1"/>
  <c r="J36" i="4" s="1"/>
  <c r="L36" i="4" s="1"/>
  <c r="J33" i="4"/>
  <c r="L33" i="4" l="1"/>
  <c r="L39" i="4" s="1"/>
  <c r="J39" i="4"/>
  <c r="Y130" i="1"/>
  <c r="Y133" i="1" s="1"/>
  <c r="R130" i="1"/>
  <c r="R133" i="1" s="1"/>
  <c r="U130" i="1"/>
  <c r="U133" i="1" s="1"/>
  <c r="V130" i="1"/>
  <c r="V133" i="1" s="1"/>
  <c r="W130" i="1"/>
  <c r="W133" i="1" s="1"/>
  <c r="X130" i="1"/>
  <c r="X133" i="1" s="1"/>
  <c r="T130" i="1"/>
  <c r="T133" i="1" s="1"/>
  <c r="S130" i="1"/>
  <c r="S133" i="1" s="1"/>
</calcChain>
</file>

<file path=xl/comments1.xml><?xml version="1.0" encoding="utf-8"?>
<comments xmlns="http://schemas.openxmlformats.org/spreadsheetml/2006/main">
  <authors>
    <author>Auteur</author>
  </authors>
  <commentList>
    <comment ref="K7" authorId="0" shapeId="0">
      <text>
        <r>
          <rPr>
            <b/>
            <sz val="9"/>
            <color indexed="81"/>
            <rFont val="Tahoma"/>
            <family val="2"/>
          </rPr>
          <t>Auteur:</t>
        </r>
        <r>
          <rPr>
            <sz val="9"/>
            <color indexed="81"/>
            <rFont val="Tahoma"/>
            <family val="2"/>
          </rPr>
          <t xml:space="preserve">
le TMJ doit être saisi dans les lignes d) et d') du tableau général ci-dessous </t>
        </r>
      </text>
    </comment>
  </commentList>
</comments>
</file>

<file path=xl/sharedStrings.xml><?xml version="1.0" encoding="utf-8"?>
<sst xmlns="http://schemas.openxmlformats.org/spreadsheetml/2006/main" count="660" uniqueCount="340">
  <si>
    <t>Tableau des fonctionnalités &amp; charges (TFC)</t>
  </si>
  <si>
    <t>Sous-domaine</t>
  </si>
  <si>
    <t>Description</t>
  </si>
  <si>
    <t>Client</t>
  </si>
  <si>
    <t>Projet</t>
  </si>
  <si>
    <t>Contraintes Techniques</t>
  </si>
  <si>
    <t>Liste des Langages</t>
  </si>
  <si>
    <t>JAVA</t>
  </si>
  <si>
    <t>PHP</t>
  </si>
  <si>
    <t>C++</t>
  </si>
  <si>
    <t>C#</t>
  </si>
  <si>
    <t>PYTHON</t>
  </si>
  <si>
    <t>.NET</t>
  </si>
  <si>
    <t>Langage</t>
  </si>
  <si>
    <t>client lourd</t>
  </si>
  <si>
    <t>client WEB</t>
  </si>
  <si>
    <t>Serveur de Bases de Données</t>
  </si>
  <si>
    <t>Environnement de recette</t>
  </si>
  <si>
    <t>Environnement de production</t>
  </si>
  <si>
    <t>Tomcat 5</t>
  </si>
  <si>
    <t>Tomcat 6</t>
  </si>
  <si>
    <t>Tomcat 7</t>
  </si>
  <si>
    <t>JBOSS</t>
  </si>
  <si>
    <t>GlassFish</t>
  </si>
  <si>
    <t>WebSphere</t>
  </si>
  <si>
    <t>Types serveur Application</t>
  </si>
  <si>
    <t>Type d'application</t>
  </si>
  <si>
    <t>Types d'application</t>
  </si>
  <si>
    <t>Types serveur BdD</t>
  </si>
  <si>
    <t>Oracle &lt; 10</t>
  </si>
  <si>
    <t>Oracle 10</t>
  </si>
  <si>
    <t>Oracle 11+</t>
  </si>
  <si>
    <t>MySql</t>
  </si>
  <si>
    <t>PostgreSql</t>
  </si>
  <si>
    <t>MS SQL</t>
  </si>
  <si>
    <t>non défini</t>
  </si>
  <si>
    <t>Paramètres</t>
  </si>
  <si>
    <t>Serveur d'application</t>
  </si>
  <si>
    <t>Date de début prévisionnelle</t>
  </si>
  <si>
    <t>Date de fin prévisionnelle</t>
  </si>
  <si>
    <t>Dates limites</t>
  </si>
  <si>
    <t>Domaine fonctionnel</t>
  </si>
  <si>
    <t>Fonctionnalité principale</t>
  </si>
  <si>
    <t>Sous-fonctionnalité / règle à implémenter</t>
  </si>
  <si>
    <t>Tâches</t>
  </si>
  <si>
    <t>FACILE</t>
  </si>
  <si>
    <t>MOYENNE</t>
  </si>
  <si>
    <t>Difficulté</t>
  </si>
  <si>
    <t>Réf</t>
  </si>
  <si>
    <t>Charges et couts</t>
  </si>
  <si>
    <t>DIFFICILE</t>
  </si>
  <si>
    <t>Sous-fonctionnalités / règles par difficulté</t>
  </si>
  <si>
    <t>IHM par difficulté</t>
  </si>
  <si>
    <t>Cout</t>
  </si>
  <si>
    <t>Charge totale en jour / homme</t>
  </si>
  <si>
    <t xml:space="preserve">Spécifier une fonctionnalité /règle </t>
  </si>
  <si>
    <t>Modéliser une IHM</t>
  </si>
  <si>
    <t>Modéliser les structures de données</t>
  </si>
  <si>
    <t>Construire les structures de données</t>
  </si>
  <si>
    <t>Implémenter une fonctionnalité /règle (tests unitaires + tests d'intégration inclus)</t>
  </si>
  <si>
    <t>Réaliser une IHM en client lourd (tests unitaires + tests d'intégration inclus)</t>
  </si>
  <si>
    <t>Réaliser une IHM en client WEB (tests unitaires + tests d'intégration inclus)</t>
  </si>
  <si>
    <t>Charges estimées pour réaliser les tâches par une personne confirmée</t>
  </si>
  <si>
    <t>Fonctionnalités</t>
  </si>
  <si>
    <t>Tâches à réaliser</t>
  </si>
  <si>
    <t>TMJ vendu</t>
  </si>
  <si>
    <t>Réaliser une IHM (tests unitaires + tests d'intégration inclus)</t>
  </si>
  <si>
    <t>Totaux généraux</t>
  </si>
  <si>
    <t>Nombre de ressources prévues</t>
  </si>
  <si>
    <t>Durée estimée</t>
  </si>
  <si>
    <t>Aide</t>
  </si>
  <si>
    <t>Structure de données (3)</t>
  </si>
  <si>
    <t>N/A</t>
  </si>
  <si>
    <t>Charges</t>
  </si>
  <si>
    <t>Spécifier une fonctionnalité /règle</t>
  </si>
  <si>
    <t>A REPORTER DANS LA PTFG</t>
  </si>
  <si>
    <t>Calcul intermédiaire</t>
  </si>
  <si>
    <t>autre</t>
  </si>
  <si>
    <t>Charges en j/h</t>
  </si>
  <si>
    <t>Charge en j/h</t>
  </si>
  <si>
    <t>TOTAL GENERAL</t>
  </si>
  <si>
    <t>Apache</t>
  </si>
  <si>
    <t>Sous-Versions</t>
  </si>
  <si>
    <t xml:space="preserve">(A) Spécifier une fonctionnalité /règle </t>
  </si>
  <si>
    <t>(B) Implémenter une fonctionnalité /règle (tests unitaires + tests d'intégration inclus)</t>
  </si>
  <si>
    <t>(C) Modéliser une IHM</t>
  </si>
  <si>
    <t>(D) Réaliser une IHM (tests unitaires + tests d'intégration inclus)</t>
  </si>
  <si>
    <t>(E) Modéliser les structures de données</t>
  </si>
  <si>
    <t>(G) TOTAL charge de DEV (B+C+D+E+F)</t>
  </si>
  <si>
    <t>TOTAL Général (A+G)</t>
  </si>
  <si>
    <t>EVOL</t>
  </si>
  <si>
    <t>nombre de MODIFICATIONS</t>
  </si>
  <si>
    <t>MODIFICATIONS</t>
  </si>
  <si>
    <t>nombre de CREATIONS</t>
  </si>
  <si>
    <t>Nombre de Structures de données</t>
  </si>
  <si>
    <t>Construire / modifier les structures de données</t>
  </si>
  <si>
    <t>0.1</t>
  </si>
  <si>
    <t>0.2</t>
  </si>
  <si>
    <t>0.3</t>
  </si>
  <si>
    <t>sous-totaux intermédiaires</t>
  </si>
  <si>
    <t>(F) Construire / modifier les structures de données</t>
  </si>
  <si>
    <t>Architecte 
(1/3 des Spécifications)</t>
  </si>
  <si>
    <t>Controleur Qualité
(1 j/semaine sur la durée)</t>
  </si>
  <si>
    <t>0.4</t>
  </si>
  <si>
    <t>0.5</t>
  </si>
  <si>
    <t>0.6</t>
  </si>
  <si>
    <t>Sous-versions</t>
  </si>
  <si>
    <t>(1)
(2)
(3)</t>
  </si>
  <si>
    <t>DEV</t>
  </si>
  <si>
    <t>AMOA</t>
  </si>
  <si>
    <t>AMO</t>
  </si>
  <si>
    <t>Audit</t>
  </si>
  <si>
    <t>AUD</t>
  </si>
  <si>
    <t>CRM</t>
  </si>
  <si>
    <t>Conseil</t>
  </si>
  <si>
    <t>CSL</t>
  </si>
  <si>
    <t>Décisionnel</t>
  </si>
  <si>
    <t>DEC</t>
  </si>
  <si>
    <t>Développement applicatif</t>
  </si>
  <si>
    <t>ERP</t>
  </si>
  <si>
    <t>ESB/SOA</t>
  </si>
  <si>
    <t>ESB</t>
  </si>
  <si>
    <t>ETL</t>
  </si>
  <si>
    <t>Formation</t>
  </si>
  <si>
    <t>FOR</t>
  </si>
  <si>
    <t>GED</t>
  </si>
  <si>
    <t>Infrastructure</t>
  </si>
  <si>
    <t>IFT</t>
  </si>
  <si>
    <t>Schéma Directeur</t>
  </si>
  <si>
    <t>SDI</t>
  </si>
  <si>
    <t>Plateforme SMS (ASSMS)</t>
  </si>
  <si>
    <t>SMS</t>
  </si>
  <si>
    <t>Produits</t>
  </si>
  <si>
    <t>Trigrammes</t>
  </si>
  <si>
    <t xml:space="preserve">Description </t>
  </si>
  <si>
    <t>Type de projet</t>
  </si>
  <si>
    <t>Archivage/GED</t>
  </si>
  <si>
    <t>Informations sur le Projet</t>
  </si>
  <si>
    <t>Type du projet</t>
  </si>
  <si>
    <t>Charges estimées pour les autres tâches par une personne confirmée</t>
  </si>
  <si>
    <t>ZZZZZ</t>
  </si>
  <si>
    <t>libellé</t>
  </si>
  <si>
    <t>charge en j/h</t>
  </si>
  <si>
    <t>Analyse du CDC ou de l’EDB réalisée en amont</t>
  </si>
  <si>
    <t>Préparation et organisation du projet</t>
  </si>
  <si>
    <t>Réunion de démarrage avec le Client</t>
  </si>
  <si>
    <t>Nombre de sous-versions</t>
  </si>
  <si>
    <t>Rédaction des documents techniques et fonctionnels</t>
  </si>
  <si>
    <t>Packaging de la version finale 1.0.0 et livraison/installation</t>
  </si>
  <si>
    <t>Assistance à la recette utilisateur</t>
  </si>
  <si>
    <t>Conduite du changement et 2 sessions de formation</t>
  </si>
  <si>
    <t>Rédaction des SFG</t>
  </si>
  <si>
    <t>Rédaction des SFD ou DDC</t>
  </si>
  <si>
    <t>Réalisation et présentation des maquettes</t>
  </si>
  <si>
    <t>Rédaction des documents administratifs</t>
  </si>
  <si>
    <t>Développement des sous-versions Sprints 0.m.s</t>
  </si>
  <si>
    <t>Pilotage et suivi commercial</t>
  </si>
  <si>
    <t>Nombre d'IHM ou
reporting/livrables
selon la difficulté (2)</t>
  </si>
  <si>
    <t>Fonctionnalités ou Actions/périmètre</t>
  </si>
  <si>
    <t>Chef de projet 
(90% durée estimée )</t>
  </si>
  <si>
    <t>Directeur de projet 
(0,5 j/semaine sur la durée)</t>
  </si>
  <si>
    <t>Assistance au démarrage</t>
  </si>
  <si>
    <t>Qualité du CDC</t>
  </si>
  <si>
    <t>Nombre de pages du CDC</t>
  </si>
  <si>
    <t>Qualité CDC</t>
  </si>
  <si>
    <t>CDC très détaillé, clair</t>
  </si>
  <si>
    <t>CDC détaillé, assez clair</t>
  </si>
  <si>
    <t>CDC pas trop détaillé, assez clair</t>
  </si>
  <si>
    <t>CDC pas trop détaillé, peu clair</t>
  </si>
  <si>
    <t>CDC peu détaillé, peu clair</t>
  </si>
  <si>
    <t>CDC flou</t>
  </si>
  <si>
    <t>Difficulté à spécifier / implémenter / réaliser (1)</t>
  </si>
  <si>
    <t>Une fonctionnalité / action est :
- facile à spécifier / implémenter / réaliser si elle utilise des algorithmes / règles simples, manipule peu de données
- relativement facile à spécifier / implémenter / réaliser si elle utilise des algorithmes / règles assez simples et manipule beaucoup de données
- difficile à spécifier / implémenter / réaliser si elle utilise des algorithmes / règles complexes
Si la difficulté est AUCUNE, pas de charge calculée pour cette fonctionnalité / action, soit parce qu'elle est très simple, soit parce que sa charge est déjà calculée dans une autre fonctionnalité / action.
Un(e) IHM / reporting / livrable est :
- facile à modéliser / réaliser si elle/il utilise des objects graphiques simples sur peu de données ou réutilise un modèle déjà existant avec peu de modifications
- relativement facile à modéliser / réaliser si elle/il utilise quelques objets graphiques compliqués et manipule beaucoup de données ou réutilise un modèle déjà existant avec beaucoup de modifications
- difficile à modéliser / réaliser si elle/il utilise beaucoup objets graphiques compliqués et manipule beaucoup de données ou pas de modèle existant utilisable
S'il s'agit de modifier simplement des IHM / reporting / livrables existants, mettre le nombre d'IHM / reporting / livrables  concernés dans la colonne MODIFICATIONS. Aucune charge de modélisation n'est alors calculée
Les structures de données correspondent aux tables de données (vecteurs), vues dynamiques ou statiques importantes/complexes, PL/SQL…
S'il s'agit de créer des structures, mettre le nombre de structures concernées dans la colonne CREATION.
S'il s'agit de modifier simplement des structures existantes,  mettre le nombre de structures concernées dans la colonne MODIFICATIONS. Aucune charge de modélisation n'est alors calculée</t>
  </si>
  <si>
    <t>Rcette/livraison/installation et présentation des sous-versions</t>
  </si>
  <si>
    <t>SIG</t>
  </si>
  <si>
    <t>URBANISME</t>
  </si>
  <si>
    <t>Gestion et suivi des demandes</t>
  </si>
  <si>
    <t>Gestion des permis de construire</t>
  </si>
  <si>
    <t>Gestion des certificat d’urbanisme</t>
  </si>
  <si>
    <t>Gestion permis de lotir</t>
  </si>
  <si>
    <t>Gestion des permis d’environnement</t>
  </si>
  <si>
    <t>Gestion des demandes de démolition</t>
  </si>
  <si>
    <t>Gestion des plans et schémas directeurs</t>
  </si>
  <si>
    <t xml:space="preserve">Elaboration du Plan d’Occupation du Sol (POS), </t>
  </si>
  <si>
    <t>Créer: Soumettre une nouvelle demande de permis de construire</t>
  </si>
  <si>
    <t>Lire : Consulter les demandes en cours, validées ou rejetées</t>
  </si>
  <si>
    <t>Mettre à jour : Modifier une demande en cours (avant validation)</t>
  </si>
  <si>
    <t>Supprimer:Annuler une demande en attente</t>
  </si>
  <si>
    <t>Créer : Déposer une demande de certificat d’urbanisme</t>
  </si>
  <si>
    <t>Lire : Visualiser les certificats d’urbanisme accordés ou en attente</t>
  </si>
  <si>
    <t>Mettre à jour : Modifier une demande avant validation</t>
  </si>
  <si>
    <t>Supprimer : Supprimer une demande non encore traitée</t>
  </si>
  <si>
    <t>Créer : Enregistrer une demande de permis de lotir</t>
  </si>
  <si>
    <t>Lire : Consulter l’état d’avancement des demandes</t>
  </si>
  <si>
    <t>Mettre à jour : Ajouter des pièces complémentaires ou rectifier une demande</t>
  </si>
  <si>
    <t>Supprimer : Retirer une demande en cours d’examen</t>
  </si>
  <si>
    <t>Créer : Initier une demande de permis d’environnement</t>
  </si>
  <si>
    <t>Lire : Accéder aux informations des demandes traitées et en cours</t>
  </si>
  <si>
    <t>Mettre à jour : Modifier une demande en attente</t>
  </si>
  <si>
    <t>Supprimer : Annuler une demande soumise</t>
  </si>
  <si>
    <t>Créer : Ajouter un nouveau plan d’occupation du sol</t>
  </si>
  <si>
    <t>Lire : Consulter les POS existants et leurs détails</t>
  </si>
  <si>
    <t>Mettre à jour : Modifier un POS (ex. révision, mise à jour des zonages)</t>
  </si>
  <si>
    <t>Supprimer : Retirer un POS obsolète ou erroné</t>
  </si>
  <si>
    <t>Créer : Déposer une demande de démolition</t>
  </si>
  <si>
    <t>Lire : Suivre l’état des demandes</t>
  </si>
  <si>
    <t>Mettre à jour : Modifier les informations soumises avant traitement</t>
  </si>
  <si>
    <t>Supprimer : Retirer une demande avant validation</t>
  </si>
  <si>
    <t>VOIRIE</t>
  </si>
  <si>
    <t>Gestion des interventions et réclamations</t>
  </si>
  <si>
    <t>Demandes d’intervention sur la voirie (eau potable, énergie, etc.)</t>
  </si>
  <si>
    <t>Suivi des interventions</t>
  </si>
  <si>
    <t>Gestion des réclamations</t>
  </si>
  <si>
    <t>Gestion des infrastructures routières</t>
  </si>
  <si>
    <t>Gestion de l'élagage des arbres en bord de voirie</t>
  </si>
  <si>
    <t>Gestion de la signalisation routière</t>
  </si>
  <si>
    <t>Créer : Enregistrer une nouvelle demande d’intervention (ex. fuite d’eau, panne électrique)</t>
  </si>
  <si>
    <t>Lire : Consulter la liste des demandes d’intervention et leurs statuts</t>
  </si>
  <si>
    <t>Mettre à jour : Modifier les informations d’une demande (priorité, responsable, échéance)</t>
  </si>
  <si>
    <t>Supprimer : Annuler une demande d’intervention non pertinente</t>
  </si>
  <si>
    <t>Créer : Ajouter une intervention associée à une demande</t>
  </si>
  <si>
    <t>Lire : Visualiser l’état d’avancement des interventions en cours et terminées</t>
  </si>
  <si>
    <t>Mettre à jour : Modifier les informations d’une intervention (progression, responsable, matériel utilisé)</t>
  </si>
  <si>
    <t>Supprimer : Supprimer une intervention si elle a été créée par erreur</t>
  </si>
  <si>
    <t>Créer : Soumettre une réclamation concernant la voirie (ex. nids-de-poule, absence de signalisation)</t>
  </si>
  <si>
    <t>Lire : Accéder à la liste des réclamations et leurs statuts</t>
  </si>
  <si>
    <t>Mettre à jour : Modifier une réclamation (ajout d’éléments justificatifs, changement de statut)</t>
  </si>
  <si>
    <t>Supprimer : Supprimer une réclamation si elle a été résolue ou invalidée</t>
  </si>
  <si>
    <t>Création d’une opération d’élagage</t>
  </si>
  <si>
    <t>Ajouter une nouvelle demande d’élagage (localisation, type d’arbres concernés, urgence)</t>
  </si>
  <si>
    <t>Associer l’opération à un responsable ou un prestataire</t>
  </si>
  <si>
    <t>Planifier la date et la durée des travaux</t>
  </si>
  <si>
    <t>Lecture et suivi des opérations</t>
  </si>
  <si>
    <t>Afficher la liste des opérations d’élagage planifiées et réalisées</t>
  </si>
  <si>
    <t>Consulter les détails d’une opération (état, photos, commentaires)</t>
  </si>
  <si>
    <t>Filtrer les opérations par zone, état ou prestataire</t>
  </si>
  <si>
    <t>Mise à jour d’une opération</t>
  </si>
  <si>
    <t>Modifier les informations d’une opération (nouvelle date, statut, prestataire)</t>
  </si>
  <si>
    <t>Ajouter des notes ou pièces justificatives (photos avant/après)</t>
  </si>
  <si>
    <t>Changer l’état d’une opération (planifiée → en cours → terminée)</t>
  </si>
  <si>
    <r>
      <rPr>
        <b/>
        <sz val="12"/>
        <color theme="1"/>
        <rFont val="Candara"/>
        <family val="2"/>
      </rPr>
      <t>Suppression d’une opératio</t>
    </r>
    <r>
      <rPr>
        <sz val="12"/>
        <color theme="1"/>
        <rFont val="Candara"/>
        <family val="2"/>
      </rPr>
      <t>n</t>
    </r>
  </si>
  <si>
    <t>Annuler une opération planifiée qui n’est plus nécessaire</t>
  </si>
  <si>
    <t>Supprimer une opération en doublon ou incorrecte</t>
  </si>
  <si>
    <t>Création d’un élément de signalisation</t>
  </si>
  <si>
    <t>Ajouter un nouveau panneau, marquage au sol ou feu tricolore</t>
  </si>
  <si>
    <t>Associer la signalisation à un emplacement précis (GPS, rue, intersection)</t>
  </si>
  <si>
    <t>Définir le type de signalisation (obligation, interdiction, danger, information)</t>
  </si>
  <si>
    <t>Lecture et suivi de l’état de la signalisation</t>
  </si>
  <si>
    <t>Consulter l’inventaire de la signalisation existante</t>
  </si>
  <si>
    <t>Vérifier les signalements de panneaux endommagés ou absents</t>
  </si>
  <si>
    <t>Filtrer par type de signalisation, état ou emplacement</t>
  </si>
  <si>
    <t>Mise à jour d’un élément de signalisation</t>
  </si>
  <si>
    <t>Modifier les informations d’un panneau ou marquage au sol</t>
  </si>
  <si>
    <t>Mettre à jour le statut d’un élément (en bon état, à réparer, remplacé)</t>
  </si>
  <si>
    <t>Ajouter des photos et justificatifs d’interventions</t>
  </si>
  <si>
    <t xml:space="preserve"> Suppression d’un élément de signalisation</t>
  </si>
  <si>
    <t>Supprimer un panneau ou marquage au sol obsolète</t>
  </si>
  <si>
    <t>Retirer un élément en doublon ou mal localisé</t>
  </si>
  <si>
    <t>Envoi de notifications aux équipes de maintenance dès qu’une panne est détectée</t>
  </si>
  <si>
    <t>Historique des alertes et suivi des réparations</t>
  </si>
  <si>
    <t>Intégration avec un tableau de bord pour visualiser les pannes en temps réel</t>
  </si>
  <si>
    <t>ECLAIRAGE PUBLIC</t>
  </si>
  <si>
    <t>Maintenance de l'infrastructure</t>
  </si>
  <si>
    <t>Maintenance préventive (planification et budgétisation des remplacements)</t>
  </si>
  <si>
    <t>Maintenance corrective (gestion et suivi des réparations)</t>
  </si>
  <si>
    <t>Gestion des réclamations et consommation</t>
  </si>
  <si>
    <t>COLLECTE DES DECHETS MENAGER</t>
  </si>
  <si>
    <t>Optimisation des collecte</t>
  </si>
  <si>
    <t>Gestion et optimisation des circuits de collecte</t>
  </si>
  <si>
    <t>Gestion des moyens de collecte</t>
  </si>
  <si>
    <t>Gestion des acteurs et infrastructures</t>
  </si>
  <si>
    <t>Gestion des sous-traitant et collecte</t>
  </si>
  <si>
    <t>Gestion des décharges</t>
  </si>
  <si>
    <t>Suivi des problèmes et réclamations</t>
  </si>
  <si>
    <t>Identification et traitement des points noirs</t>
  </si>
  <si>
    <t>Ajouter un nouveau plan de maintenance préventive (date, équipement concerné, fréquence de remplacement).</t>
  </si>
  <si>
    <t>Consulter les plans de maintenance préventive existants.</t>
  </si>
  <si>
    <t>Modifier les détails d'un plan de maintenance (ajout/modification de l’équipement, fréquence, budget).</t>
  </si>
  <si>
    <t>Supprimer un plan de maintenance préventive ou un remplacement prévu.</t>
  </si>
  <si>
    <t>Ajouter une nouvelle demande de réparation (problème identifié, équipement concerné, priorité, description).</t>
  </si>
  <si>
    <t>Consulter la liste des réparations en cours, terminées, ou en attente</t>
  </si>
  <si>
    <t>Modifier le statut d’une réparation (en cours, terminée, en attente).</t>
  </si>
  <si>
    <t>Supprimer une demande de réparation ou une entrée de suivi de réparation</t>
  </si>
  <si>
    <t>Ajouter une nouvelle réclamation (nature de la réclamation, date de soumission, description, statut, action attendue)</t>
  </si>
  <si>
    <t>Consulter la liste des réclamations (par statut : en cours, résolue, fermée)</t>
  </si>
  <si>
    <t>Modifier le statut d’une réclamation (en attente, résolue)</t>
  </si>
  <si>
    <t>Supprimer une réclamation (si elle est incorrecte ou dupliquée).</t>
  </si>
  <si>
    <t>Suivi de la consommation du réseau d’éclairage public</t>
  </si>
  <si>
    <t xml:space="preserve">Ajouter de nouvelles données de consommation (date, zone géographique, consommation d’énergie, coûts).
</t>
  </si>
  <si>
    <t>Visualiser les historiques de consommation pour chaque zone ou sur une période donnée</t>
  </si>
  <si>
    <t>Mettre à jour les chiffres de consommation si une erreur a été détectée</t>
  </si>
  <si>
    <t xml:space="preserve">Supprimer des données erronées ou redondantes concernant la consommation.
</t>
  </si>
  <si>
    <t>Ajouter un nouveau circuit de collecte (zone géographique, fréquence de collecte, type de déchets).</t>
  </si>
  <si>
    <t>Consulter la liste des circuits de collecte existants et leurs détails.</t>
  </si>
  <si>
    <t>Modifier les détails d’un circuit de collecte (fréquence, itinéraire, zones desservies).</t>
  </si>
  <si>
    <t>Supprimer un circuit de collecte obsolète ou non pertinent</t>
  </si>
  <si>
    <t>Ajouter de nouveaux moyens de collecte (type de véhicule, capacité, zone desservie).</t>
  </si>
  <si>
    <t>Consulter la liste des moyens de collecte (véhicules, équipements) et leurs caractéristiques.</t>
  </si>
  <si>
    <t>Modifier les informations relatives à un moyen de collecte (modification de la capacité, de l'état ou de la zone).</t>
  </si>
  <si>
    <t>Supprimer un moyen de collecte obsolète ou hors service</t>
  </si>
  <si>
    <t xml:space="preserve">Ajouter un nouveau sous-traitant de collecte (nom, contact, zone d’opération, type de service fourni).
</t>
  </si>
  <si>
    <t>Consulter la liste des sous-traitants avec leurs détails (contrats, performance, zone d’intervention).</t>
  </si>
  <si>
    <t>Modifier les informations d’un sous-traitant (coordonnées, services fournis, zones desservies).</t>
  </si>
  <si>
    <t>Supprimer un sous-traitant si leur service n'est plus nécessaire.</t>
  </si>
  <si>
    <t>Ajouter une nouvelle décharge (type, capacité, localisation, statut)</t>
  </si>
  <si>
    <t>Consulter la liste des décharges avec leur capacité, statut (ouverte, fermée), et localisation.</t>
  </si>
  <si>
    <t>Modifier le statut d’une décharge (ouverte, fermée, pleine).</t>
  </si>
  <si>
    <t>Supprimer une décharge qui n’est plus utilisée ou qui a été fermée définitivement.</t>
  </si>
  <si>
    <t>Cartes sanitaires</t>
  </si>
  <si>
    <t>Cartes des zones insalubres</t>
  </si>
  <si>
    <t>Cartes environnementales</t>
  </si>
  <si>
    <t>Cartes des maladies</t>
  </si>
  <si>
    <t>Cartographie sanitaire et environnementale</t>
  </si>
  <si>
    <t>SANITAIRE</t>
  </si>
  <si>
    <t>GESTION DE L'ADMINISTRATION DES DONNEE SIG METIERS</t>
  </si>
  <si>
    <t>Gestion des copies allégées de l'IDG</t>
  </si>
  <si>
    <t>Création de copies allégées</t>
  </si>
  <si>
    <t>Réconciliation périodique avec l’IDG centralisée</t>
  </si>
  <si>
    <t>Suppression des copies allégées</t>
  </si>
  <si>
    <t>Gestion des données métiers</t>
  </si>
  <si>
    <t>Ajout/suppression de données sur une copie allégée</t>
  </si>
  <si>
    <t>Intégration des données métiers par domaine/sous-domaine</t>
  </si>
  <si>
    <t>Synchronisation des bases de données SIG communal et IDG</t>
  </si>
  <si>
    <t>GESTION DES UTILISATEURS ET GROUPES</t>
  </si>
  <si>
    <t>Gestion des utilisateurs</t>
  </si>
  <si>
    <t>Création d’utilisateurs</t>
  </si>
  <si>
    <t>Modification des profils</t>
  </si>
  <si>
    <t>Suppression d’utilisateurs</t>
  </si>
  <si>
    <t>Gestion des groupes et droits d’accès</t>
  </si>
  <si>
    <t>Création et gestion des groupes d’utilisateurs</t>
  </si>
  <si>
    <t>Affectation des droits d’accès</t>
  </si>
  <si>
    <t xml:space="preserve">Alertes en cas de panne de feux tricolores </t>
  </si>
  <si>
    <t>signalements des pannes</t>
  </si>
  <si>
    <t>Elaboration de la documentation du projet</t>
  </si>
  <si>
    <t>Dossier de conception</t>
  </si>
  <si>
    <t>Document de specification fonctionelle générale</t>
  </si>
  <si>
    <t>Document de specification fonctionelle détaillée</t>
  </si>
  <si>
    <t>Elaboration du modèle de données</t>
  </si>
  <si>
    <t>Elaboration des des workflow métier</t>
  </si>
  <si>
    <t>Elaboration de l'architecture globale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</si>
</sst>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 &quot;€&quot;"/>
    <numFmt numFmtId="165" formatCode="0.000"/>
    <numFmt numFmtId="166" formatCode="#,##0.00\ [$XAF]"/>
    <numFmt numFmtId="167" formatCode="_-* #,##0.00\ [$XAF]_-;\-* #,##0.00\ [$XAF]_-;_-* &quot;-&quot;??\ [$XAF]_-;_-@_-"/>
  </numFmts>
  <fonts count="32" x14ac:knownFonts="1">
    <font>
      <sz val="11"/>
      <color theme="1"/>
      <name val="Calibri"/>
      <family val="2"/>
      <scheme val="minor"/>
    </font>
    <font>
      <sz val="11"/>
      <color theme="1"/>
      <name val="Times New Roman"/>
      <family val="1"/>
    </font>
    <font>
      <b/>
      <sz val="20"/>
      <color theme="1"/>
      <name val="Times New Roman"/>
      <family val="1"/>
    </font>
    <font>
      <b/>
      <sz val="28"/>
      <color theme="1"/>
      <name val="Times New Roman"/>
      <family val="1"/>
    </font>
    <font>
      <b/>
      <sz val="11"/>
      <color theme="0"/>
      <name val="Times New Roman"/>
      <family val="1"/>
    </font>
    <font>
      <b/>
      <sz val="10"/>
      <color theme="0" tint="-0.34998626667073579"/>
      <name val="Times New Roman"/>
      <family val="1"/>
    </font>
    <font>
      <sz val="10"/>
      <color theme="0" tint="-0.34998626667073579"/>
      <name val="Times New Roman"/>
      <family val="1"/>
    </font>
    <font>
      <b/>
      <sz val="12"/>
      <color theme="1"/>
      <name val="Times New Roman"/>
      <family val="1"/>
    </font>
    <font>
      <sz val="12"/>
      <color theme="1"/>
      <name val="Times New Roman"/>
      <family val="1"/>
    </font>
    <font>
      <b/>
      <sz val="11"/>
      <color theme="1"/>
      <name val="Times New Roman"/>
      <family val="1"/>
    </font>
    <font>
      <b/>
      <sz val="12"/>
      <color theme="0"/>
      <name val="Times New Roman"/>
      <family val="1"/>
    </font>
    <font>
      <b/>
      <sz val="14"/>
      <color theme="0"/>
      <name val="Times New Roman"/>
      <family val="1"/>
    </font>
    <font>
      <sz val="14"/>
      <color theme="1"/>
      <name val="Times New Roman"/>
      <family val="1"/>
    </font>
    <font>
      <sz val="11"/>
      <color theme="1"/>
      <name val="Calibri"/>
      <family val="2"/>
      <scheme val="minor"/>
    </font>
    <font>
      <b/>
      <sz val="12"/>
      <name val="Times New Roman"/>
      <family val="1"/>
    </font>
    <font>
      <sz val="12"/>
      <name val="Times New Roman"/>
      <family val="1"/>
    </font>
    <font>
      <b/>
      <sz val="11"/>
      <name val="Times New Roman"/>
      <family val="1"/>
    </font>
    <font>
      <sz val="9"/>
      <color indexed="81"/>
      <name val="Tahoma"/>
      <family val="2"/>
    </font>
    <font>
      <b/>
      <sz val="9"/>
      <color indexed="81"/>
      <name val="Tahoma"/>
      <family val="2"/>
    </font>
    <font>
      <b/>
      <sz val="16"/>
      <name val="Times New Roman"/>
      <family val="1"/>
    </font>
    <font>
      <b/>
      <sz val="16"/>
      <color theme="0"/>
      <name val="Times New Roman"/>
      <family val="1"/>
    </font>
    <font>
      <sz val="11"/>
      <color rgb="FF006100"/>
      <name val="Calibri"/>
      <family val="2"/>
      <scheme val="minor"/>
    </font>
    <font>
      <sz val="11"/>
      <color rgb="FF9C6500"/>
      <name val="Calibri"/>
      <family val="2"/>
      <scheme val="minor"/>
    </font>
    <font>
      <b/>
      <sz val="12"/>
      <color theme="1"/>
      <name val="Candara"/>
      <family val="2"/>
    </font>
    <font>
      <sz val="11"/>
      <color theme="1"/>
      <name val="Candara"/>
      <family val="2"/>
    </font>
    <font>
      <sz val="12"/>
      <color theme="1"/>
      <name val="Candara"/>
      <family val="2"/>
    </font>
    <font>
      <b/>
      <sz val="36"/>
      <color theme="1"/>
      <name val="Times New Roman"/>
      <family val="1"/>
    </font>
    <font>
      <b/>
      <sz val="16"/>
      <color theme="1"/>
      <name val="Candara"/>
      <family val="2"/>
    </font>
    <font>
      <b/>
      <sz val="22"/>
      <color theme="1"/>
      <name val="Candara"/>
      <family val="2"/>
    </font>
    <font>
      <b/>
      <sz val="11"/>
      <color theme="1"/>
      <name val="Candara"/>
      <family val="2"/>
    </font>
    <font>
      <b/>
      <sz val="14"/>
      <color theme="1"/>
      <name val="Candara"/>
      <family val="2"/>
    </font>
    <font>
      <b/>
      <sz val="12"/>
      <color rgb="FF222222"/>
      <name val="Candara"/>
      <family val="2"/>
    </font>
  </fonts>
  <fills count="32">
    <fill>
      <patternFill patternType="none"/>
    </fill>
    <fill>
      <patternFill patternType="gray125"/>
    </fill>
    <fill>
      <patternFill patternType="solid">
        <fgColor theme="2" tint="-0.249977111117893"/>
        <bgColor indexed="64"/>
      </patternFill>
    </fill>
    <fill>
      <patternFill patternType="solid">
        <fgColor theme="4"/>
        <bgColor theme="4"/>
      </patternFill>
    </fill>
    <fill>
      <patternFill patternType="solid">
        <fgColor theme="4"/>
        <bgColor theme="4" tint="0.59999389629810485"/>
      </patternFill>
    </fill>
    <fill>
      <patternFill patternType="solid">
        <fgColor theme="5"/>
        <bgColor theme="5"/>
      </patternFill>
    </fill>
    <fill>
      <patternFill patternType="solid">
        <fgColor theme="5" tint="0.59999389629810485"/>
        <bgColor theme="5" tint="0.59999389629810485"/>
      </patternFill>
    </fill>
    <fill>
      <patternFill patternType="solid">
        <fgColor theme="5"/>
        <bgColor indexed="64"/>
      </patternFill>
    </fill>
    <fill>
      <patternFill patternType="solid">
        <fgColor theme="5" tint="-0.499984740745262"/>
        <bgColor theme="5" tint="0.59999389629810485"/>
      </patternFill>
    </fill>
    <fill>
      <patternFill patternType="solid">
        <fgColor theme="5" tint="0.59999389629810485"/>
        <bgColor theme="5" tint="0.79998168889431442"/>
      </patternFill>
    </fill>
    <fill>
      <patternFill patternType="solid">
        <fgColor theme="5" tint="-0.49998474074526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3" tint="0.39997558519241921"/>
        <bgColor theme="4" tint="0.59999389629810485"/>
      </patternFill>
    </fill>
    <fill>
      <patternFill patternType="solid">
        <fgColor theme="3" tint="0.39997558519241921"/>
        <bgColor theme="4"/>
      </patternFill>
    </fill>
    <fill>
      <patternFill patternType="solid">
        <fgColor theme="3" tint="0.59999389629810485"/>
        <bgColor theme="4"/>
      </patternFill>
    </fill>
    <fill>
      <patternFill patternType="solid">
        <fgColor theme="3" tint="0.79998168889431442"/>
        <bgColor theme="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theme="4"/>
      </patternFill>
    </fill>
    <fill>
      <patternFill patternType="solid">
        <fgColor theme="7" tint="0.79998168889431442"/>
        <bgColor indexed="64"/>
      </patternFill>
    </fill>
    <fill>
      <patternFill patternType="solid">
        <fgColor theme="6" tint="0.59999389629810485"/>
        <bgColor theme="4"/>
      </patternFill>
    </fill>
    <fill>
      <patternFill patternType="solid">
        <fgColor theme="7" tint="0.59999389629810485"/>
        <bgColor theme="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59999389629810485"/>
        <bgColor theme="4" tint="0.59999389629810485"/>
      </patternFill>
    </fill>
    <fill>
      <patternFill patternType="solid">
        <fgColor theme="9" tint="0.59999389629810485"/>
        <bgColor indexed="64"/>
      </patternFill>
    </fill>
    <fill>
      <patternFill patternType="solid">
        <fgColor rgb="FFC6EFCE"/>
      </patternFill>
    </fill>
    <fill>
      <patternFill patternType="solid">
        <fgColor rgb="FFFFEB9C"/>
      </patternFill>
    </fill>
  </fills>
  <borders count="7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medium">
        <color indexed="64"/>
      </top>
      <bottom/>
      <diagonal/>
    </border>
    <border>
      <left/>
      <right style="thin">
        <color indexed="64"/>
      </right>
      <top style="thin">
        <color indexed="64"/>
      </top>
      <bottom/>
      <diagonal/>
    </border>
  </borders>
  <cellStyleXfs count="5">
    <xf numFmtId="0" fontId="0" fillId="0" borderId="0"/>
    <xf numFmtId="43" fontId="13" fillId="0" borderId="0" applyFont="0" applyFill="0" applyBorder="0" applyAlignment="0" applyProtection="0"/>
    <xf numFmtId="0" fontId="21" fillId="30" borderId="0" applyNumberFormat="0" applyBorder="0" applyAlignment="0" applyProtection="0"/>
    <xf numFmtId="0" fontId="22" fillId="31" borderId="0" applyNumberFormat="0" applyBorder="0" applyAlignment="0" applyProtection="0"/>
    <xf numFmtId="44" fontId="13" fillId="0" borderId="0" applyFont="0" applyFill="0" applyBorder="0" applyAlignment="0" applyProtection="0"/>
  </cellStyleXfs>
  <cellXfs count="383">
    <xf numFmtId="0" fontId="0" fillId="0" borderId="0" xfId="0"/>
    <xf numFmtId="0" fontId="1" fillId="0" borderId="0" xfId="0" applyFont="1" applyProtection="1"/>
    <xf numFmtId="0" fontId="2" fillId="0" borderId="0" xfId="0" applyFont="1" applyAlignment="1" applyProtection="1">
      <alignment horizontal="center" vertical="center"/>
    </xf>
    <xf numFmtId="0" fontId="3" fillId="0" borderId="0" xfId="0" applyFont="1" applyAlignment="1" applyProtection="1"/>
    <xf numFmtId="0" fontId="4" fillId="0" borderId="0" xfId="0" applyFont="1" applyFill="1" applyBorder="1" applyAlignment="1" applyProtection="1">
      <alignment horizontal="center" wrapText="1"/>
    </xf>
    <xf numFmtId="0" fontId="4" fillId="0" borderId="10" xfId="0" applyFont="1" applyFill="1" applyBorder="1" applyAlignment="1" applyProtection="1">
      <alignment horizontal="center" wrapText="1"/>
    </xf>
    <xf numFmtId="0" fontId="1" fillId="0" borderId="0" xfId="0" applyFont="1" applyAlignment="1" applyProtection="1">
      <alignment horizontal="center" wrapText="1"/>
    </xf>
    <xf numFmtId="0" fontId="5" fillId="0" borderId="0" xfId="0" applyFont="1" applyAlignment="1" applyProtection="1">
      <alignment wrapText="1"/>
    </xf>
    <xf numFmtId="14" fontId="6" fillId="0" borderId="0" xfId="0" applyNumberFormat="1" applyFont="1" applyAlignment="1" applyProtection="1"/>
    <xf numFmtId="0" fontId="6" fillId="0" borderId="0" xfId="0" applyFont="1" applyAlignment="1" applyProtection="1"/>
    <xf numFmtId="0" fontId="7" fillId="2" borderId="31" xfId="0" applyFont="1" applyFill="1" applyBorder="1" applyAlignment="1" applyProtection="1">
      <alignment horizontal="center" vertical="center"/>
    </xf>
    <xf numFmtId="0" fontId="8" fillId="0" borderId="0" xfId="0" applyFont="1" applyFill="1" applyBorder="1" applyAlignment="1" applyProtection="1">
      <alignment horizontal="right" vertical="center"/>
    </xf>
    <xf numFmtId="0" fontId="8" fillId="2" borderId="22" xfId="0" applyFont="1" applyFill="1" applyBorder="1" applyAlignment="1" applyProtection="1">
      <alignment horizontal="right" vertical="center"/>
    </xf>
    <xf numFmtId="0" fontId="8" fillId="2" borderId="6" xfId="0" applyFont="1" applyFill="1" applyBorder="1" applyAlignment="1" applyProtection="1">
      <alignment horizontal="right" vertical="center"/>
    </xf>
    <xf numFmtId="0" fontId="8" fillId="2" borderId="7" xfId="0" applyFont="1" applyFill="1" applyBorder="1" applyAlignment="1" applyProtection="1">
      <alignment horizontal="right" vertical="center"/>
    </xf>
    <xf numFmtId="0" fontId="1" fillId="0" borderId="0" xfId="0" applyFont="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1" fillId="2" borderId="17"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2" borderId="21" xfId="0" applyFont="1" applyFill="1" applyBorder="1" applyAlignment="1" applyProtection="1">
      <alignment horizontal="center" vertical="center"/>
    </xf>
    <xf numFmtId="0" fontId="1" fillId="2" borderId="31" xfId="0" applyFont="1" applyFill="1" applyBorder="1" applyAlignment="1" applyProtection="1">
      <alignment vertical="center" wrapText="1"/>
    </xf>
    <xf numFmtId="0" fontId="1" fillId="2" borderId="34" xfId="0" applyFont="1" applyFill="1" applyBorder="1" applyAlignment="1" applyProtection="1">
      <alignment horizontal="center" vertical="center"/>
    </xf>
    <xf numFmtId="0" fontId="3" fillId="0" borderId="0" xfId="0" applyFont="1" applyAlignment="1" applyProtection="1">
      <alignment horizontal="center" vertical="center"/>
    </xf>
    <xf numFmtId="0" fontId="1" fillId="0" borderId="0" xfId="0" applyFont="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4" borderId="11" xfId="0" applyFont="1" applyFill="1" applyBorder="1" applyAlignment="1" applyProtection="1">
      <alignment horizontal="center" vertical="center" wrapText="1"/>
    </xf>
    <xf numFmtId="0" fontId="1" fillId="0" borderId="6" xfId="0" applyFont="1" applyFill="1" applyBorder="1" applyAlignment="1" applyProtection="1">
      <alignment horizontal="center" vertical="center"/>
    </xf>
    <xf numFmtId="0" fontId="1" fillId="0" borderId="0" xfId="0" applyFont="1" applyFill="1" applyAlignment="1" applyProtection="1">
      <alignment horizontal="center" vertical="center"/>
    </xf>
    <xf numFmtId="0" fontId="1" fillId="0" borderId="22" xfId="0" applyFont="1" applyFill="1" applyBorder="1" applyAlignment="1" applyProtection="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xf numFmtId="0" fontId="9" fillId="0" borderId="0" xfId="0" applyFont="1" applyAlignment="1">
      <alignment horizontal="center" vertical="center"/>
    </xf>
    <xf numFmtId="0" fontId="9" fillId="0" borderId="0" xfId="0" applyFont="1" applyAlignment="1"/>
    <xf numFmtId="0" fontId="1" fillId="0" borderId="0" xfId="0" applyFont="1" applyAlignment="1">
      <alignment horizontal="center" vertical="center" wrapText="1"/>
    </xf>
    <xf numFmtId="0" fontId="4" fillId="0" borderId="0"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2" xfId="0" applyFont="1" applyFill="1" applyBorder="1" applyAlignment="1">
      <alignment horizontal="center" vertical="center" wrapText="1"/>
    </xf>
    <xf numFmtId="2" fontId="1" fillId="6" borderId="22" xfId="0" applyNumberFormat="1" applyFont="1" applyFill="1" applyBorder="1" applyAlignment="1">
      <alignment horizontal="center" vertical="center"/>
    </xf>
    <xf numFmtId="1" fontId="1" fillId="0" borderId="17" xfId="0" applyNumberFormat="1" applyFont="1" applyFill="1" applyBorder="1" applyAlignment="1" applyProtection="1">
      <alignment horizontal="center" vertical="center"/>
      <protection locked="0"/>
    </xf>
    <xf numFmtId="0" fontId="4" fillId="7" borderId="6" xfId="0" applyFont="1" applyFill="1" applyBorder="1" applyAlignment="1">
      <alignment horizontal="center" vertical="center" wrapText="1"/>
    </xf>
    <xf numFmtId="2" fontId="1" fillId="9" borderId="6" xfId="0" applyNumberFormat="1" applyFont="1" applyFill="1" applyBorder="1" applyAlignment="1">
      <alignment horizontal="center" vertical="center"/>
    </xf>
    <xf numFmtId="1" fontId="1" fillId="0" borderId="1" xfId="0" applyNumberFormat="1" applyFont="1" applyFill="1" applyBorder="1" applyAlignment="1" applyProtection="1">
      <alignment horizontal="center" vertical="center"/>
      <protection locked="0"/>
    </xf>
    <xf numFmtId="0" fontId="1" fillId="8" borderId="11" xfId="0" applyFont="1" applyFill="1" applyBorder="1" applyAlignment="1">
      <alignment vertical="center"/>
    </xf>
    <xf numFmtId="2" fontId="1" fillId="6" borderId="6" xfId="0" applyNumberFormat="1" applyFont="1" applyFill="1" applyBorder="1" applyAlignment="1">
      <alignment horizontal="center" vertical="center"/>
    </xf>
    <xf numFmtId="0" fontId="1" fillId="8" borderId="15" xfId="0" applyFont="1" applyFill="1" applyBorder="1" applyAlignment="1">
      <alignment vertical="center"/>
    </xf>
    <xf numFmtId="0" fontId="4" fillId="7" borderId="7" xfId="0" applyFont="1" applyFill="1" applyBorder="1" applyAlignment="1">
      <alignment horizontal="center" vertical="center" wrapText="1"/>
    </xf>
    <xf numFmtId="0" fontId="1" fillId="8" borderId="23" xfId="0" applyFont="1" applyFill="1" applyBorder="1" applyAlignment="1">
      <alignment vertical="center"/>
    </xf>
    <xf numFmtId="2" fontId="1" fillId="0" borderId="0" xfId="0" applyNumberFormat="1" applyFont="1"/>
    <xf numFmtId="2" fontId="1" fillId="6" borderId="37" xfId="0" applyNumberFormat="1" applyFont="1" applyFill="1" applyBorder="1" applyAlignment="1">
      <alignment horizontal="center" vertical="center"/>
    </xf>
    <xf numFmtId="2" fontId="12" fillId="6" borderId="31" xfId="0" applyNumberFormat="1" applyFont="1" applyFill="1" applyBorder="1" applyAlignment="1">
      <alignment horizontal="center" vertical="center"/>
    </xf>
    <xf numFmtId="0" fontId="1" fillId="8" borderId="38" xfId="0" applyFont="1" applyFill="1" applyBorder="1" applyAlignment="1">
      <alignment horizontal="center" vertical="center"/>
    </xf>
    <xf numFmtId="0" fontId="4" fillId="7" borderId="22" xfId="0" applyFont="1" applyFill="1" applyBorder="1" applyAlignment="1">
      <alignment horizontal="center" vertical="center" wrapText="1"/>
    </xf>
    <xf numFmtId="1" fontId="1" fillId="0" borderId="3" xfId="0" applyNumberFormat="1" applyFont="1" applyFill="1" applyBorder="1" applyAlignment="1" applyProtection="1">
      <alignment horizontal="center" vertical="center"/>
      <protection locked="0"/>
    </xf>
    <xf numFmtId="0" fontId="4" fillId="7" borderId="42" xfId="0" applyFont="1" applyFill="1" applyBorder="1" applyAlignment="1">
      <alignment horizontal="center" vertical="center" wrapText="1"/>
    </xf>
    <xf numFmtId="2" fontId="1" fillId="9" borderId="42" xfId="0" applyNumberFormat="1" applyFont="1" applyFill="1" applyBorder="1" applyAlignment="1">
      <alignment horizontal="center" vertical="center"/>
    </xf>
    <xf numFmtId="2" fontId="1" fillId="6" borderId="8" xfId="0" applyNumberFormat="1" applyFont="1" applyFill="1" applyBorder="1" applyAlignment="1">
      <alignment horizontal="center" vertical="center"/>
    </xf>
    <xf numFmtId="2" fontId="1" fillId="9" borderId="8" xfId="0" applyNumberFormat="1" applyFont="1" applyFill="1" applyBorder="1" applyAlignment="1">
      <alignment horizontal="center" vertical="center"/>
    </xf>
    <xf numFmtId="2" fontId="1" fillId="9" borderId="46" xfId="0" applyNumberFormat="1" applyFont="1" applyFill="1" applyBorder="1" applyAlignment="1">
      <alignment horizontal="center" vertical="center"/>
    </xf>
    <xf numFmtId="2" fontId="1" fillId="6" borderId="18" xfId="0" applyNumberFormat="1" applyFont="1" applyFill="1" applyBorder="1" applyAlignment="1">
      <alignment horizontal="center" vertical="center"/>
    </xf>
    <xf numFmtId="164" fontId="1" fillId="10" borderId="24" xfId="0" applyNumberFormat="1" applyFont="1" applyFill="1" applyBorder="1" applyAlignment="1" applyProtection="1">
      <alignment horizontal="center" vertical="center"/>
    </xf>
    <xf numFmtId="164" fontId="1" fillId="8" borderId="17" xfId="0" applyNumberFormat="1" applyFont="1" applyFill="1" applyBorder="1" applyAlignment="1">
      <alignment horizontal="center" vertical="center"/>
    </xf>
    <xf numFmtId="166" fontId="1" fillId="0" borderId="44" xfId="0" applyNumberFormat="1" applyFont="1" applyFill="1" applyBorder="1" applyAlignment="1" applyProtection="1">
      <alignment horizontal="center" vertical="center"/>
      <protection locked="0"/>
    </xf>
    <xf numFmtId="166" fontId="1" fillId="9" borderId="3" xfId="0" applyNumberFormat="1" applyFont="1" applyFill="1" applyBorder="1" applyAlignment="1">
      <alignment horizontal="center" vertical="center"/>
    </xf>
    <xf numFmtId="166" fontId="1" fillId="9" borderId="18" xfId="0" applyNumberFormat="1" applyFont="1" applyFill="1" applyBorder="1" applyAlignment="1">
      <alignment horizontal="center" vertical="center"/>
    </xf>
    <xf numFmtId="166" fontId="1" fillId="9" borderId="46" xfId="0" applyNumberFormat="1" applyFont="1" applyFill="1" applyBorder="1" applyAlignment="1">
      <alignment horizontal="center" vertical="center"/>
    </xf>
    <xf numFmtId="0" fontId="9" fillId="2" borderId="9" xfId="0" applyFont="1" applyFill="1" applyBorder="1" applyAlignment="1" applyProtection="1">
      <alignment horizontal="center" vertical="center"/>
    </xf>
    <xf numFmtId="0" fontId="4" fillId="3" borderId="48" xfId="0" applyFont="1" applyFill="1" applyBorder="1" applyAlignment="1" applyProtection="1">
      <alignment horizontal="center" vertical="center" wrapText="1"/>
    </xf>
    <xf numFmtId="0" fontId="4" fillId="3" borderId="39" xfId="0" applyFont="1" applyFill="1" applyBorder="1" applyAlignment="1" applyProtection="1">
      <alignment horizontal="center" vertical="center" wrapText="1"/>
    </xf>
    <xf numFmtId="2" fontId="15" fillId="11" borderId="32" xfId="1" applyNumberFormat="1" applyFont="1" applyFill="1" applyBorder="1" applyAlignment="1" applyProtection="1">
      <alignment vertical="center" wrapText="1"/>
      <protection locked="0"/>
    </xf>
    <xf numFmtId="2" fontId="15" fillId="12" borderId="28" xfId="1" applyNumberFormat="1" applyFont="1" applyFill="1" applyBorder="1" applyAlignment="1" applyProtection="1">
      <alignment vertical="center" wrapText="1"/>
      <protection locked="0"/>
    </xf>
    <xf numFmtId="2" fontId="15" fillId="11" borderId="28" xfId="1" applyNumberFormat="1" applyFont="1" applyFill="1" applyBorder="1" applyAlignment="1" applyProtection="1">
      <alignment vertical="center" wrapText="1"/>
      <protection locked="0"/>
    </xf>
    <xf numFmtId="166" fontId="15" fillId="11" borderId="32" xfId="0" applyNumberFormat="1" applyFont="1" applyFill="1" applyBorder="1" applyAlignment="1" applyProtection="1">
      <alignment vertical="center" wrapText="1"/>
      <protection locked="0"/>
    </xf>
    <xf numFmtId="166" fontId="15" fillId="12" borderId="28" xfId="0" applyNumberFormat="1" applyFont="1" applyFill="1" applyBorder="1" applyAlignment="1" applyProtection="1">
      <alignment vertical="center" wrapText="1"/>
      <protection locked="0"/>
    </xf>
    <xf numFmtId="166" fontId="15" fillId="11" borderId="28" xfId="0" applyNumberFormat="1" applyFont="1" applyFill="1" applyBorder="1" applyAlignment="1" applyProtection="1">
      <alignment vertical="center" wrapText="1"/>
      <protection locked="0"/>
    </xf>
    <xf numFmtId="166" fontId="8" fillId="12" borderId="28" xfId="0" applyNumberFormat="1" applyFont="1" applyFill="1" applyBorder="1" applyAlignment="1" applyProtection="1">
      <alignment vertical="center"/>
      <protection locked="0"/>
    </xf>
    <xf numFmtId="166" fontId="8" fillId="11" borderId="28" xfId="0" applyNumberFormat="1" applyFont="1" applyFill="1" applyBorder="1" applyAlignment="1" applyProtection="1">
      <alignment vertical="center"/>
      <protection locked="0"/>
    </xf>
    <xf numFmtId="0" fontId="11" fillId="0" borderId="0" xfId="0" applyFont="1" applyFill="1" applyBorder="1" applyAlignment="1">
      <alignment horizontal="center" vertical="center" wrapText="1"/>
    </xf>
    <xf numFmtId="2" fontId="12"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164" fontId="12" fillId="0" borderId="0" xfId="0" applyNumberFormat="1" applyFont="1" applyFill="1" applyBorder="1" applyAlignment="1">
      <alignment horizontal="center" vertical="center"/>
    </xf>
    <xf numFmtId="166" fontId="1" fillId="0" borderId="50" xfId="0" applyNumberFormat="1" applyFont="1" applyFill="1" applyBorder="1" applyAlignment="1" applyProtection="1">
      <alignment horizontal="center" vertical="center"/>
      <protection locked="0"/>
    </xf>
    <xf numFmtId="166" fontId="1" fillId="9" borderId="15" xfId="0" applyNumberFormat="1" applyFont="1" applyFill="1" applyBorder="1" applyAlignment="1">
      <alignment horizontal="center" vertical="center"/>
    </xf>
    <xf numFmtId="1" fontId="1" fillId="0" borderId="11" xfId="0" applyNumberFormat="1" applyFont="1" applyFill="1" applyBorder="1" applyAlignment="1" applyProtection="1">
      <alignment horizontal="center" vertical="center"/>
      <protection locked="0"/>
    </xf>
    <xf numFmtId="2" fontId="1" fillId="6" borderId="49" xfId="0" applyNumberFormat="1" applyFont="1" applyFill="1" applyBorder="1" applyAlignment="1">
      <alignment horizontal="center" vertical="center"/>
    </xf>
    <xf numFmtId="2" fontId="8" fillId="6" borderId="31" xfId="0" applyNumberFormat="1" applyFont="1" applyFill="1" applyBorder="1" applyAlignment="1">
      <alignment horizontal="center" vertical="center"/>
    </xf>
    <xf numFmtId="0" fontId="8" fillId="8" borderId="38" xfId="0" applyFont="1" applyFill="1" applyBorder="1" applyAlignment="1">
      <alignment horizontal="center" vertical="center"/>
    </xf>
    <xf numFmtId="2" fontId="8" fillId="6" borderId="39" xfId="0" applyNumberFormat="1" applyFont="1" applyFill="1" applyBorder="1" applyAlignment="1">
      <alignment horizontal="center" vertical="center"/>
    </xf>
    <xf numFmtId="0" fontId="1" fillId="13" borderId="1" xfId="0" applyFont="1" applyFill="1" applyBorder="1" applyAlignment="1" applyProtection="1">
      <alignment horizontal="center" vertical="center"/>
    </xf>
    <xf numFmtId="0" fontId="1" fillId="13" borderId="21" xfId="0" applyFont="1" applyFill="1" applyBorder="1" applyAlignment="1" applyProtection="1">
      <alignment horizontal="center" vertical="center"/>
    </xf>
    <xf numFmtId="0" fontId="1" fillId="15" borderId="1" xfId="0" applyFont="1" applyFill="1" applyBorder="1" applyAlignment="1" applyProtection="1">
      <alignment horizontal="center" vertical="center"/>
    </xf>
    <xf numFmtId="0" fontId="1" fillId="15" borderId="21" xfId="0" applyFont="1" applyFill="1" applyBorder="1" applyAlignment="1" applyProtection="1">
      <alignment horizontal="center" vertical="center"/>
    </xf>
    <xf numFmtId="0" fontId="1" fillId="15" borderId="17" xfId="0" applyFont="1" applyFill="1" applyBorder="1" applyAlignment="1" applyProtection="1">
      <alignment horizontal="center" vertical="center"/>
    </xf>
    <xf numFmtId="166" fontId="19" fillId="16" borderId="5" xfId="1" applyNumberFormat="1" applyFont="1" applyFill="1" applyBorder="1" applyAlignment="1" applyProtection="1">
      <alignment vertical="center" wrapText="1"/>
    </xf>
    <xf numFmtId="166" fontId="20" fillId="17" borderId="47" xfId="0" applyNumberFormat="1" applyFont="1" applyFill="1" applyBorder="1" applyAlignment="1" applyProtection="1">
      <alignment vertical="center" wrapText="1"/>
    </xf>
    <xf numFmtId="166" fontId="11" fillId="17" borderId="45" xfId="0" applyNumberFormat="1" applyFont="1" applyFill="1" applyBorder="1" applyAlignment="1" applyProtection="1">
      <alignment vertical="center" wrapText="1"/>
    </xf>
    <xf numFmtId="166" fontId="11" fillId="17" borderId="49" xfId="0" applyNumberFormat="1" applyFont="1" applyFill="1" applyBorder="1" applyAlignment="1" applyProtection="1">
      <alignment vertical="center" wrapText="1"/>
    </xf>
    <xf numFmtId="2" fontId="1" fillId="9" borderId="6" xfId="0" applyNumberFormat="1" applyFont="1" applyFill="1" applyBorder="1" applyAlignment="1" applyProtection="1">
      <alignment horizontal="center" vertical="center"/>
      <protection locked="0"/>
    </xf>
    <xf numFmtId="0" fontId="1" fillId="0" borderId="0" xfId="0" quotePrefix="1" applyFont="1" applyAlignment="1" applyProtection="1">
      <alignment horizontal="center" vertical="top" wrapText="1"/>
    </xf>
    <xf numFmtId="0" fontId="1" fillId="6" borderId="32" xfId="0" applyFont="1" applyFill="1" applyBorder="1" applyAlignment="1">
      <alignment horizontal="center" vertical="center"/>
    </xf>
    <xf numFmtId="0" fontId="1" fillId="6" borderId="3" xfId="0" applyFont="1" applyFill="1" applyBorder="1" applyAlignment="1">
      <alignment horizontal="center" vertical="center"/>
    </xf>
    <xf numFmtId="0" fontId="1" fillId="21" borderId="1" xfId="0" applyFont="1" applyFill="1" applyBorder="1" applyAlignment="1" applyProtection="1">
      <alignment horizontal="center" vertical="center"/>
      <protection locked="0"/>
    </xf>
    <xf numFmtId="0" fontId="1" fillId="21" borderId="21" xfId="0" applyFont="1" applyFill="1" applyBorder="1" applyAlignment="1" applyProtection="1">
      <alignment horizontal="center" vertical="center"/>
      <protection locked="0"/>
    </xf>
    <xf numFmtId="0" fontId="1" fillId="23" borderId="1" xfId="0" applyFont="1" applyFill="1" applyBorder="1" applyAlignment="1" applyProtection="1">
      <alignment horizontal="center" vertical="center"/>
      <protection locked="0"/>
    </xf>
    <xf numFmtId="0" fontId="1" fillId="23" borderId="21" xfId="0" applyFont="1" applyFill="1" applyBorder="1" applyAlignment="1" applyProtection="1">
      <alignment horizontal="center" vertical="center"/>
      <protection locked="0"/>
    </xf>
    <xf numFmtId="0" fontId="16" fillId="19" borderId="1" xfId="0" applyFont="1" applyFill="1" applyBorder="1" applyAlignment="1" applyProtection="1">
      <alignment horizontal="center" vertical="center" wrapText="1"/>
    </xf>
    <xf numFmtId="0" fontId="4" fillId="5" borderId="28" xfId="0" applyFont="1" applyFill="1" applyBorder="1" applyAlignment="1">
      <alignment horizontal="center" vertical="center" textRotation="90" wrapText="1"/>
    </xf>
    <xf numFmtId="0" fontId="16" fillId="24" borderId="11" xfId="0" applyFont="1" applyFill="1" applyBorder="1" applyAlignment="1" applyProtection="1">
      <alignment horizontal="center" vertical="center" textRotation="90" wrapText="1"/>
    </xf>
    <xf numFmtId="0" fontId="16" fillId="25" borderId="15" xfId="0" applyFont="1" applyFill="1" applyBorder="1" applyAlignment="1" applyProtection="1">
      <alignment horizontal="center" vertical="center" textRotation="90" wrapText="1"/>
    </xf>
    <xf numFmtId="0" fontId="16" fillId="25" borderId="32" xfId="0" applyFont="1" applyFill="1" applyBorder="1" applyAlignment="1" applyProtection="1">
      <alignment horizontal="center" vertical="center" wrapText="1"/>
    </xf>
    <xf numFmtId="0" fontId="1" fillId="8" borderId="26" xfId="0" applyFont="1" applyFill="1" applyBorder="1" applyAlignment="1">
      <alignment vertical="center"/>
    </xf>
    <xf numFmtId="0" fontId="1" fillId="6" borderId="14" xfId="0" applyFont="1" applyFill="1" applyBorder="1" applyAlignment="1">
      <alignment horizontal="center" vertical="center"/>
    </xf>
    <xf numFmtId="0" fontId="16" fillId="28" borderId="11" xfId="0" applyFont="1" applyFill="1" applyBorder="1" applyAlignment="1" applyProtection="1">
      <alignment horizontal="center" vertical="center" textRotation="90" wrapText="1"/>
    </xf>
    <xf numFmtId="165" fontId="1" fillId="26" borderId="18" xfId="0" applyNumberFormat="1" applyFont="1" applyFill="1" applyBorder="1" applyAlignment="1" applyProtection="1">
      <alignment horizontal="center" vertical="center"/>
    </xf>
    <xf numFmtId="165" fontId="1" fillId="26" borderId="8" xfId="0" applyNumberFormat="1" applyFont="1" applyFill="1" applyBorder="1" applyAlignment="1" applyProtection="1">
      <alignment horizontal="center" vertical="center"/>
    </xf>
    <xf numFmtId="165" fontId="1" fillId="26" borderId="9" xfId="0" applyNumberFormat="1" applyFont="1" applyFill="1" applyBorder="1" applyAlignment="1" applyProtection="1">
      <alignment horizontal="center" vertical="center"/>
    </xf>
    <xf numFmtId="165" fontId="1" fillId="26" borderId="39" xfId="0" applyNumberFormat="1" applyFont="1" applyFill="1" applyBorder="1" applyAlignment="1" applyProtection="1">
      <alignment horizontal="center" vertical="center"/>
    </xf>
    <xf numFmtId="0" fontId="4" fillId="3" borderId="12" xfId="0" applyFont="1" applyFill="1" applyBorder="1" applyAlignment="1" applyProtection="1">
      <alignment horizontal="center" vertical="center" wrapText="1"/>
    </xf>
    <xf numFmtId="0" fontId="10" fillId="14" borderId="20" xfId="0" applyFont="1" applyFill="1" applyBorder="1" applyAlignment="1" applyProtection="1">
      <alignment horizontal="center" vertical="center"/>
    </xf>
    <xf numFmtId="0" fontId="10" fillId="14" borderId="23" xfId="0" applyFont="1" applyFill="1" applyBorder="1" applyAlignment="1" applyProtection="1">
      <alignment horizontal="center" vertical="center"/>
    </xf>
    <xf numFmtId="0" fontId="4" fillId="14" borderId="1" xfId="0" applyFont="1" applyFill="1" applyBorder="1" applyAlignment="1" applyProtection="1">
      <alignment horizontal="center" vertical="center"/>
    </xf>
    <xf numFmtId="0" fontId="1" fillId="29" borderId="31" xfId="0" applyFont="1" applyFill="1" applyBorder="1" applyAlignment="1" applyProtection="1">
      <alignment horizontal="center" vertical="center" textRotation="90" wrapText="1"/>
    </xf>
    <xf numFmtId="0" fontId="4" fillId="14" borderId="34" xfId="0" applyFont="1" applyFill="1" applyBorder="1" applyAlignment="1">
      <alignment horizontal="center" vertical="center" textRotation="90" wrapText="1"/>
    </xf>
    <xf numFmtId="0" fontId="16" fillId="15" borderId="34" xfId="0" applyFont="1" applyFill="1" applyBorder="1" applyAlignment="1">
      <alignment horizontal="center" vertical="center" textRotation="90" wrapText="1"/>
    </xf>
    <xf numFmtId="0" fontId="16" fillId="15" borderId="34" xfId="0" quotePrefix="1" applyFont="1" applyFill="1" applyBorder="1" applyAlignment="1">
      <alignment horizontal="center" vertical="center" textRotation="90" wrapText="1"/>
    </xf>
    <xf numFmtId="0" fontId="4" fillId="10" borderId="39" xfId="0" applyFont="1" applyFill="1" applyBorder="1" applyAlignment="1">
      <alignment horizontal="center" vertical="center" textRotation="90" wrapText="1"/>
    </xf>
    <xf numFmtId="0" fontId="1" fillId="27" borderId="22" xfId="0" applyFont="1" applyFill="1" applyBorder="1" applyAlignment="1" applyProtection="1">
      <alignment horizontal="center" vertical="center"/>
    </xf>
    <xf numFmtId="0" fontId="1" fillId="27" borderId="6" xfId="0" applyFont="1" applyFill="1" applyBorder="1" applyAlignment="1" applyProtection="1">
      <alignment horizontal="center" vertical="center"/>
    </xf>
    <xf numFmtId="0" fontId="4" fillId="10" borderId="8" xfId="0" applyFont="1" applyFill="1" applyBorder="1" applyAlignment="1" applyProtection="1">
      <alignment horizontal="center" vertical="center"/>
    </xf>
    <xf numFmtId="0" fontId="1" fillId="27" borderId="7" xfId="0" applyFont="1" applyFill="1" applyBorder="1" applyAlignment="1" applyProtection="1">
      <alignment horizontal="center" vertical="center"/>
    </xf>
    <xf numFmtId="0" fontId="4" fillId="14" borderId="21" xfId="0" applyFont="1" applyFill="1" applyBorder="1" applyAlignment="1" applyProtection="1">
      <alignment horizontal="center" vertical="center"/>
    </xf>
    <xf numFmtId="0" fontId="4" fillId="10" borderId="9" xfId="0" applyFont="1" applyFill="1" applyBorder="1" applyAlignment="1" applyProtection="1">
      <alignment horizontal="center" vertical="center"/>
    </xf>
    <xf numFmtId="0" fontId="10" fillId="14" borderId="17" xfId="0" applyFont="1" applyFill="1" applyBorder="1" applyAlignment="1" applyProtection="1">
      <alignment horizontal="center" vertical="center"/>
    </xf>
    <xf numFmtId="0" fontId="10" fillId="14" borderId="1" xfId="0" applyFont="1" applyFill="1" applyBorder="1" applyAlignment="1" applyProtection="1">
      <alignment horizontal="center" vertical="center"/>
    </xf>
    <xf numFmtId="0" fontId="10" fillId="14" borderId="21" xfId="0" applyFont="1" applyFill="1" applyBorder="1" applyAlignment="1" applyProtection="1">
      <alignment horizontal="center" vertical="center"/>
    </xf>
    <xf numFmtId="0" fontId="11" fillId="10" borderId="18" xfId="0" applyFont="1" applyFill="1" applyBorder="1" applyAlignment="1" applyProtection="1">
      <alignment horizontal="center" vertical="center"/>
    </xf>
    <xf numFmtId="0" fontId="11" fillId="10" borderId="8"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52" xfId="0" applyFont="1" applyFill="1" applyBorder="1" applyAlignment="1" applyProtection="1">
      <alignment horizontal="center" vertical="center"/>
    </xf>
    <xf numFmtId="0" fontId="16" fillId="18" borderId="15" xfId="0" applyFont="1" applyFill="1" applyBorder="1" applyAlignment="1" applyProtection="1">
      <alignment horizontal="center" vertical="center" wrapText="1"/>
    </xf>
    <xf numFmtId="0" fontId="10" fillId="14" borderId="52" xfId="0" applyFont="1" applyFill="1" applyBorder="1" applyAlignment="1" applyProtection="1">
      <alignment horizontal="center" vertical="center"/>
    </xf>
    <xf numFmtId="0" fontId="1" fillId="13" borderId="53" xfId="0" applyFont="1" applyFill="1" applyBorder="1" applyAlignment="1" applyProtection="1">
      <alignment horizontal="center" vertical="center"/>
    </xf>
    <xf numFmtId="0" fontId="1" fillId="23" borderId="8" xfId="0" applyFont="1" applyFill="1" applyBorder="1" applyAlignment="1" applyProtection="1">
      <alignment horizontal="center" vertical="center" wrapText="1"/>
      <protection locked="0"/>
    </xf>
    <xf numFmtId="0" fontId="8" fillId="2" borderId="36" xfId="0" applyFont="1" applyFill="1" applyBorder="1" applyAlignment="1" applyProtection="1">
      <alignment horizontal="right" vertical="center"/>
    </xf>
    <xf numFmtId="0" fontId="1" fillId="2" borderId="2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9" fillId="2" borderId="46" xfId="0" applyFont="1" applyFill="1" applyBorder="1" applyAlignment="1" applyProtection="1">
      <alignment horizontal="center" vertical="center" wrapText="1"/>
    </xf>
    <xf numFmtId="165" fontId="1" fillId="26" borderId="42" xfId="0" applyNumberFormat="1" applyFont="1" applyFill="1" applyBorder="1" applyAlignment="1" applyProtection="1">
      <alignment horizontal="center" vertical="center" wrapText="1"/>
    </xf>
    <xf numFmtId="165" fontId="1" fillId="26" borderId="3" xfId="0" applyNumberFormat="1" applyFont="1" applyFill="1" applyBorder="1" applyAlignment="1" applyProtection="1">
      <alignment horizontal="center" vertical="center" wrapText="1"/>
    </xf>
    <xf numFmtId="165" fontId="1" fillId="26" borderId="46" xfId="0" applyNumberFormat="1" applyFont="1" applyFill="1" applyBorder="1" applyAlignment="1" applyProtection="1">
      <alignment horizontal="center" vertical="center" wrapText="1"/>
    </xf>
    <xf numFmtId="0" fontId="8" fillId="2" borderId="60" xfId="0" applyFont="1" applyFill="1" applyBorder="1" applyAlignment="1" applyProtection="1">
      <alignment horizontal="right" vertical="center"/>
    </xf>
    <xf numFmtId="0" fontId="8" fillId="0" borderId="14" xfId="0" applyFont="1" applyFill="1" applyBorder="1" applyAlignment="1" applyProtection="1">
      <alignment vertical="center"/>
      <protection locked="0"/>
    </xf>
    <xf numFmtId="2" fontId="1" fillId="6" borderId="42" xfId="0" applyNumberFormat="1" applyFont="1" applyFill="1" applyBorder="1" applyAlignment="1">
      <alignment horizontal="center" vertical="center"/>
    </xf>
    <xf numFmtId="166" fontId="1" fillId="0" borderId="17" xfId="0" applyNumberFormat="1" applyFont="1" applyFill="1" applyBorder="1" applyAlignment="1" applyProtection="1">
      <alignment horizontal="center" vertical="center"/>
      <protection locked="0"/>
    </xf>
    <xf numFmtId="165" fontId="1" fillId="26" borderId="63" xfId="0" applyNumberFormat="1" applyFont="1" applyFill="1" applyBorder="1" applyAlignment="1" applyProtection="1">
      <alignment horizontal="center" vertical="center" wrapText="1"/>
    </xf>
    <xf numFmtId="165" fontId="1" fillId="26" borderId="64" xfId="0" applyNumberFormat="1" applyFont="1" applyFill="1" applyBorder="1" applyAlignment="1" applyProtection="1">
      <alignment horizontal="center" vertical="center" wrapText="1"/>
    </xf>
    <xf numFmtId="165" fontId="1" fillId="26" borderId="65" xfId="0" applyNumberFormat="1" applyFont="1" applyFill="1" applyBorder="1" applyAlignment="1" applyProtection="1">
      <alignment horizontal="center" vertical="center" wrapText="1"/>
    </xf>
    <xf numFmtId="165" fontId="1" fillId="26" borderId="66" xfId="0" applyNumberFormat="1" applyFont="1" applyFill="1" applyBorder="1" applyAlignment="1" applyProtection="1">
      <alignment horizontal="center" vertical="center" wrapText="1"/>
    </xf>
    <xf numFmtId="165" fontId="1" fillId="26" borderId="67" xfId="0" applyNumberFormat="1" applyFont="1" applyFill="1" applyBorder="1" applyAlignment="1" applyProtection="1">
      <alignment horizontal="center" vertical="center" wrapText="1"/>
    </xf>
    <xf numFmtId="165" fontId="1" fillId="26" borderId="68" xfId="0" applyNumberFormat="1" applyFont="1" applyFill="1" applyBorder="1" applyAlignment="1" applyProtection="1">
      <alignment horizontal="center" vertical="center" wrapText="1"/>
    </xf>
    <xf numFmtId="0" fontId="9" fillId="2" borderId="41" xfId="0" applyFont="1" applyFill="1" applyBorder="1" applyAlignment="1" applyProtection="1">
      <alignment horizontal="center" vertical="center" wrapText="1"/>
    </xf>
    <xf numFmtId="0" fontId="9" fillId="2" borderId="69"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68" xfId="0" applyFont="1" applyFill="1" applyBorder="1" applyAlignment="1" applyProtection="1">
      <alignment horizontal="center" vertical="center" wrapText="1"/>
    </xf>
    <xf numFmtId="0" fontId="9" fillId="2" borderId="52" xfId="0" applyFont="1" applyFill="1" applyBorder="1" applyAlignment="1" applyProtection="1">
      <alignment horizontal="center" vertical="center" wrapText="1"/>
    </xf>
    <xf numFmtId="165" fontId="1" fillId="26" borderId="20" xfId="0" applyNumberFormat="1" applyFont="1" applyFill="1" applyBorder="1" applyAlignment="1" applyProtection="1">
      <alignment horizontal="center" vertical="center" wrapText="1"/>
    </xf>
    <xf numFmtId="165" fontId="1" fillId="26" borderId="23" xfId="0" applyNumberFormat="1" applyFont="1" applyFill="1" applyBorder="1" applyAlignment="1" applyProtection="1">
      <alignment horizontal="center" vertical="center" wrapText="1"/>
    </xf>
    <xf numFmtId="165" fontId="1" fillId="26" borderId="52" xfId="0" applyNumberFormat="1" applyFont="1" applyFill="1" applyBorder="1" applyAlignment="1" applyProtection="1">
      <alignment horizontal="center" vertical="center" wrapText="1"/>
    </xf>
    <xf numFmtId="0" fontId="9" fillId="2" borderId="70" xfId="0" applyFont="1" applyFill="1" applyBorder="1" applyAlignment="1" applyProtection="1">
      <alignment horizontal="center" vertical="center" wrapText="1"/>
    </xf>
    <xf numFmtId="165" fontId="1" fillId="26" borderId="71" xfId="0" applyNumberFormat="1" applyFont="1" applyFill="1" applyBorder="1" applyAlignment="1" applyProtection="1">
      <alignment horizontal="center" vertical="center" wrapText="1"/>
    </xf>
    <xf numFmtId="165" fontId="1" fillId="26" borderId="72" xfId="0" applyNumberFormat="1" applyFont="1" applyFill="1" applyBorder="1" applyAlignment="1" applyProtection="1">
      <alignment horizontal="center" vertical="center" wrapText="1"/>
    </xf>
    <xf numFmtId="165" fontId="1" fillId="26" borderId="70" xfId="0" applyNumberFormat="1" applyFont="1" applyFill="1" applyBorder="1" applyAlignment="1" applyProtection="1">
      <alignment horizontal="center" vertical="center" wrapText="1"/>
    </xf>
    <xf numFmtId="0" fontId="14" fillId="11" borderId="42" xfId="0" applyFont="1" applyFill="1" applyBorder="1" applyAlignment="1" applyProtection="1">
      <alignment horizontal="center" vertical="center" wrapText="1"/>
    </xf>
    <xf numFmtId="0" fontId="14" fillId="12" borderId="6" xfId="0" applyFont="1" applyFill="1" applyBorder="1" applyAlignment="1" applyProtection="1">
      <alignment horizontal="center" vertical="center" wrapText="1"/>
    </xf>
    <xf numFmtId="0" fontId="14" fillId="11" borderId="6" xfId="0" applyFont="1" applyFill="1" applyBorder="1" applyAlignment="1" applyProtection="1">
      <alignment horizontal="center" vertical="center" wrapText="1"/>
    </xf>
    <xf numFmtId="0" fontId="14" fillId="12" borderId="37" xfId="0" applyFont="1" applyFill="1" applyBorder="1" applyAlignment="1" applyProtection="1">
      <alignment horizontal="center" vertical="center" wrapText="1"/>
    </xf>
    <xf numFmtId="2" fontId="19" fillId="16" borderId="12" xfId="1" applyNumberFormat="1" applyFont="1" applyFill="1" applyBorder="1" applyAlignment="1" applyProtection="1">
      <alignment vertical="center" wrapText="1"/>
    </xf>
    <xf numFmtId="0" fontId="25" fillId="0" borderId="3" xfId="2" applyFont="1" applyFill="1" applyBorder="1" applyAlignment="1" applyProtection="1">
      <alignment horizontal="center" vertical="center" wrapText="1"/>
      <protection locked="0"/>
    </xf>
    <xf numFmtId="0" fontId="25" fillId="0" borderId="33" xfId="2" applyFont="1" applyFill="1" applyBorder="1" applyAlignment="1" applyProtection="1">
      <alignment horizontal="center" vertical="center" wrapText="1"/>
      <protection locked="0"/>
    </xf>
    <xf numFmtId="0" fontId="25" fillId="0" borderId="17" xfId="0" applyFont="1" applyFill="1" applyBorder="1" applyAlignment="1" applyProtection="1">
      <alignment horizontal="center" vertical="center" wrapText="1"/>
      <protection locked="0"/>
    </xf>
    <xf numFmtId="0" fontId="25" fillId="0" borderId="43"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25" fillId="0" borderId="14" xfId="0" applyFont="1" applyFill="1" applyBorder="1" applyAlignment="1" applyProtection="1">
      <alignment horizontal="center" vertical="center" wrapText="1"/>
      <protection locked="0"/>
    </xf>
    <xf numFmtId="0" fontId="25" fillId="0" borderId="3" xfId="0" applyFont="1" applyFill="1" applyBorder="1" applyAlignment="1" applyProtection="1">
      <alignment horizontal="center" vertical="center" wrapText="1"/>
      <protection locked="0"/>
    </xf>
    <xf numFmtId="0" fontId="25" fillId="0" borderId="33" xfId="0" applyFont="1" applyFill="1" applyBorder="1" applyAlignment="1" applyProtection="1">
      <alignment horizontal="center" vertical="center" wrapText="1"/>
      <protection locked="0"/>
    </xf>
    <xf numFmtId="0" fontId="1" fillId="21" borderId="11" xfId="0" applyFont="1" applyFill="1" applyBorder="1" applyAlignment="1" applyProtection="1">
      <alignment horizontal="center" vertical="center"/>
      <protection locked="0"/>
    </xf>
    <xf numFmtId="0" fontId="1" fillId="23" borderId="11" xfId="0" applyFont="1" applyFill="1" applyBorder="1" applyAlignment="1" applyProtection="1">
      <alignment horizontal="center" vertical="center"/>
      <protection locked="0"/>
    </xf>
    <xf numFmtId="0" fontId="1" fillId="23" borderId="49" xfId="0" applyFont="1" applyFill="1" applyBorder="1" applyAlignment="1" applyProtection="1">
      <alignment horizontal="center" vertical="center" wrapText="1"/>
      <protection locked="0"/>
    </xf>
    <xf numFmtId="0" fontId="1" fillId="13" borderId="74"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4" fillId="14" borderId="11" xfId="0" applyFont="1" applyFill="1" applyBorder="1" applyAlignment="1" applyProtection="1">
      <alignment horizontal="center" vertical="center"/>
    </xf>
    <xf numFmtId="0" fontId="1" fillId="15" borderId="11" xfId="0" applyFont="1" applyFill="1" applyBorder="1" applyAlignment="1" applyProtection="1">
      <alignment horizontal="center" vertical="center"/>
    </xf>
    <xf numFmtId="0" fontId="4" fillId="10" borderId="49" xfId="0" applyFont="1" applyFill="1" applyBorder="1" applyAlignment="1" applyProtection="1">
      <alignment horizontal="center" vertical="center"/>
    </xf>
    <xf numFmtId="0" fontId="1" fillId="0" borderId="0" xfId="0" applyFont="1" applyFill="1" applyBorder="1" applyAlignment="1" applyProtection="1">
      <alignment horizontal="center" vertical="center"/>
    </xf>
    <xf numFmtId="0" fontId="1" fillId="21" borderId="26" xfId="0" applyFont="1" applyFill="1" applyBorder="1" applyAlignment="1" applyProtection="1">
      <alignment horizontal="center" vertical="center"/>
      <protection locked="0"/>
    </xf>
    <xf numFmtId="0" fontId="1" fillId="23" borderId="26" xfId="0" applyFont="1" applyFill="1" applyBorder="1" applyAlignment="1" applyProtection="1">
      <alignment horizontal="center" vertical="center"/>
      <protection locked="0"/>
    </xf>
    <xf numFmtId="0" fontId="1" fillId="23" borderId="41" xfId="0" applyFont="1" applyFill="1" applyBorder="1" applyAlignment="1" applyProtection="1">
      <alignment horizontal="center" vertical="center" wrapText="1"/>
      <protection locked="0"/>
    </xf>
    <xf numFmtId="0" fontId="1" fillId="13" borderId="73" xfId="0" applyFont="1" applyFill="1" applyBorder="1" applyAlignment="1" applyProtection="1">
      <alignment horizontal="center" vertical="center"/>
    </xf>
    <xf numFmtId="0" fontId="1" fillId="13" borderId="26" xfId="0" applyFont="1" applyFill="1" applyBorder="1" applyAlignment="1" applyProtection="1">
      <alignment horizontal="center" vertical="center"/>
    </xf>
    <xf numFmtId="0" fontId="4" fillId="14" borderId="26" xfId="0" applyFont="1" applyFill="1" applyBorder="1" applyAlignment="1" applyProtection="1">
      <alignment horizontal="center" vertical="center"/>
    </xf>
    <xf numFmtId="0" fontId="1" fillId="15" borderId="26" xfId="0" applyFont="1" applyFill="1" applyBorder="1" applyAlignment="1" applyProtection="1">
      <alignment horizontal="center" vertical="center"/>
    </xf>
    <xf numFmtId="0" fontId="4" fillId="10" borderId="41" xfId="0" applyFont="1" applyFill="1" applyBorder="1" applyAlignment="1" applyProtection="1">
      <alignment horizontal="center" vertical="center"/>
    </xf>
    <xf numFmtId="0" fontId="2" fillId="0" borderId="0" xfId="0" applyFont="1" applyAlignment="1" applyProtection="1">
      <alignment horizontal="center" vertical="center" wrapText="1"/>
    </xf>
    <xf numFmtId="0" fontId="25" fillId="0" borderId="1" xfId="0" applyFont="1" applyFill="1" applyBorder="1" applyAlignment="1" applyProtection="1">
      <alignment horizontal="center" vertical="center" wrapText="1"/>
      <protection locked="0"/>
    </xf>
    <xf numFmtId="0" fontId="8" fillId="0" borderId="1" xfId="0" applyFont="1" applyBorder="1" applyAlignment="1">
      <alignment wrapText="1"/>
    </xf>
    <xf numFmtId="0" fontId="9" fillId="0" borderId="0" xfId="0" applyFont="1" applyAlignment="1" applyProtection="1">
      <alignment horizontal="center" vertical="center"/>
    </xf>
    <xf numFmtId="167" fontId="1" fillId="0" borderId="0" xfId="0" applyNumberFormat="1" applyFont="1"/>
    <xf numFmtId="167" fontId="12" fillId="6" borderId="39" xfId="4" applyNumberFormat="1" applyFont="1" applyFill="1" applyBorder="1" applyAlignment="1">
      <alignment horizontal="center" vertical="center"/>
    </xf>
    <xf numFmtId="167" fontId="8" fillId="6" borderId="34" xfId="4" applyNumberFormat="1" applyFont="1" applyFill="1" applyBorder="1" applyAlignment="1">
      <alignment horizontal="center" vertical="center"/>
    </xf>
    <xf numFmtId="0" fontId="25" fillId="0" borderId="3"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0" fontId="25" fillId="0" borderId="11" xfId="0" applyFont="1" applyFill="1" applyBorder="1" applyAlignment="1" applyProtection="1">
      <alignment horizontal="center" vertical="center" wrapText="1"/>
      <protection locked="0"/>
    </xf>
    <xf numFmtId="0" fontId="1" fillId="0" borderId="36" xfId="0" applyFont="1" applyFill="1" applyBorder="1" applyAlignment="1" applyProtection="1">
      <alignment horizontal="center" vertical="center"/>
    </xf>
    <xf numFmtId="0" fontId="27" fillId="0" borderId="11" xfId="0" applyFont="1" applyFill="1" applyBorder="1" applyAlignment="1" applyProtection="1">
      <alignment horizontal="center" vertical="center" wrapText="1"/>
      <protection locked="0"/>
    </xf>
    <xf numFmtId="0" fontId="1" fillId="0" borderId="42" xfId="0" applyFont="1" applyFill="1" applyBorder="1" applyAlignment="1" applyProtection="1">
      <alignment horizontal="center" vertical="center"/>
    </xf>
    <xf numFmtId="0" fontId="25" fillId="0" borderId="21" xfId="0" applyFont="1" applyFill="1" applyBorder="1" applyAlignment="1" applyProtection="1">
      <alignment horizontal="center" vertical="center" wrapText="1"/>
      <protection locked="0"/>
    </xf>
    <xf numFmtId="0" fontId="16" fillId="13" borderId="37" xfId="0" applyFont="1" applyFill="1" applyBorder="1" applyAlignment="1">
      <alignment horizontal="center" vertical="center" textRotation="90" wrapText="1"/>
    </xf>
    <xf numFmtId="0" fontId="16" fillId="13" borderId="11" xfId="0" applyFont="1" applyFill="1" applyBorder="1" applyAlignment="1">
      <alignment horizontal="center" vertical="center" textRotation="90" wrapText="1"/>
    </xf>
    <xf numFmtId="0" fontId="4" fillId="14" borderId="11" xfId="0" applyFont="1" applyFill="1" applyBorder="1" applyAlignment="1">
      <alignment horizontal="center" vertical="center" textRotation="90" wrapText="1"/>
    </xf>
    <xf numFmtId="0" fontId="16" fillId="15" borderId="11" xfId="0" applyFont="1" applyFill="1" applyBorder="1" applyAlignment="1">
      <alignment horizontal="center" vertical="center" textRotation="90" wrapText="1"/>
    </xf>
    <xf numFmtId="0" fontId="16" fillId="15" borderId="11" xfId="0" quotePrefix="1" applyFont="1" applyFill="1" applyBorder="1" applyAlignment="1">
      <alignment horizontal="center" vertical="center" textRotation="90" wrapText="1"/>
    </xf>
    <xf numFmtId="0" fontId="4" fillId="10" borderId="49" xfId="0" applyFont="1" applyFill="1" applyBorder="1" applyAlignment="1">
      <alignment horizontal="center" vertical="center" textRotation="90" wrapText="1"/>
    </xf>
    <xf numFmtId="0" fontId="25" fillId="0" borderId="23" xfId="2" applyFont="1" applyFill="1" applyBorder="1" applyAlignment="1" applyProtection="1">
      <alignment horizontal="center" vertical="center" wrapText="1"/>
      <protection locked="0"/>
    </xf>
    <xf numFmtId="165" fontId="1" fillId="15" borderId="26" xfId="0" applyNumberFormat="1" applyFont="1" applyFill="1" applyBorder="1" applyAlignment="1" applyProtection="1">
      <alignment horizontal="center" vertical="center"/>
    </xf>
    <xf numFmtId="165" fontId="1" fillId="15" borderId="1" xfId="0" applyNumberFormat="1" applyFont="1" applyFill="1" applyBorder="1" applyAlignment="1" applyProtection="1">
      <alignment horizontal="center" vertical="center"/>
    </xf>
    <xf numFmtId="0" fontId="25" fillId="27" borderId="43" xfId="0" applyFont="1" applyFill="1" applyBorder="1" applyAlignment="1" applyProtection="1">
      <alignment horizontal="center" vertical="center" wrapText="1"/>
      <protection locked="0"/>
    </xf>
    <xf numFmtId="0" fontId="25" fillId="27" borderId="14" xfId="0" applyFont="1" applyFill="1" applyBorder="1" applyAlignment="1" applyProtection="1">
      <alignment horizontal="center" vertical="center" wrapText="1"/>
      <protection locked="0"/>
    </xf>
    <xf numFmtId="0" fontId="25" fillId="27" borderId="33" xfId="0" applyFont="1" applyFill="1" applyBorder="1" applyAlignment="1" applyProtection="1">
      <alignment horizontal="center" vertical="center" wrapText="1"/>
      <protection locked="0"/>
    </xf>
    <xf numFmtId="0" fontId="25" fillId="27" borderId="28" xfId="0" applyFont="1" applyFill="1" applyBorder="1" applyAlignment="1" applyProtection="1">
      <alignment horizontal="center" vertical="center" wrapText="1"/>
      <protection locked="0"/>
    </xf>
    <xf numFmtId="0" fontId="25" fillId="20" borderId="6" xfId="0" applyFont="1" applyFill="1" applyBorder="1" applyAlignment="1" applyProtection="1">
      <alignment horizontal="center" vertical="center" wrapText="1"/>
      <protection locked="0"/>
    </xf>
    <xf numFmtId="0" fontId="25" fillId="20" borderId="37" xfId="0" applyFont="1" applyFill="1" applyBorder="1" applyAlignment="1" applyProtection="1">
      <alignment horizontal="center" vertical="center" wrapText="1"/>
      <protection locked="0"/>
    </xf>
    <xf numFmtId="0" fontId="25" fillId="20" borderId="7" xfId="0" applyFont="1" applyFill="1" applyBorder="1" applyAlignment="1" applyProtection="1">
      <alignment horizontal="center" vertical="center" wrapText="1"/>
      <protection locked="0"/>
    </xf>
    <xf numFmtId="0" fontId="1" fillId="23" borderId="14" xfId="0" applyFont="1" applyFill="1" applyBorder="1" applyAlignment="1" applyProtection="1">
      <alignment horizontal="center" vertical="center" wrapText="1"/>
      <protection locked="0"/>
    </xf>
    <xf numFmtId="0" fontId="1" fillId="23" borderId="40" xfId="0" applyFont="1" applyFill="1" applyBorder="1" applyAlignment="1" applyProtection="1">
      <alignment horizontal="center" vertical="center" wrapText="1"/>
      <protection locked="0"/>
    </xf>
    <xf numFmtId="165" fontId="1" fillId="15" borderId="11" xfId="0" applyNumberFormat="1" applyFont="1" applyFill="1" applyBorder="1" applyAlignment="1" applyProtection="1">
      <alignment horizontal="center" vertical="center"/>
    </xf>
    <xf numFmtId="0" fontId="1" fillId="13" borderId="6" xfId="0" applyFont="1" applyFill="1" applyBorder="1" applyAlignment="1" applyProtection="1">
      <alignment horizontal="center" vertical="center"/>
    </xf>
    <xf numFmtId="0" fontId="1" fillId="13" borderId="7" xfId="0" applyFont="1" applyFill="1" applyBorder="1" applyAlignment="1" applyProtection="1">
      <alignment horizontal="center" vertical="center"/>
    </xf>
    <xf numFmtId="165" fontId="1" fillId="15" borderId="21" xfId="0" applyNumberFormat="1" applyFont="1" applyFill="1" applyBorder="1" applyAlignment="1" applyProtection="1">
      <alignment horizontal="center" vertical="center"/>
    </xf>
    <xf numFmtId="0" fontId="25" fillId="20" borderId="53" xfId="0" applyFont="1" applyFill="1" applyBorder="1" applyAlignment="1" applyProtection="1">
      <alignment horizontal="center" vertical="center" wrapText="1"/>
      <protection locked="0"/>
    </xf>
    <xf numFmtId="0" fontId="25" fillId="0" borderId="32" xfId="2" applyFont="1" applyFill="1" applyBorder="1" applyAlignment="1" applyProtection="1">
      <alignment horizontal="center" vertical="center" wrapText="1"/>
      <protection locked="0"/>
    </xf>
    <xf numFmtId="0" fontId="7" fillId="2" borderId="59" xfId="0" applyFont="1" applyFill="1" applyBorder="1" applyAlignment="1" applyProtection="1">
      <alignment horizontal="center" vertical="center"/>
    </xf>
    <xf numFmtId="0" fontId="7" fillId="2" borderId="55" xfId="0" applyFont="1" applyFill="1" applyBorder="1" applyAlignment="1" applyProtection="1">
      <alignment horizontal="center" vertical="center"/>
    </xf>
    <xf numFmtId="0" fontId="7" fillId="2" borderId="56" xfId="0"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7" fillId="2" borderId="3"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7" fillId="2" borderId="58" xfId="0" applyFont="1" applyFill="1" applyBorder="1" applyAlignment="1" applyProtection="1">
      <alignment horizontal="center" vertical="center"/>
    </xf>
    <xf numFmtId="0" fontId="7" fillId="2" borderId="54"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8" fillId="0" borderId="13"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14" fontId="8" fillId="0" borderId="12" xfId="0" applyNumberFormat="1" applyFont="1" applyFill="1" applyBorder="1" applyAlignment="1" applyProtection="1">
      <alignment horizontal="center" vertical="center"/>
      <protection locked="0"/>
    </xf>
    <xf numFmtId="0" fontId="8" fillId="0" borderId="25"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7" fillId="2" borderId="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8" fillId="0" borderId="55" xfId="0" applyFont="1" applyFill="1" applyBorder="1" applyAlignment="1" applyProtection="1">
      <alignment horizontal="left" vertical="center" wrapText="1"/>
      <protection locked="0"/>
    </xf>
    <xf numFmtId="0" fontId="8" fillId="0" borderId="56" xfId="0" applyFont="1" applyFill="1" applyBorder="1" applyAlignment="1" applyProtection="1">
      <alignment horizontal="left" vertical="center" wrapText="1"/>
      <protection locked="0"/>
    </xf>
    <xf numFmtId="0" fontId="8" fillId="0" borderId="40" xfId="0" applyFont="1" applyFill="1" applyBorder="1" applyAlignment="1" applyProtection="1">
      <alignment horizontal="center" vertical="center"/>
      <protection locked="0"/>
    </xf>
    <xf numFmtId="0" fontId="8" fillId="0" borderId="61" xfId="0" applyFont="1" applyFill="1" applyBorder="1" applyAlignment="1" applyProtection="1">
      <alignment horizontal="center" vertical="center"/>
      <protection locked="0"/>
    </xf>
    <xf numFmtId="0" fontId="8" fillId="0" borderId="57"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26" borderId="14" xfId="0" applyFont="1" applyFill="1" applyBorder="1" applyAlignment="1" applyProtection="1">
      <alignment horizontal="center" vertical="center"/>
    </xf>
    <xf numFmtId="0" fontId="8" fillId="26" borderId="30" xfId="0" applyFont="1" applyFill="1" applyBorder="1" applyAlignment="1" applyProtection="1">
      <alignment horizontal="center" vertical="center"/>
    </xf>
    <xf numFmtId="0" fontId="1" fillId="2" borderId="16" xfId="0" applyFont="1" applyFill="1" applyBorder="1" applyAlignment="1" applyProtection="1">
      <alignment horizontal="center" vertical="center" wrapText="1"/>
    </xf>
    <xf numFmtId="0" fontId="1" fillId="2" borderId="19" xfId="0" applyFont="1" applyFill="1" applyBorder="1" applyAlignment="1" applyProtection="1">
      <alignment horizontal="center" vertical="center" wrapText="1"/>
    </xf>
    <xf numFmtId="0" fontId="1" fillId="2" borderId="20" xfId="0" applyFont="1" applyFill="1" applyBorder="1" applyAlignment="1" applyProtection="1">
      <alignment horizontal="center" vertical="center" wrapText="1"/>
    </xf>
    <xf numFmtId="0" fontId="7" fillId="2" borderId="22" xfId="0" applyFont="1" applyFill="1" applyBorder="1" applyAlignment="1" applyProtection="1">
      <alignment horizontal="center" vertical="center"/>
    </xf>
    <xf numFmtId="0" fontId="7" fillId="2" borderId="18" xfId="0" applyFont="1" applyFill="1" applyBorder="1" applyAlignment="1" applyProtection="1">
      <alignment horizontal="center" vertical="center"/>
    </xf>
    <xf numFmtId="0" fontId="16" fillId="24" borderId="1" xfId="0" applyFont="1" applyFill="1" applyBorder="1" applyAlignment="1" applyProtection="1">
      <alignment horizontal="center" vertical="center" wrapText="1"/>
    </xf>
    <xf numFmtId="0" fontId="4" fillId="7" borderId="16"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7" borderId="51"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16" fillId="22" borderId="14" xfId="0" applyFont="1" applyFill="1" applyBorder="1" applyAlignment="1" applyProtection="1">
      <alignment horizontal="center" vertical="center" wrapText="1"/>
    </xf>
    <xf numFmtId="0" fontId="16" fillId="22" borderId="13" xfId="0" applyFont="1" applyFill="1" applyBorder="1" applyAlignment="1" applyProtection="1">
      <alignment horizontal="center" vertical="center" wrapText="1"/>
    </xf>
    <xf numFmtId="0" fontId="27" fillId="0" borderId="3" xfId="0" applyFont="1" applyFill="1" applyBorder="1" applyAlignment="1" applyProtection="1">
      <alignment horizontal="center" vertical="center" wrapText="1"/>
      <protection locked="0"/>
    </xf>
    <xf numFmtId="0" fontId="27" fillId="0" borderId="1" xfId="0" applyFont="1" applyFill="1" applyBorder="1" applyAlignment="1" applyProtection="1">
      <alignment horizontal="center" vertical="center" wrapText="1"/>
      <protection locked="0"/>
    </xf>
    <xf numFmtId="0" fontId="27" fillId="0" borderId="16" xfId="2" applyFont="1" applyFill="1" applyBorder="1" applyAlignment="1" applyProtection="1">
      <alignment horizontal="center" vertical="center" wrapText="1"/>
      <protection locked="0"/>
    </xf>
    <xf numFmtId="0" fontId="27" fillId="0" borderId="19" xfId="2" applyFont="1" applyFill="1" applyBorder="1" applyAlignment="1" applyProtection="1">
      <alignment horizontal="center" vertical="center" wrapText="1"/>
      <protection locked="0"/>
    </xf>
    <xf numFmtId="0" fontId="28" fillId="0" borderId="19" xfId="2" applyFont="1" applyFill="1" applyBorder="1" applyAlignment="1" applyProtection="1">
      <alignment horizontal="center" vertical="center" wrapText="1"/>
      <protection locked="0"/>
    </xf>
    <xf numFmtId="0" fontId="28" fillId="0" borderId="20" xfId="2" applyFont="1" applyFill="1" applyBorder="1" applyAlignment="1" applyProtection="1">
      <alignment horizontal="center" vertical="center" wrapText="1"/>
      <protection locked="0"/>
    </xf>
    <xf numFmtId="0" fontId="27" fillId="0" borderId="11" xfId="0" applyFont="1" applyFill="1" applyBorder="1" applyAlignment="1" applyProtection="1">
      <alignment horizontal="center" vertical="center" wrapText="1"/>
      <protection locked="0"/>
    </xf>
    <xf numFmtId="0" fontId="27" fillId="0" borderId="15" xfId="0" applyFont="1" applyFill="1" applyBorder="1" applyAlignment="1" applyProtection="1">
      <alignment horizontal="center" vertical="center" wrapText="1"/>
      <protection locked="0"/>
    </xf>
    <xf numFmtId="0" fontId="27" fillId="0" borderId="19" xfId="0" applyFont="1" applyFill="1" applyBorder="1" applyAlignment="1" applyProtection="1">
      <alignment horizontal="center" vertical="center" wrapText="1"/>
      <protection locked="0"/>
    </xf>
    <xf numFmtId="0" fontId="1" fillId="0" borderId="0" xfId="0" applyFont="1" applyAlignment="1" applyProtection="1">
      <alignment horizontal="left" vertical="top" wrapText="1"/>
    </xf>
    <xf numFmtId="0" fontId="27" fillId="0" borderId="16" xfId="0" applyFont="1" applyFill="1" applyBorder="1" applyAlignment="1" applyProtection="1">
      <alignment horizontal="center" vertical="center" wrapText="1"/>
      <protection locked="0"/>
    </xf>
    <xf numFmtId="0" fontId="27" fillId="0" borderId="26" xfId="0" applyFont="1" applyFill="1" applyBorder="1" applyAlignment="1" applyProtection="1">
      <alignment horizontal="center" vertical="center" wrapText="1"/>
      <protection locked="0"/>
    </xf>
    <xf numFmtId="0" fontId="27" fillId="0" borderId="6" xfId="3" applyFont="1" applyFill="1" applyBorder="1" applyAlignment="1" applyProtection="1">
      <alignment horizontal="center" vertical="center" wrapText="1"/>
      <protection locked="0"/>
    </xf>
    <xf numFmtId="0" fontId="27" fillId="0" borderId="50" xfId="0" applyFont="1" applyFill="1" applyBorder="1" applyAlignment="1" applyProtection="1">
      <alignment horizontal="center" vertical="center" wrapText="1"/>
      <protection locked="0"/>
    </xf>
    <xf numFmtId="0" fontId="23" fillId="0" borderId="50" xfId="0" applyFont="1" applyFill="1" applyBorder="1" applyAlignment="1" applyProtection="1">
      <alignment horizontal="center" vertical="center" wrapText="1"/>
      <protection locked="0"/>
    </xf>
    <xf numFmtId="0" fontId="26"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25" fillId="0" borderId="15" xfId="0" applyFont="1" applyFill="1" applyBorder="1" applyAlignment="1" applyProtection="1">
      <alignment horizontal="center" vertical="center" wrapText="1"/>
      <protection locked="0"/>
    </xf>
    <xf numFmtId="0" fontId="25" fillId="0" borderId="3" xfId="0" applyFont="1" applyFill="1" applyBorder="1" applyAlignment="1" applyProtection="1">
      <alignment horizontal="center" vertical="center" wrapText="1"/>
      <protection locked="0"/>
    </xf>
    <xf numFmtId="0" fontId="25" fillId="0" borderId="11" xfId="0" applyFont="1" applyFill="1" applyBorder="1" applyAlignment="1" applyProtection="1">
      <alignment horizontal="center" vertical="center" wrapText="1"/>
      <protection locked="0"/>
    </xf>
    <xf numFmtId="0" fontId="23" fillId="0" borderId="11" xfId="0" applyFont="1" applyFill="1" applyBorder="1" applyAlignment="1" applyProtection="1">
      <alignment horizontal="center" vertical="center" wrapText="1"/>
      <protection locked="0"/>
    </xf>
    <xf numFmtId="0" fontId="23" fillId="0" borderId="15" xfId="0" applyFont="1" applyFill="1" applyBorder="1" applyAlignment="1" applyProtection="1">
      <alignment horizontal="center" vertical="center" wrapText="1"/>
      <protection locked="0"/>
    </xf>
    <xf numFmtId="0" fontId="23" fillId="0" borderId="3" xfId="0" applyFont="1" applyFill="1" applyBorder="1" applyAlignment="1" applyProtection="1">
      <alignment horizontal="center" vertical="center" wrapText="1"/>
      <protection locked="0"/>
    </xf>
    <xf numFmtId="0" fontId="25" fillId="0" borderId="23" xfId="0" applyFont="1" applyFill="1" applyBorder="1" applyAlignment="1" applyProtection="1">
      <alignment horizontal="center" vertical="center" wrapText="1"/>
      <protection locked="0"/>
    </xf>
    <xf numFmtId="0" fontId="27" fillId="0" borderId="23" xfId="0" applyFont="1" applyFill="1" applyBorder="1" applyAlignment="1" applyProtection="1">
      <alignment horizontal="center" vertical="center" wrapText="1"/>
      <protection locked="0"/>
    </xf>
    <xf numFmtId="0" fontId="27" fillId="0" borderId="16" xfId="3" applyFont="1" applyFill="1" applyBorder="1" applyAlignment="1" applyProtection="1">
      <alignment horizontal="center" vertical="center" wrapText="1"/>
      <protection locked="0"/>
    </xf>
    <xf numFmtId="0" fontId="27" fillId="0" borderId="19" xfId="3" applyFont="1" applyFill="1" applyBorder="1" applyAlignment="1" applyProtection="1">
      <alignment horizontal="center" vertical="center" wrapText="1"/>
      <protection locked="0"/>
    </xf>
    <xf numFmtId="0" fontId="27" fillId="0" borderId="20" xfId="3" applyFont="1" applyFill="1" applyBorder="1" applyAlignment="1" applyProtection="1">
      <alignment horizontal="center" vertical="center" wrapText="1"/>
      <protection locked="0"/>
    </xf>
    <xf numFmtId="0" fontId="14" fillId="11" borderId="6" xfId="0" applyFont="1" applyFill="1" applyBorder="1" applyAlignment="1" applyProtection="1">
      <alignment vertical="center" wrapText="1"/>
    </xf>
    <xf numFmtId="0" fontId="14" fillId="11" borderId="1" xfId="0" applyFont="1" applyFill="1" applyBorder="1" applyAlignment="1" applyProtection="1">
      <alignment vertical="center" wrapText="1"/>
    </xf>
    <xf numFmtId="0" fontId="19" fillId="16" borderId="5" xfId="0" applyFont="1" applyFill="1" applyBorder="1" applyAlignment="1" applyProtection="1">
      <alignment horizontal="center" vertical="center" wrapText="1"/>
    </xf>
    <xf numFmtId="0" fontId="19" fillId="16" borderId="12" xfId="0" applyFont="1" applyFill="1" applyBorder="1" applyAlignment="1" applyProtection="1">
      <alignment horizontal="center" vertical="center" wrapText="1"/>
    </xf>
    <xf numFmtId="0" fontId="19" fillId="16" borderId="2" xfId="0" applyFont="1" applyFill="1" applyBorder="1" applyAlignment="1" applyProtection="1">
      <alignment horizontal="center" vertical="center" wrapText="1"/>
    </xf>
    <xf numFmtId="0" fontId="14" fillId="11" borderId="42" xfId="0" applyFont="1" applyFill="1" applyBorder="1" applyAlignment="1" applyProtection="1">
      <alignment vertical="center" wrapText="1"/>
    </xf>
    <xf numFmtId="0" fontId="14" fillId="11" borderId="3" xfId="0" applyFont="1" applyFill="1" applyBorder="1" applyAlignment="1" applyProtection="1">
      <alignment vertical="center" wrapText="1"/>
    </xf>
    <xf numFmtId="0" fontId="14" fillId="12" borderId="6" xfId="0" applyFont="1" applyFill="1" applyBorder="1" applyAlignment="1" applyProtection="1">
      <alignment vertical="center" wrapText="1"/>
    </xf>
    <xf numFmtId="0" fontId="14" fillId="12" borderId="1" xfId="0" applyFont="1" applyFill="1" applyBorder="1" applyAlignment="1" applyProtection="1">
      <alignment vertical="center" wrapText="1"/>
    </xf>
    <xf numFmtId="0" fontId="14" fillId="12" borderId="37" xfId="0" applyFont="1" applyFill="1" applyBorder="1" applyAlignment="1" applyProtection="1">
      <alignment vertical="center" wrapText="1"/>
    </xf>
    <xf numFmtId="0" fontId="14" fillId="12" borderId="11" xfId="0" applyFont="1" applyFill="1" applyBorder="1" applyAlignment="1" applyProtection="1">
      <alignment vertical="center" wrapText="1"/>
    </xf>
    <xf numFmtId="0" fontId="4" fillId="3" borderId="5"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4" fillId="7" borderId="35"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36" xfId="0" applyFont="1" applyFill="1" applyBorder="1" applyAlignment="1" applyProtection="1">
      <alignment horizontal="center" vertical="center" wrapText="1"/>
      <protection locked="0"/>
    </xf>
    <xf numFmtId="0" fontId="4" fillId="7" borderId="30" xfId="0" applyFont="1" applyFill="1" applyBorder="1" applyAlignment="1" applyProtection="1">
      <alignment horizontal="center" vertical="center" wrapText="1"/>
      <protection locked="0"/>
    </xf>
    <xf numFmtId="0" fontId="11" fillId="5" borderId="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4" fillId="7" borderId="60" xfId="0" applyFont="1" applyFill="1" applyBorder="1" applyAlignment="1">
      <alignment horizontal="center" vertical="center" wrapText="1"/>
    </xf>
    <xf numFmtId="0" fontId="4" fillId="7" borderId="62"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6" borderId="26" xfId="0" applyFont="1" applyFill="1" applyBorder="1" applyAlignment="1">
      <alignment horizontal="center" vertical="center"/>
    </xf>
    <xf numFmtId="0" fontId="1" fillId="6" borderId="3" xfId="0" applyFont="1" applyFill="1" applyBorder="1" applyAlignment="1">
      <alignment horizontal="center" vertical="center"/>
    </xf>
    <xf numFmtId="0" fontId="1" fillId="8" borderId="26"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51" xfId="0" applyFont="1" applyFill="1" applyBorder="1" applyAlignment="1">
      <alignment horizontal="center" vertical="center"/>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xf numFmtId="0" fontId="1" fillId="23" borderId="1" xfId="0" applyFont="1" applyFill="1" applyBorder="1" applyAlignment="1" applyProtection="1">
      <alignment horizontal="center" vertical="center" wrapText="1"/>
      <protection locked="0"/>
    </xf>
    <xf numFmtId="0" fontId="4" fillId="10" borderId="1" xfId="0" applyFont="1" applyFill="1" applyBorder="1" applyAlignment="1" applyProtection="1">
      <alignment horizontal="center" vertical="center"/>
    </xf>
    <xf numFmtId="0" fontId="24" fillId="0" borderId="1" xfId="2" applyFont="1" applyFill="1" applyBorder="1" applyAlignment="1" applyProtection="1">
      <alignment horizontal="center" vertical="center" wrapText="1"/>
      <protection locked="0"/>
    </xf>
    <xf numFmtId="0" fontId="27" fillId="0" borderId="1" xfId="2" applyFont="1" applyFill="1" applyBorder="1" applyAlignment="1" applyProtection="1">
      <alignment horizontal="center" vertical="center" wrapText="1"/>
      <protection locked="0"/>
    </xf>
    <xf numFmtId="0" fontId="25" fillId="27" borderId="8" xfId="0" applyFont="1" applyFill="1" applyBorder="1" applyAlignment="1" applyProtection="1">
      <alignment horizontal="center" vertical="center" wrapText="1"/>
      <protection locked="0"/>
    </xf>
    <xf numFmtId="0" fontId="25" fillId="27" borderId="46" xfId="0" applyFont="1" applyFill="1" applyBorder="1" applyAlignment="1" applyProtection="1">
      <alignment horizontal="center" vertical="center" wrapText="1"/>
      <protection locked="0"/>
    </xf>
    <xf numFmtId="0" fontId="27" fillId="0" borderId="51" xfId="2" applyFont="1" applyFill="1" applyBorder="1" applyAlignment="1" applyProtection="1">
      <alignment horizontal="center" vertical="center" wrapText="1"/>
      <protection locked="0"/>
    </xf>
    <xf numFmtId="0" fontId="27" fillId="0" borderId="32" xfId="2" applyFont="1" applyFill="1" applyBorder="1" applyAlignment="1" applyProtection="1">
      <alignment horizontal="center" vertical="center" wrapText="1"/>
      <protection locked="0"/>
    </xf>
    <xf numFmtId="0" fontId="25" fillId="0" borderId="25" xfId="2" applyFont="1" applyFill="1" applyBorder="1" applyAlignment="1" applyProtection="1">
      <alignment horizontal="center" vertical="center" wrapText="1"/>
      <protection locked="0"/>
    </xf>
    <xf numFmtId="0" fontId="25" fillId="0" borderId="0" xfId="2" applyFont="1" applyFill="1" applyBorder="1" applyAlignment="1" applyProtection="1">
      <alignment horizontal="center" vertical="center" wrapText="1"/>
      <protection locked="0"/>
    </xf>
    <xf numFmtId="0" fontId="30" fillId="0" borderId="1" xfId="2" applyFont="1" applyFill="1" applyBorder="1" applyAlignment="1" applyProtection="1">
      <alignment horizontal="center" vertical="center" wrapText="1"/>
      <protection locked="0"/>
    </xf>
    <xf numFmtId="0" fontId="25" fillId="0" borderId="1" xfId="2" applyFont="1" applyFill="1" applyBorder="1" applyAlignment="1" applyProtection="1">
      <alignment horizontal="center" vertical="center" wrapText="1"/>
      <protection locked="0"/>
    </xf>
    <xf numFmtId="0" fontId="25" fillId="27" borderId="49" xfId="0" applyFont="1" applyFill="1" applyBorder="1" applyAlignment="1" applyProtection="1">
      <alignment horizontal="center" vertical="center" wrapText="1"/>
      <protection locked="0"/>
    </xf>
    <xf numFmtId="0" fontId="29" fillId="0" borderId="11" xfId="2" applyFont="1" applyFill="1" applyBorder="1" applyAlignment="1" applyProtection="1">
      <alignment horizontal="center" vertical="center" wrapText="1"/>
      <protection locked="0"/>
    </xf>
    <xf numFmtId="0" fontId="29" fillId="0" borderId="15" xfId="2" applyFont="1" applyFill="1" applyBorder="1" applyAlignment="1" applyProtection="1">
      <alignment horizontal="center" vertical="center" wrapText="1"/>
      <protection locked="0"/>
    </xf>
    <xf numFmtId="0" fontId="29" fillId="0" borderId="3" xfId="2" applyFont="1" applyFill="1" applyBorder="1" applyAlignment="1" applyProtection="1">
      <alignment horizontal="center" vertical="center" wrapText="1"/>
      <protection locked="0"/>
    </xf>
    <xf numFmtId="0" fontId="29" fillId="0" borderId="11" xfId="2" applyFont="1" applyFill="1" applyBorder="1" applyAlignment="1" applyProtection="1">
      <alignment horizontal="center" vertical="center" wrapText="1"/>
      <protection locked="0"/>
    </xf>
    <xf numFmtId="0" fontId="29" fillId="0" borderId="23" xfId="2" applyFont="1" applyFill="1" applyBorder="1" applyAlignment="1" applyProtection="1">
      <alignment horizontal="center" vertical="center" wrapText="1"/>
      <protection locked="0"/>
    </xf>
    <xf numFmtId="0" fontId="23" fillId="0" borderId="23" xfId="0" applyFont="1" applyFill="1" applyBorder="1" applyAlignment="1" applyProtection="1">
      <alignment horizontal="center" vertical="center" wrapText="1"/>
      <protection locked="0"/>
    </xf>
    <xf numFmtId="0" fontId="23" fillId="0" borderId="26"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 xfId="0" applyFont="1" applyFill="1" applyBorder="1" applyAlignment="1" applyProtection="1">
      <alignment horizontal="center" vertical="center" wrapText="1"/>
      <protection locked="0"/>
    </xf>
    <xf numFmtId="0" fontId="31" fillId="0" borderId="17"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21" xfId="0" applyFont="1" applyBorder="1" applyAlignment="1">
      <alignment horizontal="center" vertical="center" wrapText="1"/>
    </xf>
    <xf numFmtId="0" fontId="25" fillId="20" borderId="74" xfId="0" applyFont="1" applyFill="1" applyBorder="1" applyAlignment="1" applyProtection="1">
      <alignment horizontal="center" vertical="center" wrapText="1"/>
      <protection locked="0"/>
    </xf>
    <xf numFmtId="0" fontId="25" fillId="20" borderId="22" xfId="0" applyFont="1" applyFill="1" applyBorder="1" applyAlignment="1" applyProtection="1">
      <alignment horizontal="center" vertical="center" wrapText="1"/>
      <protection locked="0"/>
    </xf>
    <xf numFmtId="0" fontId="29" fillId="0" borderId="1" xfId="2" applyFont="1" applyFill="1" applyBorder="1" applyAlignment="1" applyProtection="1">
      <alignment horizontal="center" vertical="center" wrapText="1"/>
      <protection locked="0"/>
    </xf>
  </cellXfs>
  <cellStyles count="5">
    <cellStyle name="Milliers" xfId="1" builtinId="3"/>
    <cellStyle name="Monétaire" xfId="4" builtinId="4"/>
    <cellStyle name="Neutre" xfId="3" builtinId="28"/>
    <cellStyle name="Normal" xfId="0" builtinId="0"/>
    <cellStyle name="Satisfaisant" xfId="2"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638175</xdr:colOff>
      <xdr:row>2</xdr:row>
      <xdr:rowOff>2183</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819275" cy="764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1428751</xdr:colOff>
      <xdr:row>1</xdr:row>
      <xdr:rowOff>379182</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1809750" cy="760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1809750</xdr:colOff>
      <xdr:row>1</xdr:row>
      <xdr:rowOff>379181</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09750" cy="76018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AV81"/>
  <sheetViews>
    <sheetView topLeftCell="A10" zoomScale="85" zoomScaleNormal="85" workbookViewId="0">
      <selection activeCell="D10" sqref="D10:F10"/>
    </sheetView>
  </sheetViews>
  <sheetFormatPr baseColWidth="10" defaultColWidth="11.42578125" defaultRowHeight="15" x14ac:dyDescent="0.25"/>
  <cols>
    <col min="1" max="2" width="17.7109375" style="1" customWidth="1"/>
    <col min="3" max="3" width="41.7109375" style="1" customWidth="1"/>
    <col min="4" max="22" width="15.7109375" style="1" customWidth="1"/>
    <col min="23" max="16384" width="11.42578125" style="1"/>
  </cols>
  <sheetData>
    <row r="1" spans="1:48" ht="30" customHeight="1" x14ac:dyDescent="0.45">
      <c r="D1" s="2" t="s">
        <v>0</v>
      </c>
      <c r="E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6" customFormat="1" ht="30" customHeight="1" x14ac:dyDescent="0.25">
      <c r="A2" s="4"/>
      <c r="B2" s="5"/>
      <c r="C2" s="4"/>
      <c r="D2" s="2" t="s">
        <v>36</v>
      </c>
      <c r="E2" s="5"/>
      <c r="G2" s="1"/>
      <c r="M2" s="7" t="s">
        <v>40</v>
      </c>
      <c r="N2" s="7" t="s">
        <v>6</v>
      </c>
      <c r="O2" s="7" t="s">
        <v>27</v>
      </c>
      <c r="P2" s="7" t="s">
        <v>25</v>
      </c>
      <c r="Q2" s="7" t="s">
        <v>28</v>
      </c>
      <c r="R2" s="7" t="s">
        <v>133</v>
      </c>
      <c r="S2" s="7" t="s">
        <v>132</v>
      </c>
      <c r="T2" s="7" t="s">
        <v>164</v>
      </c>
    </row>
    <row r="3" spans="1:48" ht="35.25" thickBot="1" x14ac:dyDescent="0.5">
      <c r="B3" s="3"/>
      <c r="C3" s="3"/>
      <c r="D3" s="3"/>
      <c r="E3" s="3"/>
      <c r="F3" s="3"/>
      <c r="G3" s="3"/>
      <c r="H3" s="3"/>
      <c r="L3" s="3"/>
      <c r="M3" s="8">
        <f ca="1">TODAY()</f>
        <v>45734</v>
      </c>
      <c r="N3" s="9" t="s">
        <v>7</v>
      </c>
      <c r="O3" s="9" t="s">
        <v>14</v>
      </c>
      <c r="P3" s="9" t="s">
        <v>81</v>
      </c>
      <c r="Q3" s="9" t="s">
        <v>29</v>
      </c>
      <c r="R3" s="9" t="s">
        <v>110</v>
      </c>
      <c r="S3" s="9" t="s">
        <v>109</v>
      </c>
      <c r="T3" s="9" t="s">
        <v>165</v>
      </c>
      <c r="U3" s="9"/>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ht="24.95" customHeight="1" thickBot="1" x14ac:dyDescent="0.3">
      <c r="C4" s="10" t="s">
        <v>3</v>
      </c>
      <c r="D4" s="261"/>
      <c r="E4" s="261"/>
      <c r="F4" s="262"/>
      <c r="M4" s="8">
        <f ca="1">TODAY()+365</f>
        <v>46099</v>
      </c>
      <c r="N4" s="9" t="s">
        <v>8</v>
      </c>
      <c r="O4" s="9" t="s">
        <v>15</v>
      </c>
      <c r="P4" s="9" t="s">
        <v>19</v>
      </c>
      <c r="Q4" s="9" t="s">
        <v>30</v>
      </c>
      <c r="R4" s="9" t="s">
        <v>112</v>
      </c>
      <c r="S4" s="9" t="s">
        <v>111</v>
      </c>
      <c r="T4" s="9" t="s">
        <v>166</v>
      </c>
      <c r="U4" s="9"/>
    </row>
    <row r="5" spans="1:48" ht="24.95" customHeight="1" thickBot="1" x14ac:dyDescent="0.3">
      <c r="C5" s="10" t="s">
        <v>4</v>
      </c>
      <c r="D5" s="261"/>
      <c r="E5" s="261"/>
      <c r="F5" s="262"/>
      <c r="N5" s="9" t="s">
        <v>9</v>
      </c>
      <c r="O5" s="9" t="s">
        <v>35</v>
      </c>
      <c r="P5" s="9" t="s">
        <v>20</v>
      </c>
      <c r="Q5" s="9" t="s">
        <v>31</v>
      </c>
      <c r="R5" s="9" t="s">
        <v>113</v>
      </c>
      <c r="S5" s="9" t="s">
        <v>113</v>
      </c>
      <c r="T5" s="9" t="s">
        <v>167</v>
      </c>
      <c r="U5" s="9"/>
    </row>
    <row r="6" spans="1:48" ht="24.95" customHeight="1" thickBot="1" x14ac:dyDescent="0.3">
      <c r="C6" s="10" t="s">
        <v>38</v>
      </c>
      <c r="D6" s="263"/>
      <c r="E6" s="261"/>
      <c r="F6" s="262"/>
      <c r="N6" s="9" t="s">
        <v>10</v>
      </c>
      <c r="O6" s="9"/>
      <c r="P6" s="9" t="s">
        <v>21</v>
      </c>
      <c r="Q6" s="9" t="s">
        <v>32</v>
      </c>
      <c r="R6" s="9" t="s">
        <v>115</v>
      </c>
      <c r="S6" s="9" t="s">
        <v>114</v>
      </c>
      <c r="T6" s="9" t="s">
        <v>168</v>
      </c>
      <c r="U6" s="9"/>
    </row>
    <row r="7" spans="1:48" ht="24.95" customHeight="1" thickBot="1" x14ac:dyDescent="0.3">
      <c r="C7" s="10" t="s">
        <v>39</v>
      </c>
      <c r="D7" s="261"/>
      <c r="E7" s="261"/>
      <c r="F7" s="262"/>
      <c r="N7" s="9" t="s">
        <v>11</v>
      </c>
      <c r="O7" s="9"/>
      <c r="P7" s="9" t="s">
        <v>22</v>
      </c>
      <c r="Q7" s="9" t="s">
        <v>33</v>
      </c>
      <c r="R7" s="9" t="s">
        <v>117</v>
      </c>
      <c r="S7" s="9" t="s">
        <v>116</v>
      </c>
      <c r="T7" s="9" t="s">
        <v>169</v>
      </c>
      <c r="U7" s="9"/>
    </row>
    <row r="8" spans="1:48" ht="30" customHeight="1" thickBot="1" x14ac:dyDescent="0.3">
      <c r="N8" s="9" t="s">
        <v>12</v>
      </c>
      <c r="P8" s="9" t="s">
        <v>23</v>
      </c>
      <c r="Q8" s="9" t="s">
        <v>34</v>
      </c>
      <c r="R8" s="9" t="s">
        <v>108</v>
      </c>
      <c r="S8" s="9" t="s">
        <v>118</v>
      </c>
      <c r="T8" s="9" t="s">
        <v>170</v>
      </c>
      <c r="U8" s="9"/>
    </row>
    <row r="9" spans="1:48" ht="16.5" thickBot="1" x14ac:dyDescent="0.3">
      <c r="C9" s="266" t="s">
        <v>137</v>
      </c>
      <c r="D9" s="267"/>
      <c r="E9" s="267"/>
      <c r="F9" s="268"/>
      <c r="N9" s="9" t="s">
        <v>77</v>
      </c>
      <c r="P9" s="9" t="s">
        <v>24</v>
      </c>
      <c r="Q9" s="9" t="s">
        <v>77</v>
      </c>
      <c r="R9" s="9" t="s">
        <v>119</v>
      </c>
      <c r="S9" s="9" t="s">
        <v>119</v>
      </c>
      <c r="T9" s="9"/>
    </row>
    <row r="10" spans="1:48" ht="52.5" customHeight="1" x14ac:dyDescent="0.25">
      <c r="B10" s="11"/>
      <c r="C10" s="12" t="s">
        <v>134</v>
      </c>
      <c r="D10" s="269" t="s">
        <v>174</v>
      </c>
      <c r="E10" s="269"/>
      <c r="F10" s="270"/>
      <c r="N10" s="9" t="s">
        <v>35</v>
      </c>
      <c r="P10" s="9" t="s">
        <v>77</v>
      </c>
      <c r="Q10" s="9" t="s">
        <v>35</v>
      </c>
      <c r="R10" s="9" t="s">
        <v>121</v>
      </c>
      <c r="S10" s="9" t="s">
        <v>120</v>
      </c>
      <c r="T10" s="9"/>
    </row>
    <row r="11" spans="1:48" ht="15.75" x14ac:dyDescent="0.25">
      <c r="B11" s="11"/>
      <c r="C11" s="149" t="s">
        <v>135</v>
      </c>
      <c r="D11" s="157" t="s">
        <v>108</v>
      </c>
      <c r="E11" s="275" t="str">
        <f>VLOOKUP(D11,R2:S22,2,FALSE)</f>
        <v>Développement applicatif</v>
      </c>
      <c r="F11" s="276"/>
      <c r="N11" s="9"/>
      <c r="P11" s="9" t="s">
        <v>35</v>
      </c>
      <c r="R11" s="9" t="s">
        <v>122</v>
      </c>
      <c r="S11" s="9" t="s">
        <v>122</v>
      </c>
      <c r="T11" s="9"/>
    </row>
    <row r="12" spans="1:48" ht="15.75" x14ac:dyDescent="0.25">
      <c r="B12" s="11"/>
      <c r="C12" s="156" t="s">
        <v>162</v>
      </c>
      <c r="D12" s="274" t="s">
        <v>166</v>
      </c>
      <c r="E12" s="257"/>
      <c r="F12" s="258"/>
      <c r="N12" s="9"/>
      <c r="P12" s="9"/>
      <c r="R12" s="9" t="s">
        <v>124</v>
      </c>
      <c r="S12" s="9" t="s">
        <v>123</v>
      </c>
      <c r="T12" s="9"/>
    </row>
    <row r="13" spans="1:48" ht="15.6" x14ac:dyDescent="0.25">
      <c r="B13" s="11"/>
      <c r="C13" s="156" t="s">
        <v>163</v>
      </c>
      <c r="D13" s="274">
        <v>116</v>
      </c>
      <c r="E13" s="257"/>
      <c r="F13" s="258"/>
      <c r="N13" s="9"/>
      <c r="P13" s="9"/>
      <c r="R13" s="9" t="s">
        <v>125</v>
      </c>
      <c r="S13" s="9" t="s">
        <v>136</v>
      </c>
      <c r="T13" s="9"/>
    </row>
    <row r="14" spans="1:48" ht="15.6" x14ac:dyDescent="0.25">
      <c r="B14" s="11"/>
      <c r="C14" s="156"/>
      <c r="D14" s="274"/>
      <c r="E14" s="257"/>
      <c r="F14" s="258"/>
      <c r="N14" s="9"/>
      <c r="P14" s="9"/>
      <c r="R14" s="9" t="s">
        <v>127</v>
      </c>
      <c r="S14" s="9" t="s">
        <v>126</v>
      </c>
      <c r="T14" s="9"/>
    </row>
    <row r="15" spans="1:48" ht="16.5" thickBot="1" x14ac:dyDescent="0.3">
      <c r="B15" s="11"/>
      <c r="C15" s="156" t="s">
        <v>146</v>
      </c>
      <c r="D15" s="271"/>
      <c r="E15" s="272"/>
      <c r="F15" s="273"/>
      <c r="N15" s="9"/>
      <c r="R15" s="9" t="s">
        <v>129</v>
      </c>
      <c r="S15" s="9" t="s">
        <v>128</v>
      </c>
      <c r="T15" s="9"/>
    </row>
    <row r="16" spans="1:48" ht="16.149999999999999" thickBot="1" x14ac:dyDescent="0.3">
      <c r="B16" s="11"/>
      <c r="C16" s="15"/>
      <c r="N16" s="9"/>
      <c r="R16" s="9" t="s">
        <v>131</v>
      </c>
      <c r="S16" s="9" t="s">
        <v>130</v>
      </c>
      <c r="T16" s="9"/>
    </row>
    <row r="17" spans="1:20" ht="16.149999999999999" thickBot="1" x14ac:dyDescent="0.3">
      <c r="B17" s="11"/>
      <c r="C17" s="266" t="s">
        <v>5</v>
      </c>
      <c r="D17" s="267"/>
      <c r="E17" s="268"/>
      <c r="T17" s="9"/>
    </row>
    <row r="18" spans="1:20" ht="15.6" x14ac:dyDescent="0.25">
      <c r="B18" s="11"/>
      <c r="C18" s="12" t="s">
        <v>13</v>
      </c>
      <c r="D18" s="264"/>
      <c r="E18" s="265"/>
      <c r="T18" s="9"/>
    </row>
    <row r="19" spans="1:20" ht="15.6" x14ac:dyDescent="0.25">
      <c r="B19" s="11"/>
      <c r="C19" s="13" t="s">
        <v>26</v>
      </c>
      <c r="D19" s="257" t="s">
        <v>15</v>
      </c>
      <c r="E19" s="258"/>
      <c r="T19" s="9"/>
    </row>
    <row r="20" spans="1:20" ht="30" customHeight="1" x14ac:dyDescent="0.25">
      <c r="B20" s="15"/>
      <c r="C20" s="13" t="s">
        <v>37</v>
      </c>
      <c r="D20" s="257"/>
      <c r="E20" s="258"/>
    </row>
    <row r="21" spans="1:20" ht="24.95" customHeight="1" x14ac:dyDescent="0.25">
      <c r="C21" s="13" t="s">
        <v>16</v>
      </c>
      <c r="D21" s="257"/>
      <c r="E21" s="258"/>
      <c r="P21" s="9"/>
      <c r="Q21" s="9"/>
      <c r="R21" s="9"/>
      <c r="S21" s="9"/>
    </row>
    <row r="22" spans="1:20" ht="18.75" customHeight="1" x14ac:dyDescent="0.25">
      <c r="B22" s="11"/>
      <c r="C22" s="13" t="s">
        <v>17</v>
      </c>
      <c r="D22" s="257"/>
      <c r="E22" s="258"/>
      <c r="P22" s="9"/>
      <c r="Q22" s="9"/>
      <c r="R22" s="9"/>
      <c r="S22" s="9"/>
    </row>
    <row r="23" spans="1:20" ht="16.5" thickBot="1" x14ac:dyDescent="0.3">
      <c r="B23" s="11"/>
      <c r="C23" s="14" t="s">
        <v>18</v>
      </c>
      <c r="D23" s="259"/>
      <c r="E23" s="260"/>
      <c r="P23" s="9"/>
      <c r="R23" s="9"/>
      <c r="S23" s="9"/>
    </row>
    <row r="24" spans="1:20" ht="16.5" thickBot="1" x14ac:dyDescent="0.3">
      <c r="B24" s="11"/>
    </row>
    <row r="25" spans="1:20" ht="15.75" x14ac:dyDescent="0.25">
      <c r="B25" s="11"/>
      <c r="C25" s="280" t="s">
        <v>62</v>
      </c>
      <c r="D25" s="252"/>
      <c r="E25" s="281"/>
    </row>
    <row r="26" spans="1:20" ht="16.5" thickBot="1" x14ac:dyDescent="0.3">
      <c r="B26" s="11"/>
      <c r="C26" s="16" t="s">
        <v>44</v>
      </c>
      <c r="D26" s="17" t="s">
        <v>47</v>
      </c>
      <c r="E26" s="72" t="s">
        <v>78</v>
      </c>
    </row>
    <row r="27" spans="1:20" ht="15.75" customHeight="1" x14ac:dyDescent="0.25">
      <c r="B27" s="11"/>
      <c r="C27" s="277" t="s">
        <v>55</v>
      </c>
      <c r="D27" s="18" t="s">
        <v>45</v>
      </c>
      <c r="E27" s="119">
        <v>0.125</v>
      </c>
    </row>
    <row r="28" spans="1:20" ht="30" customHeight="1" x14ac:dyDescent="0.25">
      <c r="A28" s="15"/>
      <c r="C28" s="278"/>
      <c r="D28" s="19" t="s">
        <v>46</v>
      </c>
      <c r="E28" s="120">
        <v>0.5</v>
      </c>
    </row>
    <row r="29" spans="1:20" ht="24.75" customHeight="1" thickBot="1" x14ac:dyDescent="0.3">
      <c r="C29" s="279"/>
      <c r="D29" s="20" t="s">
        <v>50</v>
      </c>
      <c r="E29" s="121">
        <v>1</v>
      </c>
    </row>
    <row r="30" spans="1:20" ht="15" customHeight="1" x14ac:dyDescent="0.25">
      <c r="C30" s="277" t="s">
        <v>59</v>
      </c>
      <c r="D30" s="18" t="s">
        <v>45</v>
      </c>
      <c r="E30" s="119">
        <v>0.5</v>
      </c>
    </row>
    <row r="31" spans="1:20" ht="15" customHeight="1" x14ac:dyDescent="0.25">
      <c r="C31" s="278"/>
      <c r="D31" s="19" t="s">
        <v>46</v>
      </c>
      <c r="E31" s="120">
        <v>1</v>
      </c>
    </row>
    <row r="32" spans="1:20" ht="15.75" customHeight="1" thickBot="1" x14ac:dyDescent="0.3">
      <c r="C32" s="279"/>
      <c r="D32" s="20" t="s">
        <v>50</v>
      </c>
      <c r="E32" s="121">
        <v>3</v>
      </c>
    </row>
    <row r="33" spans="3:20" ht="15" customHeight="1" x14ac:dyDescent="0.25">
      <c r="C33" s="277" t="s">
        <v>56</v>
      </c>
      <c r="D33" s="18" t="s">
        <v>45</v>
      </c>
      <c r="E33" s="119">
        <v>0.125</v>
      </c>
    </row>
    <row r="34" spans="3:20" ht="15" customHeight="1" x14ac:dyDescent="0.25">
      <c r="C34" s="278"/>
      <c r="D34" s="19" t="s">
        <v>46</v>
      </c>
      <c r="E34" s="120">
        <v>1</v>
      </c>
    </row>
    <row r="35" spans="3:20" ht="15.75" thickBot="1" x14ac:dyDescent="0.3">
      <c r="C35" s="279"/>
      <c r="D35" s="20" t="s">
        <v>50</v>
      </c>
      <c r="E35" s="121">
        <v>2</v>
      </c>
    </row>
    <row r="36" spans="3:20" x14ac:dyDescent="0.25">
      <c r="C36" s="277" t="s">
        <v>60</v>
      </c>
      <c r="D36" s="18" t="s">
        <v>90</v>
      </c>
      <c r="E36" s="119">
        <v>0.125</v>
      </c>
    </row>
    <row r="37" spans="3:20" ht="15" customHeight="1" x14ac:dyDescent="0.25">
      <c r="C37" s="278"/>
      <c r="D37" s="19" t="s">
        <v>45</v>
      </c>
      <c r="E37" s="120">
        <v>1</v>
      </c>
    </row>
    <row r="38" spans="3:20" x14ac:dyDescent="0.25">
      <c r="C38" s="278"/>
      <c r="D38" s="19" t="s">
        <v>46</v>
      </c>
      <c r="E38" s="120">
        <v>1.5</v>
      </c>
    </row>
    <row r="39" spans="3:20" ht="15.75" thickBot="1" x14ac:dyDescent="0.3">
      <c r="C39" s="279"/>
      <c r="D39" s="20" t="s">
        <v>50</v>
      </c>
      <c r="E39" s="121">
        <v>3</v>
      </c>
    </row>
    <row r="40" spans="3:20" ht="15" customHeight="1" x14ac:dyDescent="0.25">
      <c r="C40" s="277" t="s">
        <v>61</v>
      </c>
      <c r="D40" s="18" t="s">
        <v>90</v>
      </c>
      <c r="E40" s="119">
        <v>0.125</v>
      </c>
    </row>
    <row r="41" spans="3:20" x14ac:dyDescent="0.25">
      <c r="C41" s="278"/>
      <c r="D41" s="19" t="s">
        <v>45</v>
      </c>
      <c r="E41" s="120">
        <v>0.5</v>
      </c>
    </row>
    <row r="42" spans="3:20" x14ac:dyDescent="0.25">
      <c r="C42" s="278"/>
      <c r="D42" s="19" t="s">
        <v>46</v>
      </c>
      <c r="E42" s="120">
        <v>1</v>
      </c>
    </row>
    <row r="43" spans="3:20" ht="15.75" thickBot="1" x14ac:dyDescent="0.3">
      <c r="C43" s="279"/>
      <c r="D43" s="20" t="s">
        <v>50</v>
      </c>
      <c r="E43" s="121">
        <v>2</v>
      </c>
    </row>
    <row r="44" spans="3:20" ht="15" customHeight="1" thickBot="1" x14ac:dyDescent="0.3">
      <c r="C44" s="21" t="s">
        <v>57</v>
      </c>
      <c r="D44" s="22" t="s">
        <v>72</v>
      </c>
      <c r="E44" s="122">
        <v>0.125</v>
      </c>
    </row>
    <row r="45" spans="3:20" ht="15.75" thickBot="1" x14ac:dyDescent="0.3">
      <c r="C45" s="21" t="s">
        <v>58</v>
      </c>
      <c r="D45" s="22" t="s">
        <v>72</v>
      </c>
      <c r="E45" s="122">
        <v>0.125</v>
      </c>
    </row>
    <row r="47" spans="3:20" ht="15.75" thickBot="1" x14ac:dyDescent="0.3"/>
    <row r="48" spans="3:20" ht="15.75" x14ac:dyDescent="0.25">
      <c r="D48" s="246" t="s">
        <v>139</v>
      </c>
      <c r="E48" s="247"/>
      <c r="F48" s="247"/>
      <c r="G48" s="247"/>
      <c r="H48" s="247"/>
      <c r="I48" s="247"/>
      <c r="J48" s="247"/>
      <c r="K48" s="247"/>
      <c r="L48" s="247"/>
      <c r="M48" s="247"/>
      <c r="N48" s="247"/>
      <c r="O48" s="247"/>
      <c r="P48" s="247"/>
      <c r="Q48" s="247"/>
      <c r="R48" s="247"/>
      <c r="S48" s="247"/>
      <c r="T48" s="248"/>
    </row>
    <row r="49" spans="3:20" ht="15.75" thickBot="1" x14ac:dyDescent="0.3">
      <c r="D49" s="255" t="s">
        <v>138</v>
      </c>
      <c r="E49" s="256"/>
      <c r="F49" s="150" t="s">
        <v>110</v>
      </c>
      <c r="G49" s="150" t="s">
        <v>112</v>
      </c>
      <c r="H49" s="150" t="s">
        <v>113</v>
      </c>
      <c r="I49" s="150" t="s">
        <v>115</v>
      </c>
      <c r="J49" s="150" t="s">
        <v>117</v>
      </c>
      <c r="K49" s="150" t="s">
        <v>108</v>
      </c>
      <c r="L49" s="150" t="s">
        <v>119</v>
      </c>
      <c r="M49" s="150" t="s">
        <v>121</v>
      </c>
      <c r="N49" s="150" t="s">
        <v>122</v>
      </c>
      <c r="O49" s="150" t="s">
        <v>124</v>
      </c>
      <c r="P49" s="150" t="s">
        <v>125</v>
      </c>
      <c r="Q49" s="150" t="s">
        <v>127</v>
      </c>
      <c r="R49" s="150" t="s">
        <v>129</v>
      </c>
      <c r="S49" s="150" t="s">
        <v>131</v>
      </c>
      <c r="T49" s="151" t="s">
        <v>140</v>
      </c>
    </row>
    <row r="50" spans="3:20" ht="45" x14ac:dyDescent="0.25">
      <c r="C50" s="246" t="s">
        <v>44</v>
      </c>
      <c r="D50" s="252">
        <v>1</v>
      </c>
      <c r="E50" s="166" t="s">
        <v>141</v>
      </c>
      <c r="F50" s="160"/>
      <c r="G50" s="161"/>
      <c r="H50" s="161"/>
      <c r="I50" s="161"/>
      <c r="J50" s="161"/>
      <c r="K50" s="161" t="s">
        <v>143</v>
      </c>
      <c r="L50" s="161"/>
      <c r="M50" s="161"/>
      <c r="N50" s="161"/>
      <c r="O50" s="161"/>
      <c r="P50" s="161"/>
      <c r="Q50" s="161"/>
      <c r="R50" s="161"/>
      <c r="S50" s="161"/>
      <c r="T50" s="162"/>
    </row>
    <row r="51" spans="3:20" ht="15.75" customHeight="1" x14ac:dyDescent="0.25">
      <c r="C51" s="253"/>
      <c r="D51" s="249"/>
      <c r="E51" s="167" t="s">
        <v>142</v>
      </c>
      <c r="F51" s="153"/>
      <c r="G51" s="154"/>
      <c r="H51" s="154"/>
      <c r="I51" s="154"/>
      <c r="J51" s="154"/>
      <c r="K51" s="154">
        <f>MROUND(ROUND(D13*5/60/8,0)*(1+IF(D12=T3,10%,IF(D12=T4,20%,IF(D12=T5,30%,IF(D12=T6,50%,IF(D12=T7,70%)))))),0.5)</f>
        <v>1</v>
      </c>
      <c r="L51" s="154"/>
      <c r="M51" s="154"/>
      <c r="N51" s="154"/>
      <c r="O51" s="154"/>
      <c r="P51" s="154"/>
      <c r="Q51" s="154"/>
      <c r="R51" s="154"/>
      <c r="S51" s="154"/>
      <c r="T51" s="155"/>
    </row>
    <row r="52" spans="3:20" ht="45" x14ac:dyDescent="0.25">
      <c r="C52" s="253"/>
      <c r="D52" s="249">
        <v>2</v>
      </c>
      <c r="E52" s="168" t="s">
        <v>141</v>
      </c>
      <c r="F52" s="163"/>
      <c r="G52" s="164"/>
      <c r="H52" s="164"/>
      <c r="I52" s="164"/>
      <c r="J52" s="164"/>
      <c r="K52" s="164" t="s">
        <v>144</v>
      </c>
      <c r="L52" s="164"/>
      <c r="M52" s="164"/>
      <c r="N52" s="164"/>
      <c r="O52" s="164"/>
      <c r="P52" s="164"/>
      <c r="Q52" s="164"/>
      <c r="R52" s="164"/>
      <c r="S52" s="164"/>
      <c r="T52" s="165"/>
    </row>
    <row r="53" spans="3:20" ht="15.75" customHeight="1" x14ac:dyDescent="0.25">
      <c r="C53" s="253"/>
      <c r="D53" s="249"/>
      <c r="E53" s="167" t="s">
        <v>142</v>
      </c>
      <c r="F53" s="153"/>
      <c r="G53" s="154"/>
      <c r="H53" s="154"/>
      <c r="I53" s="154"/>
      <c r="J53" s="154"/>
      <c r="K53" s="154">
        <v>3</v>
      </c>
      <c r="L53" s="154"/>
      <c r="M53" s="154"/>
      <c r="N53" s="154"/>
      <c r="O53" s="154"/>
      <c r="P53" s="154"/>
      <c r="Q53" s="154"/>
      <c r="R53" s="154"/>
      <c r="S53" s="154"/>
      <c r="T53" s="155"/>
    </row>
    <row r="54" spans="3:20" ht="45" x14ac:dyDescent="0.25">
      <c r="C54" s="253"/>
      <c r="D54" s="249">
        <v>3</v>
      </c>
      <c r="E54" s="168" t="s">
        <v>141</v>
      </c>
      <c r="F54" s="163"/>
      <c r="G54" s="164"/>
      <c r="H54" s="164"/>
      <c r="I54" s="164"/>
      <c r="J54" s="164"/>
      <c r="K54" s="164" t="s">
        <v>145</v>
      </c>
      <c r="L54" s="164"/>
      <c r="M54" s="164"/>
      <c r="N54" s="164"/>
      <c r="O54" s="164"/>
      <c r="P54" s="164"/>
      <c r="Q54" s="164"/>
      <c r="R54" s="164"/>
      <c r="S54" s="164"/>
      <c r="T54" s="165"/>
    </row>
    <row r="55" spans="3:20" ht="15.75" customHeight="1" x14ac:dyDescent="0.25">
      <c r="C55" s="253"/>
      <c r="D55" s="249"/>
      <c r="E55" s="167" t="s">
        <v>142</v>
      </c>
      <c r="F55" s="153"/>
      <c r="G55" s="154"/>
      <c r="H55" s="154"/>
      <c r="I55" s="154"/>
      <c r="J55" s="154"/>
      <c r="K55" s="154">
        <v>1</v>
      </c>
      <c r="L55" s="154"/>
      <c r="M55" s="154"/>
      <c r="N55" s="154"/>
      <c r="O55" s="154"/>
      <c r="P55" s="154"/>
      <c r="Q55" s="154"/>
      <c r="R55" s="154"/>
      <c r="S55" s="154"/>
      <c r="T55" s="155"/>
    </row>
    <row r="56" spans="3:20" ht="30" x14ac:dyDescent="0.25">
      <c r="C56" s="253"/>
      <c r="D56" s="249">
        <v>4</v>
      </c>
      <c r="E56" s="168" t="s">
        <v>141</v>
      </c>
      <c r="F56" s="163"/>
      <c r="G56" s="164"/>
      <c r="H56" s="164"/>
      <c r="I56" s="164"/>
      <c r="J56" s="164"/>
      <c r="K56" s="164" t="s">
        <v>151</v>
      </c>
      <c r="L56" s="164"/>
      <c r="M56" s="164"/>
      <c r="N56" s="164"/>
      <c r="O56" s="164"/>
      <c r="P56" s="164"/>
      <c r="Q56" s="164"/>
      <c r="R56" s="164"/>
      <c r="S56" s="164"/>
      <c r="T56" s="165"/>
    </row>
    <row r="57" spans="3:20" ht="15.75" customHeight="1" x14ac:dyDescent="0.25">
      <c r="C57" s="253"/>
      <c r="D57" s="249"/>
      <c r="E57" s="167" t="s">
        <v>142</v>
      </c>
      <c r="F57" s="153"/>
      <c r="G57" s="154"/>
      <c r="H57" s="154"/>
      <c r="I57" s="154"/>
      <c r="J57" s="154"/>
      <c r="K57" s="154">
        <f>'Charges et couts'!$J$7</f>
        <v>14.5</v>
      </c>
      <c r="L57" s="154"/>
      <c r="M57" s="154"/>
      <c r="N57" s="154"/>
      <c r="O57" s="154"/>
      <c r="P57" s="154"/>
      <c r="Q57" s="154"/>
      <c r="R57" s="154"/>
      <c r="S57" s="154"/>
      <c r="T57" s="155"/>
    </row>
    <row r="58" spans="3:20" ht="30" x14ac:dyDescent="0.25">
      <c r="C58" s="253"/>
      <c r="D58" s="249">
        <v>5</v>
      </c>
      <c r="E58" s="169" t="s">
        <v>141</v>
      </c>
      <c r="F58" s="163"/>
      <c r="G58" s="164"/>
      <c r="H58" s="164"/>
      <c r="I58" s="164"/>
      <c r="J58" s="164"/>
      <c r="K58" s="164" t="s">
        <v>152</v>
      </c>
      <c r="L58" s="164"/>
      <c r="M58" s="164"/>
      <c r="N58" s="164"/>
      <c r="O58" s="164"/>
      <c r="P58" s="164"/>
      <c r="Q58" s="164"/>
      <c r="R58" s="164"/>
      <c r="S58" s="164"/>
      <c r="T58" s="165"/>
    </row>
    <row r="59" spans="3:20" ht="15.75" customHeight="1" x14ac:dyDescent="0.25">
      <c r="C59" s="253"/>
      <c r="D59" s="249"/>
      <c r="E59" s="152" t="s">
        <v>142</v>
      </c>
      <c r="F59" s="153"/>
      <c r="G59" s="154"/>
      <c r="H59" s="154"/>
      <c r="I59" s="154"/>
      <c r="J59" s="154"/>
      <c r="K59" s="154">
        <f>MROUND(K57*50%,0.5)</f>
        <v>7.5</v>
      </c>
      <c r="L59" s="154"/>
      <c r="M59" s="154"/>
      <c r="N59" s="154"/>
      <c r="O59" s="154"/>
      <c r="P59" s="154"/>
      <c r="Q59" s="154"/>
      <c r="R59" s="154"/>
      <c r="S59" s="154"/>
      <c r="T59" s="155"/>
    </row>
    <row r="60" spans="3:20" ht="45" x14ac:dyDescent="0.25">
      <c r="C60" s="253"/>
      <c r="D60" s="249">
        <v>6</v>
      </c>
      <c r="E60" s="169" t="s">
        <v>141</v>
      </c>
      <c r="F60" s="163"/>
      <c r="G60" s="164"/>
      <c r="H60" s="164"/>
      <c r="I60" s="164"/>
      <c r="J60" s="164"/>
      <c r="K60" s="164" t="s">
        <v>153</v>
      </c>
      <c r="L60" s="164"/>
      <c r="M60" s="164"/>
      <c r="N60" s="164"/>
      <c r="O60" s="164"/>
      <c r="P60" s="164"/>
      <c r="Q60" s="164"/>
      <c r="R60" s="164"/>
      <c r="S60" s="164"/>
      <c r="T60" s="165"/>
    </row>
    <row r="61" spans="3:20" ht="15.75" customHeight="1" x14ac:dyDescent="0.25">
      <c r="C61" s="253"/>
      <c r="D61" s="249"/>
      <c r="E61" s="152" t="s">
        <v>142</v>
      </c>
      <c r="F61" s="153"/>
      <c r="G61" s="154"/>
      <c r="H61" s="154"/>
      <c r="I61" s="154"/>
      <c r="J61" s="154"/>
      <c r="K61" s="154">
        <f>ROUND(SUM(TFC!$I$122:$L$122)*5%*0.5,0)</f>
        <v>0</v>
      </c>
      <c r="L61" s="154"/>
      <c r="M61" s="154"/>
      <c r="N61" s="154"/>
      <c r="O61" s="154"/>
      <c r="P61" s="154"/>
      <c r="Q61" s="154"/>
      <c r="R61" s="154"/>
      <c r="S61" s="154"/>
      <c r="T61" s="155"/>
    </row>
    <row r="62" spans="3:20" ht="45" x14ac:dyDescent="0.25">
      <c r="C62" s="253"/>
      <c r="D62" s="249">
        <v>7</v>
      </c>
      <c r="E62" s="169" t="s">
        <v>141</v>
      </c>
      <c r="F62" s="163"/>
      <c r="G62" s="164"/>
      <c r="H62" s="164"/>
      <c r="I62" s="164"/>
      <c r="J62" s="164"/>
      <c r="K62" s="164" t="s">
        <v>155</v>
      </c>
      <c r="L62" s="164"/>
      <c r="M62" s="164"/>
      <c r="N62" s="164"/>
      <c r="O62" s="164"/>
      <c r="P62" s="164"/>
      <c r="Q62" s="164"/>
      <c r="R62" s="164"/>
      <c r="S62" s="164"/>
      <c r="T62" s="165"/>
    </row>
    <row r="63" spans="3:20" ht="15.75" customHeight="1" x14ac:dyDescent="0.25">
      <c r="C63" s="253"/>
      <c r="D63" s="249"/>
      <c r="E63" s="152" t="s">
        <v>142</v>
      </c>
      <c r="F63" s="153"/>
      <c r="G63" s="154"/>
      <c r="H63" s="154"/>
      <c r="I63" s="154"/>
      <c r="J63" s="154"/>
      <c r="K63" s="154">
        <f>MROUND('Charges et couts'!$J$19-Paramètres!K57,0.5)</f>
        <v>223.5</v>
      </c>
      <c r="L63" s="154"/>
      <c r="M63" s="154"/>
      <c r="N63" s="154"/>
      <c r="O63" s="154"/>
      <c r="P63" s="154"/>
      <c r="Q63" s="154"/>
      <c r="R63" s="154"/>
      <c r="S63" s="154"/>
      <c r="T63" s="155"/>
    </row>
    <row r="64" spans="3:20" ht="60" x14ac:dyDescent="0.25">
      <c r="C64" s="253"/>
      <c r="D64" s="249">
        <v>8</v>
      </c>
      <c r="E64" s="169" t="s">
        <v>141</v>
      </c>
      <c r="F64" s="163"/>
      <c r="G64" s="164"/>
      <c r="H64" s="164"/>
      <c r="I64" s="164"/>
      <c r="J64" s="164"/>
      <c r="K64" s="164" t="s">
        <v>173</v>
      </c>
      <c r="L64" s="164"/>
      <c r="M64" s="164"/>
      <c r="N64" s="164"/>
      <c r="O64" s="164"/>
      <c r="P64" s="164"/>
      <c r="Q64" s="164"/>
      <c r="R64" s="164"/>
      <c r="S64" s="164"/>
      <c r="T64" s="165"/>
    </row>
    <row r="65" spans="3:20" ht="16.5" customHeight="1" x14ac:dyDescent="0.25">
      <c r="C65" s="253"/>
      <c r="D65" s="249"/>
      <c r="E65" s="152" t="s">
        <v>142</v>
      </c>
      <c r="F65" s="153"/>
      <c r="G65" s="154"/>
      <c r="H65" s="154"/>
      <c r="I65" s="154"/>
      <c r="J65" s="154"/>
      <c r="K65" s="154">
        <f>$D$15*3</f>
        <v>0</v>
      </c>
      <c r="L65" s="154"/>
      <c r="M65" s="154"/>
      <c r="N65" s="154"/>
      <c r="O65" s="154"/>
      <c r="P65" s="154"/>
      <c r="Q65" s="154"/>
      <c r="R65" s="154"/>
      <c r="S65" s="154"/>
      <c r="T65" s="155"/>
    </row>
    <row r="66" spans="3:20" ht="60" x14ac:dyDescent="0.25">
      <c r="C66" s="253"/>
      <c r="D66" s="249">
        <v>9</v>
      </c>
      <c r="E66" s="169" t="s">
        <v>141</v>
      </c>
      <c r="F66" s="163"/>
      <c r="G66" s="164"/>
      <c r="H66" s="164"/>
      <c r="I66" s="164"/>
      <c r="J66" s="164"/>
      <c r="K66" s="164" t="s">
        <v>147</v>
      </c>
      <c r="L66" s="164"/>
      <c r="M66" s="164"/>
      <c r="N66" s="164"/>
      <c r="O66" s="164"/>
      <c r="P66" s="164"/>
      <c r="Q66" s="164"/>
      <c r="R66" s="164"/>
      <c r="S66" s="164"/>
      <c r="T66" s="165"/>
    </row>
    <row r="67" spans="3:20" ht="16.5" customHeight="1" x14ac:dyDescent="0.25">
      <c r="C67" s="253"/>
      <c r="D67" s="249"/>
      <c r="E67" s="152" t="s">
        <v>142</v>
      </c>
      <c r="F67" s="153"/>
      <c r="G67" s="154"/>
      <c r="H67" s="154"/>
      <c r="I67" s="154"/>
      <c r="J67" s="154"/>
      <c r="K67" s="154">
        <v>10</v>
      </c>
      <c r="L67" s="154"/>
      <c r="M67" s="154"/>
      <c r="N67" s="154"/>
      <c r="O67" s="154"/>
      <c r="P67" s="154"/>
      <c r="Q67" s="154"/>
      <c r="R67" s="154"/>
      <c r="S67" s="154"/>
      <c r="T67" s="155"/>
    </row>
    <row r="68" spans="3:20" ht="75" x14ac:dyDescent="0.25">
      <c r="C68" s="253"/>
      <c r="D68" s="249">
        <v>10</v>
      </c>
      <c r="E68" s="169" t="s">
        <v>141</v>
      </c>
      <c r="F68" s="163"/>
      <c r="G68" s="164"/>
      <c r="H68" s="164"/>
      <c r="I68" s="164"/>
      <c r="J68" s="164"/>
      <c r="K68" s="164" t="s">
        <v>148</v>
      </c>
      <c r="L68" s="164"/>
      <c r="M68" s="164"/>
      <c r="N68" s="164"/>
      <c r="O68" s="164"/>
      <c r="P68" s="164"/>
      <c r="Q68" s="164"/>
      <c r="R68" s="164"/>
      <c r="S68" s="164"/>
      <c r="T68" s="165"/>
    </row>
    <row r="69" spans="3:20" ht="16.5" customHeight="1" x14ac:dyDescent="0.25">
      <c r="C69" s="253"/>
      <c r="D69" s="249"/>
      <c r="E69" s="152" t="s">
        <v>142</v>
      </c>
      <c r="F69" s="153"/>
      <c r="G69" s="154"/>
      <c r="H69" s="154"/>
      <c r="I69" s="154"/>
      <c r="J69" s="154"/>
      <c r="K69" s="154">
        <v>1</v>
      </c>
      <c r="L69" s="154"/>
      <c r="M69" s="154"/>
      <c r="N69" s="154"/>
      <c r="O69" s="154"/>
      <c r="P69" s="154"/>
      <c r="Q69" s="154"/>
      <c r="R69" s="154"/>
      <c r="S69" s="154"/>
      <c r="T69" s="155"/>
    </row>
    <row r="70" spans="3:20" ht="30" x14ac:dyDescent="0.25">
      <c r="C70" s="253"/>
      <c r="D70" s="249">
        <v>11</v>
      </c>
      <c r="E70" s="169" t="s">
        <v>141</v>
      </c>
      <c r="F70" s="163"/>
      <c r="G70" s="164"/>
      <c r="H70" s="164"/>
      <c r="I70" s="164"/>
      <c r="J70" s="164"/>
      <c r="K70" s="164" t="s">
        <v>149</v>
      </c>
      <c r="L70" s="164"/>
      <c r="M70" s="164"/>
      <c r="N70" s="164"/>
      <c r="O70" s="164"/>
      <c r="P70" s="164"/>
      <c r="Q70" s="164"/>
      <c r="R70" s="164"/>
      <c r="S70" s="164"/>
      <c r="T70" s="165"/>
    </row>
    <row r="71" spans="3:20" ht="16.5" customHeight="1" x14ac:dyDescent="0.25">
      <c r="C71" s="253"/>
      <c r="D71" s="249"/>
      <c r="E71" s="152" t="s">
        <v>142</v>
      </c>
      <c r="F71" s="153"/>
      <c r="G71" s="154"/>
      <c r="H71" s="154"/>
      <c r="I71" s="154"/>
      <c r="J71" s="154"/>
      <c r="K71" s="154">
        <f>7</f>
        <v>7</v>
      </c>
      <c r="L71" s="154"/>
      <c r="M71" s="154"/>
      <c r="N71" s="154"/>
      <c r="O71" s="154"/>
      <c r="P71" s="154"/>
      <c r="Q71" s="154"/>
      <c r="R71" s="154"/>
      <c r="S71" s="154"/>
      <c r="T71" s="155"/>
    </row>
    <row r="72" spans="3:20" ht="60" x14ac:dyDescent="0.25">
      <c r="C72" s="253"/>
      <c r="D72" s="249">
        <v>12</v>
      </c>
      <c r="E72" s="169" t="s">
        <v>141</v>
      </c>
      <c r="F72" s="163"/>
      <c r="G72" s="164"/>
      <c r="H72" s="164"/>
      <c r="I72" s="164"/>
      <c r="J72" s="164"/>
      <c r="K72" s="164" t="s">
        <v>150</v>
      </c>
      <c r="L72" s="164"/>
      <c r="M72" s="164"/>
      <c r="N72" s="164"/>
      <c r="O72" s="164"/>
      <c r="P72" s="164"/>
      <c r="Q72" s="164"/>
      <c r="R72" s="164"/>
      <c r="S72" s="164"/>
      <c r="T72" s="165"/>
    </row>
    <row r="73" spans="3:20" ht="16.5" customHeight="1" x14ac:dyDescent="0.25">
      <c r="C73" s="253"/>
      <c r="D73" s="249"/>
      <c r="E73" s="152" t="s">
        <v>142</v>
      </c>
      <c r="F73" s="153"/>
      <c r="G73" s="154"/>
      <c r="H73" s="154"/>
      <c r="I73" s="154"/>
      <c r="J73" s="154"/>
      <c r="K73" s="154">
        <f>0.5+2*1</f>
        <v>2.5</v>
      </c>
      <c r="L73" s="154"/>
      <c r="M73" s="154"/>
      <c r="N73" s="154"/>
      <c r="O73" s="154"/>
      <c r="P73" s="154"/>
      <c r="Q73" s="154"/>
      <c r="R73" s="154"/>
      <c r="S73" s="154"/>
      <c r="T73" s="155"/>
    </row>
    <row r="74" spans="3:20" ht="45" x14ac:dyDescent="0.25">
      <c r="C74" s="253"/>
      <c r="D74" s="249">
        <v>13</v>
      </c>
      <c r="E74" s="169" t="s">
        <v>141</v>
      </c>
      <c r="F74" s="163"/>
      <c r="G74" s="164"/>
      <c r="H74" s="164"/>
      <c r="I74" s="164"/>
      <c r="J74" s="164"/>
      <c r="K74" s="164" t="s">
        <v>154</v>
      </c>
      <c r="L74" s="164"/>
      <c r="M74" s="164"/>
      <c r="N74" s="164"/>
      <c r="O74" s="164"/>
      <c r="P74" s="164"/>
      <c r="Q74" s="164"/>
      <c r="R74" s="164"/>
      <c r="S74" s="164"/>
      <c r="T74" s="165"/>
    </row>
    <row r="75" spans="3:20" ht="16.5" customHeight="1" x14ac:dyDescent="0.25">
      <c r="C75" s="253"/>
      <c r="D75" s="249"/>
      <c r="E75" s="152" t="s">
        <v>142</v>
      </c>
      <c r="F75" s="153"/>
      <c r="G75" s="154"/>
      <c r="H75" s="154"/>
      <c r="I75" s="154"/>
      <c r="J75" s="154"/>
      <c r="K75" s="154">
        <v>4</v>
      </c>
      <c r="L75" s="154"/>
      <c r="M75" s="154"/>
      <c r="N75" s="154"/>
      <c r="O75" s="154"/>
      <c r="P75" s="154"/>
      <c r="Q75" s="154"/>
      <c r="R75" s="154"/>
      <c r="S75" s="154"/>
      <c r="T75" s="155"/>
    </row>
    <row r="76" spans="3:20" ht="30" x14ac:dyDescent="0.25">
      <c r="C76" s="253"/>
      <c r="D76" s="249">
        <v>14</v>
      </c>
      <c r="E76" s="169" t="s">
        <v>141</v>
      </c>
      <c r="F76" s="163"/>
      <c r="G76" s="164"/>
      <c r="H76" s="164"/>
      <c r="I76" s="164"/>
      <c r="J76" s="164"/>
      <c r="K76" s="164" t="s">
        <v>156</v>
      </c>
      <c r="L76" s="164"/>
      <c r="M76" s="164"/>
      <c r="N76" s="164"/>
      <c r="O76" s="164"/>
      <c r="P76" s="164"/>
      <c r="Q76" s="164"/>
      <c r="R76" s="164"/>
      <c r="S76" s="164"/>
      <c r="T76" s="165"/>
    </row>
    <row r="77" spans="3:20" ht="16.5" customHeight="1" x14ac:dyDescent="0.25">
      <c r="C77" s="253"/>
      <c r="D77" s="249"/>
      <c r="E77" s="152" t="s">
        <v>142</v>
      </c>
      <c r="F77" s="153"/>
      <c r="G77" s="154"/>
      <c r="H77" s="154"/>
      <c r="I77" s="154"/>
      <c r="J77" s="154"/>
      <c r="K77" s="154" t="e">
        <f>IF(K53&gt;0,1,0)+IF(K59&gt;0,1,0)+IF(K63&gt;0,D10,0)+IF(K67&gt;0,1,0)+IF(K69&gt;0,1,0)+IF(K71&gt;0,1+1,0)</f>
        <v>#VALUE!</v>
      </c>
      <c r="L77" s="154"/>
      <c r="M77" s="154"/>
      <c r="N77" s="154"/>
      <c r="O77" s="154"/>
      <c r="P77" s="154"/>
      <c r="Q77" s="154"/>
      <c r="R77" s="154"/>
      <c r="S77" s="154"/>
      <c r="T77" s="155"/>
    </row>
    <row r="78" spans="3:20" ht="30" x14ac:dyDescent="0.25">
      <c r="C78" s="253"/>
      <c r="D78" s="250">
        <v>15</v>
      </c>
      <c r="E78" s="169" t="s">
        <v>141</v>
      </c>
      <c r="F78" s="163"/>
      <c r="G78" s="164"/>
      <c r="H78" s="164"/>
      <c r="I78" s="164"/>
      <c r="J78" s="164"/>
      <c r="K78" s="164" t="s">
        <v>161</v>
      </c>
      <c r="L78" s="164"/>
      <c r="M78" s="164"/>
      <c r="N78" s="164"/>
      <c r="O78" s="164"/>
      <c r="P78" s="164"/>
      <c r="Q78" s="164"/>
      <c r="R78" s="164"/>
      <c r="S78" s="164"/>
      <c r="T78" s="165"/>
    </row>
    <row r="79" spans="3:20" ht="16.5" customHeight="1" thickBot="1" x14ac:dyDescent="0.3">
      <c r="C79" s="253"/>
      <c r="D79" s="251"/>
      <c r="E79" s="170" t="s">
        <v>142</v>
      </c>
      <c r="F79" s="153"/>
      <c r="G79" s="154"/>
      <c r="H79" s="154"/>
      <c r="I79" s="154"/>
      <c r="J79" s="154"/>
      <c r="K79" s="154">
        <v>5</v>
      </c>
      <c r="L79" s="154"/>
      <c r="M79" s="154"/>
      <c r="N79" s="154"/>
      <c r="O79" s="154"/>
      <c r="P79" s="154"/>
      <c r="Q79" s="154"/>
      <c r="R79" s="154"/>
      <c r="S79" s="154"/>
      <c r="T79" s="155"/>
    </row>
    <row r="80" spans="3:20" x14ac:dyDescent="0.25">
      <c r="C80" s="253"/>
      <c r="D80" s="250">
        <v>16</v>
      </c>
      <c r="E80" s="174" t="s">
        <v>141</v>
      </c>
      <c r="F80" s="175"/>
      <c r="G80" s="176"/>
      <c r="H80" s="176"/>
      <c r="I80" s="176"/>
      <c r="J80" s="176"/>
      <c r="K80" s="176"/>
      <c r="L80" s="176"/>
      <c r="M80" s="176"/>
      <c r="N80" s="176"/>
      <c r="O80" s="176"/>
      <c r="P80" s="176"/>
      <c r="Q80" s="176"/>
      <c r="R80" s="176"/>
      <c r="S80" s="176"/>
      <c r="T80" s="177"/>
    </row>
    <row r="81" spans="3:20" ht="16.5" customHeight="1" thickBot="1" x14ac:dyDescent="0.3">
      <c r="C81" s="254"/>
      <c r="D81" s="251"/>
      <c r="E81" s="170" t="s">
        <v>142</v>
      </c>
      <c r="F81" s="171"/>
      <c r="G81" s="172"/>
      <c r="H81" s="172"/>
      <c r="I81" s="172"/>
      <c r="J81" s="172"/>
      <c r="K81" s="172"/>
      <c r="L81" s="172"/>
      <c r="M81" s="172"/>
      <c r="N81" s="172"/>
      <c r="O81" s="172"/>
      <c r="P81" s="172"/>
      <c r="Q81" s="172"/>
      <c r="R81" s="172"/>
      <c r="S81" s="172"/>
      <c r="T81" s="173"/>
    </row>
  </sheetData>
  <sheetProtection selectLockedCells="1"/>
  <mergeCells count="43">
    <mergeCell ref="C36:C39"/>
    <mergeCell ref="C40:C43"/>
    <mergeCell ref="C25:E25"/>
    <mergeCell ref="C27:C29"/>
    <mergeCell ref="C30:C32"/>
    <mergeCell ref="C33:C35"/>
    <mergeCell ref="D4:F4"/>
    <mergeCell ref="D5:F5"/>
    <mergeCell ref="D6:F6"/>
    <mergeCell ref="D7:F7"/>
    <mergeCell ref="D18:E18"/>
    <mergeCell ref="C17:E17"/>
    <mergeCell ref="D10:F10"/>
    <mergeCell ref="D15:F15"/>
    <mergeCell ref="D13:F13"/>
    <mergeCell ref="D14:F14"/>
    <mergeCell ref="C9:F9"/>
    <mergeCell ref="E11:F11"/>
    <mergeCell ref="D12:F12"/>
    <mergeCell ref="D19:E19"/>
    <mergeCell ref="D20:E20"/>
    <mergeCell ref="D21:E21"/>
    <mergeCell ref="D22:E22"/>
    <mergeCell ref="D23:E23"/>
    <mergeCell ref="C50:C81"/>
    <mergeCell ref="D49:E49"/>
    <mergeCell ref="D64:D65"/>
    <mergeCell ref="D66:D67"/>
    <mergeCell ref="D68:D69"/>
    <mergeCell ref="D70:D71"/>
    <mergeCell ref="D72:D73"/>
    <mergeCell ref="D80:D81"/>
    <mergeCell ref="D48:T48"/>
    <mergeCell ref="D74:D75"/>
    <mergeCell ref="D76:D77"/>
    <mergeCell ref="D78:D79"/>
    <mergeCell ref="D50:D51"/>
    <mergeCell ref="D52:D53"/>
    <mergeCell ref="D54:D55"/>
    <mergeCell ref="D56:D57"/>
    <mergeCell ref="D58:D59"/>
    <mergeCell ref="D60:D61"/>
    <mergeCell ref="D62:D63"/>
  </mergeCells>
  <dataValidations count="14">
    <dataValidation type="list" allowBlank="1" showInputMessage="1" showErrorMessage="1" errorTitle="Erreur" error="Ce langage n'est pas dans la liste" promptTitle="Aide" prompt="Veuillez sélectionner le langage dans la liste" sqref="D18">
      <formula1>LANGAGES</formula1>
    </dataValidation>
    <dataValidation type="list" allowBlank="1" showInputMessage="1" showErrorMessage="1" errorTitle="Erreur" error="Ce type n'est pas dans la liste" promptTitle="Aide" prompt="Veuillez sélectionner le type d'application dans la liste" sqref="D19">
      <formula1>TYPES_APPLI</formula1>
    </dataValidation>
    <dataValidation type="list" allowBlank="1" showInputMessage="1" showErrorMessage="1" errorTitle="Erreur" error="Ce type n'est pas dans la liste" promptTitle="Aide" prompt="Veuillez sélectionner le Serveur d'application dans la liste" sqref="D20">
      <formula1>TYPES_SERVEUR_APPLI</formula1>
    </dataValidation>
    <dataValidation type="list" allowBlank="1" showInputMessage="1" showErrorMessage="1" errorTitle="Erreur" error="Ce type n'est pas dans la liste" promptTitle="Aide" prompt="Veuillez sélectionner le Serveur de Base de Données dans la liste" sqref="D21">
      <formula1>TYPES_SERVEUR_BDD</formula1>
    </dataValidation>
    <dataValidation type="list" allowBlank="1" showInputMessage="1" showErrorMessage="1" promptTitle="Aide" prompt="Veuillez indiquer s'il existe un environnement de recette" sqref="D22">
      <formula1>"OUI,NON"</formula1>
    </dataValidation>
    <dataValidation type="list" allowBlank="1" showInputMessage="1" showErrorMessage="1" promptTitle="Aide" prompt="Veuillez indiquer s'il existe un environnement de production" sqref="D23">
      <formula1>"OUI,NON"</formula1>
    </dataValidation>
    <dataValidation type="date" allowBlank="1" showInputMessage="1" showErrorMessage="1" errorTitle="Erreur" error="La date est incorrecte. Elle doit être comprise entre aujourd'hui et un an" promptTitle="Aide" prompt="Veuillez saisir la date prévisionnelle de démarrage du projet" sqref="D6">
      <formula1>M3</formula1>
      <formula2>M4</formula2>
    </dataValidation>
    <dataValidation type="date" allowBlank="1" showInputMessage="1" showErrorMessage="1" errorTitle="Erreur" error="La date est incorrecte. Elle doit être comprise entre la date de début + 10j et un an" promptTitle="Aide" prompt="Veuillez saisir la date prévionnelle de mise en production de l'application" sqref="D7:F7">
      <formula1>DATE_DEB+10</formula1>
      <formula2>DATE_DEB+365</formula2>
    </dataValidation>
    <dataValidation allowBlank="1" showInputMessage="1" showErrorMessage="1" errorTitle="Erreur" error="Ce langage n'est pas dans la liste" promptTitle="Aide" prompt="Veuillez sélectionner le langage dans la liste" sqref="D10:F10"/>
    <dataValidation type="list" allowBlank="1" showInputMessage="1" showErrorMessage="1" errorTitle="Erreur" error="Ce type n'est pas dans la liste" promptTitle="Aide" prompt="Veuillez sélectionner le type de projet (produit) dans la liste" sqref="D11">
      <formula1>PRODUITS_TRIGRAMMES</formula1>
    </dataValidation>
    <dataValidation allowBlank="1" showInputMessage="1" showErrorMessage="1" errorTitle="Erreur" error="Ce type n'est pas dans la liste" promptTitle="Aide" prompt="Veuillez sélectionner le type de projet (produit) dans la liste" sqref="E11:F11 D14:F14"/>
    <dataValidation type="whole" allowBlank="1" showInputMessage="1" showErrorMessage="1" errorTitle="Erreur" error="Ce nombre doit être compris entre 1 et 9" promptTitle="Aide" prompt="Veuillez saisir le nombre de sous-versions prévues" sqref="D15:F15">
      <formula1>1</formula1>
      <formula2>9</formula2>
    </dataValidation>
    <dataValidation type="list" allowBlank="1" showInputMessage="1" showErrorMessage="1" errorTitle="Erreur" error="Cette qualité n'existe pas dans la liste" promptTitle="Aide" prompt="Veuillez sélectionner la qualité du CDC dans la liste" sqref="D12:F12">
      <formula1>CDC_QUALITE</formula1>
    </dataValidation>
    <dataValidation type="whole" allowBlank="1" showInputMessage="1" showErrorMessage="1" errorTitle="Erreur" error="Ce nombre doit être compris entre 10 et 1000" promptTitle="Aide" prompt="Veuillez saisir le nombre de pages du CDC" sqref="D13:F13">
      <formula1>10</formula1>
      <formula2>1000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J133"/>
  <sheetViews>
    <sheetView tabSelected="1" showWhiteSpace="0" topLeftCell="A7" zoomScale="70" zoomScaleNormal="70" zoomScaleSheetLayoutView="70" zoomScalePageLayoutView="55" workbookViewId="0">
      <selection activeCell="F12" sqref="F12"/>
    </sheetView>
  </sheetViews>
  <sheetFormatPr baseColWidth="10" defaultColWidth="9.140625" defaultRowHeight="15" x14ac:dyDescent="0.25"/>
  <cols>
    <col min="1" max="1" width="5.7109375" style="15" customWidth="1"/>
    <col min="2" max="2" width="30.7109375" style="15" customWidth="1"/>
    <col min="3" max="3" width="40.85546875" style="15" customWidth="1"/>
    <col min="4" max="4" width="27.7109375" style="24" customWidth="1"/>
    <col min="5" max="5" width="43.85546875" style="15" bestFit="1" customWidth="1"/>
    <col min="6" max="6" width="50.7109375" style="15" customWidth="1"/>
    <col min="7" max="7" width="5.7109375" style="15" customWidth="1"/>
    <col min="8" max="8" width="23.7109375" style="15" customWidth="1"/>
    <col min="9" max="12" width="8.7109375" style="15" customWidth="1"/>
    <col min="13" max="14" width="5.7109375" style="15" customWidth="1"/>
    <col min="15" max="15" width="40.7109375" style="15" customWidth="1"/>
    <col min="16" max="16" width="6.140625" style="15" bestFit="1" customWidth="1"/>
    <col min="17" max="17" width="5.85546875" style="15" bestFit="1" customWidth="1"/>
    <col min="18" max="18" width="8.140625" style="15" bestFit="1" customWidth="1"/>
    <col min="19" max="19" width="6.140625" style="15" bestFit="1" customWidth="1"/>
    <col min="20" max="20" width="7" style="15" bestFit="1" customWidth="1"/>
    <col min="21" max="21" width="8.140625" style="15" bestFit="1" customWidth="1"/>
    <col min="22" max="22" width="6.140625" style="15" bestFit="1" customWidth="1"/>
    <col min="23" max="23" width="8.140625" style="15" bestFit="1" customWidth="1"/>
    <col min="24" max="25" width="10.5703125" style="15" bestFit="1" customWidth="1"/>
    <col min="26" max="16384" width="9.140625" style="15"/>
  </cols>
  <sheetData>
    <row r="1" spans="1:36" ht="30" customHeight="1" x14ac:dyDescent="0.25">
      <c r="F1" s="2" t="s">
        <v>0</v>
      </c>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row>
    <row r="2" spans="1:36" ht="30" customHeight="1" x14ac:dyDescent="0.25">
      <c r="D2" s="208"/>
      <c r="F2" s="2" t="s">
        <v>63</v>
      </c>
      <c r="G2" s="2"/>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spans="1:36" ht="12.75" customHeight="1" thickBot="1" x14ac:dyDescent="0.3">
      <c r="D3" s="208"/>
      <c r="E3" s="23"/>
      <c r="F3" s="23"/>
      <c r="G3" s="2"/>
      <c r="M3" s="23"/>
      <c r="N3" s="23"/>
      <c r="O3" s="23"/>
      <c r="P3" s="23"/>
      <c r="Q3" s="23"/>
      <c r="R3" s="23"/>
      <c r="S3" s="23"/>
      <c r="T3" s="23"/>
      <c r="U3" s="23"/>
      <c r="V3" s="23"/>
      <c r="W3" s="23"/>
      <c r="X3" s="23"/>
      <c r="Y3" s="23"/>
      <c r="Z3" s="23"/>
      <c r="AA3" s="23"/>
      <c r="AB3" s="23"/>
      <c r="AC3" s="23"/>
      <c r="AD3" s="23"/>
      <c r="AE3" s="23"/>
      <c r="AF3" s="23"/>
      <c r="AG3" s="23"/>
      <c r="AH3" s="23"/>
      <c r="AI3" s="23"/>
      <c r="AJ3" s="23"/>
    </row>
    <row r="4" spans="1:36" s="24" customFormat="1" ht="83.25" customHeight="1" x14ac:dyDescent="0.25">
      <c r="B4" s="25"/>
      <c r="C4" s="26"/>
      <c r="D4" s="26"/>
      <c r="E4" s="26"/>
      <c r="F4" s="26"/>
      <c r="H4" s="111" t="s">
        <v>158</v>
      </c>
      <c r="I4" s="282" t="s">
        <v>157</v>
      </c>
      <c r="J4" s="282"/>
      <c r="K4" s="282"/>
      <c r="L4" s="282"/>
      <c r="M4" s="287" t="s">
        <v>71</v>
      </c>
      <c r="N4" s="288"/>
      <c r="O4" s="288"/>
      <c r="P4" s="283" t="s">
        <v>73</v>
      </c>
      <c r="Q4" s="284"/>
      <c r="R4" s="284"/>
      <c r="S4" s="284"/>
      <c r="T4" s="284"/>
      <c r="U4" s="284"/>
      <c r="V4" s="284"/>
      <c r="W4" s="284"/>
      <c r="X4" s="285"/>
      <c r="Y4" s="286"/>
    </row>
    <row r="5" spans="1:36" s="24" customFormat="1" ht="211.5" customHeight="1" thickBot="1" x14ac:dyDescent="0.3">
      <c r="A5" s="27" t="s">
        <v>48</v>
      </c>
      <c r="B5" s="27" t="s">
        <v>41</v>
      </c>
      <c r="C5" s="27" t="s">
        <v>1</v>
      </c>
      <c r="D5" s="27" t="s">
        <v>42</v>
      </c>
      <c r="E5" s="27" t="s">
        <v>43</v>
      </c>
      <c r="F5" s="27" t="s">
        <v>2</v>
      </c>
      <c r="G5" s="118" t="s">
        <v>82</v>
      </c>
      <c r="H5" s="145" t="s">
        <v>171</v>
      </c>
      <c r="I5" s="113" t="s">
        <v>92</v>
      </c>
      <c r="J5" s="113" t="s">
        <v>45</v>
      </c>
      <c r="K5" s="113" t="s">
        <v>46</v>
      </c>
      <c r="L5" s="113" t="s">
        <v>50</v>
      </c>
      <c r="M5" s="114" t="s">
        <v>91</v>
      </c>
      <c r="N5" s="114" t="s">
        <v>93</v>
      </c>
      <c r="O5" s="115" t="s">
        <v>2</v>
      </c>
      <c r="P5" s="222" t="s">
        <v>76</v>
      </c>
      <c r="Q5" s="223" t="s">
        <v>76</v>
      </c>
      <c r="R5" s="224" t="s">
        <v>83</v>
      </c>
      <c r="S5" s="225" t="s">
        <v>84</v>
      </c>
      <c r="T5" s="226" t="s">
        <v>85</v>
      </c>
      <c r="U5" s="225" t="s">
        <v>86</v>
      </c>
      <c r="V5" s="226" t="s">
        <v>87</v>
      </c>
      <c r="W5" s="225" t="s">
        <v>100</v>
      </c>
      <c r="X5" s="224" t="s">
        <v>88</v>
      </c>
      <c r="Y5" s="227" t="s">
        <v>89</v>
      </c>
    </row>
    <row r="6" spans="1:36" s="29" customFormat="1" ht="61.5" customHeight="1" x14ac:dyDescent="0.25">
      <c r="A6" s="30"/>
      <c r="B6" s="291" t="s">
        <v>175</v>
      </c>
      <c r="C6" s="358" t="s">
        <v>333</v>
      </c>
      <c r="D6" s="362" t="s">
        <v>334</v>
      </c>
      <c r="E6" s="363" t="s">
        <v>337</v>
      </c>
      <c r="F6" s="360"/>
      <c r="G6" s="231" t="s">
        <v>96</v>
      </c>
      <c r="H6" s="381" t="s">
        <v>46</v>
      </c>
      <c r="I6" s="200">
        <v>0</v>
      </c>
      <c r="J6" s="200">
        <v>0</v>
      </c>
      <c r="K6" s="200">
        <v>0</v>
      </c>
      <c r="L6" s="200">
        <v>0</v>
      </c>
      <c r="M6" s="201">
        <v>1</v>
      </c>
      <c r="N6" s="201">
        <v>1</v>
      </c>
      <c r="O6" s="202"/>
      <c r="P6" s="203">
        <f>VLOOKUP(H6,Paramètres!$D$27:$E$29,2,FALSE)</f>
        <v>0.5</v>
      </c>
      <c r="Q6" s="204">
        <f>VLOOKUP(H6,Paramètres!$D$30:$E$32,2,FALSE)</f>
        <v>1</v>
      </c>
      <c r="R6" s="205">
        <f>IF(ISNA(P6),0,P6)</f>
        <v>0.5</v>
      </c>
      <c r="S6" s="206">
        <f>IF(ISNA(Q6),0,Q6)</f>
        <v>1</v>
      </c>
      <c r="T6" s="206">
        <f>J6*Paramètres!$E$33+K6*Paramètres!$E$34+L6*Paramètres!$E$35</f>
        <v>0</v>
      </c>
      <c r="U6" s="206">
        <f>IF(TYPE_APPLI=Paramètres!$O$3,I6*Paramètres!$E$36+TFC!J6*Paramètres!$E$37+K6*Paramètres!$E$38+L6*Paramètres!$E$39,TFC!I6*Paramètres!$E$40+J6*Paramètres!$E$41+K6*Paramètres!$E$42+L6*Paramètres!$E$43)</f>
        <v>0</v>
      </c>
      <c r="V6" s="229">
        <f>N6*Paramètres!$E$44</f>
        <v>0.125</v>
      </c>
      <c r="W6" s="206">
        <f>M6*Paramètres!$E$45/2+N6*Paramètres!$E$45</f>
        <v>0.1875</v>
      </c>
      <c r="X6" s="205">
        <f>SUM(S6:W6)</f>
        <v>1.3125</v>
      </c>
      <c r="Y6" s="207">
        <f>R6+X6</f>
        <v>1.8125</v>
      </c>
    </row>
    <row r="7" spans="1:36" s="29" customFormat="1" ht="61.5" customHeight="1" x14ac:dyDescent="0.25">
      <c r="A7" s="220"/>
      <c r="B7" s="292"/>
      <c r="C7" s="359"/>
      <c r="D7" s="354"/>
      <c r="E7" s="363" t="s">
        <v>338</v>
      </c>
      <c r="F7" s="361"/>
      <c r="G7" s="364" t="s">
        <v>96</v>
      </c>
      <c r="H7" s="380" t="s">
        <v>46</v>
      </c>
      <c r="I7" s="107"/>
      <c r="J7" s="107"/>
      <c r="K7" s="107"/>
      <c r="L7" s="107"/>
      <c r="M7" s="109"/>
      <c r="N7" s="109"/>
      <c r="O7" s="352"/>
      <c r="P7" s="94"/>
      <c r="Q7" s="94"/>
      <c r="R7" s="126"/>
      <c r="S7" s="96"/>
      <c r="T7" s="96"/>
      <c r="U7" s="96"/>
      <c r="V7" s="230"/>
      <c r="W7" s="96"/>
      <c r="X7" s="126"/>
      <c r="Y7" s="353"/>
    </row>
    <row r="8" spans="1:36" s="29" customFormat="1" ht="61.5" customHeight="1" x14ac:dyDescent="0.25">
      <c r="A8" s="220"/>
      <c r="B8" s="292"/>
      <c r="C8" s="359"/>
      <c r="D8" s="354"/>
      <c r="E8" s="363" t="s">
        <v>339</v>
      </c>
      <c r="F8" s="363"/>
      <c r="G8" s="356" t="s">
        <v>96</v>
      </c>
      <c r="H8" s="244" t="s">
        <v>46</v>
      </c>
      <c r="I8" s="107"/>
      <c r="J8" s="107"/>
      <c r="K8" s="107"/>
      <c r="L8" s="107"/>
      <c r="M8" s="109"/>
      <c r="N8" s="109"/>
      <c r="O8" s="352"/>
      <c r="P8" s="94"/>
      <c r="Q8" s="94"/>
      <c r="R8" s="126"/>
      <c r="S8" s="96"/>
      <c r="T8" s="96"/>
      <c r="U8" s="96"/>
      <c r="V8" s="230"/>
      <c r="W8" s="96"/>
      <c r="X8" s="126"/>
      <c r="Y8" s="353"/>
    </row>
    <row r="9" spans="1:36" s="29" customFormat="1" ht="61.5" customHeight="1" x14ac:dyDescent="0.25">
      <c r="A9" s="220"/>
      <c r="B9" s="292"/>
      <c r="C9" s="359"/>
      <c r="D9" s="354"/>
      <c r="E9" s="363" t="s">
        <v>335</v>
      </c>
      <c r="F9" s="363"/>
      <c r="G9" s="356" t="s">
        <v>96</v>
      </c>
      <c r="H9" s="244" t="s">
        <v>46</v>
      </c>
      <c r="I9" s="107"/>
      <c r="J9" s="107"/>
      <c r="K9" s="107"/>
      <c r="L9" s="107"/>
      <c r="M9" s="109"/>
      <c r="N9" s="109"/>
      <c r="O9" s="352"/>
      <c r="P9" s="94"/>
      <c r="Q9" s="94"/>
      <c r="R9" s="126"/>
      <c r="S9" s="96"/>
      <c r="T9" s="96"/>
      <c r="U9" s="96"/>
      <c r="V9" s="230"/>
      <c r="W9" s="96"/>
      <c r="X9" s="126"/>
      <c r="Y9" s="353"/>
    </row>
    <row r="10" spans="1:36" s="29" customFormat="1" ht="61.5" customHeight="1" x14ac:dyDescent="0.25">
      <c r="A10" s="220"/>
      <c r="B10" s="292"/>
      <c r="C10" s="359"/>
      <c r="D10" s="354"/>
      <c r="E10" s="363" t="s">
        <v>336</v>
      </c>
      <c r="F10" s="363"/>
      <c r="G10" s="356" t="s">
        <v>96</v>
      </c>
      <c r="H10" s="244" t="s">
        <v>46</v>
      </c>
      <c r="I10" s="107"/>
      <c r="J10" s="107"/>
      <c r="K10" s="107"/>
      <c r="L10" s="107"/>
      <c r="M10" s="109"/>
      <c r="N10" s="109"/>
      <c r="O10" s="352"/>
      <c r="P10" s="94"/>
      <c r="Q10" s="94"/>
      <c r="R10" s="126"/>
      <c r="S10" s="96"/>
      <c r="T10" s="96"/>
      <c r="U10" s="96"/>
      <c r="V10" s="230"/>
      <c r="W10" s="96"/>
      <c r="X10" s="126"/>
      <c r="Y10" s="353"/>
    </row>
    <row r="11" spans="1:36" s="29" customFormat="1" ht="61.5" customHeight="1" x14ac:dyDescent="0.25">
      <c r="A11" s="220"/>
      <c r="B11" s="292"/>
      <c r="C11" s="355" t="s">
        <v>176</v>
      </c>
      <c r="D11" s="367" t="s">
        <v>177</v>
      </c>
      <c r="E11" s="183" t="s">
        <v>184</v>
      </c>
      <c r="F11" s="184"/>
      <c r="G11" s="357" t="s">
        <v>96</v>
      </c>
      <c r="H11" s="244" t="s">
        <v>45</v>
      </c>
      <c r="I11" s="107"/>
      <c r="J11" s="107"/>
      <c r="K11" s="107"/>
      <c r="L11" s="107"/>
      <c r="M11" s="109"/>
      <c r="N11" s="109"/>
      <c r="O11" s="352"/>
      <c r="P11" s="94"/>
      <c r="Q11" s="94"/>
      <c r="R11" s="126"/>
      <c r="S11" s="96"/>
      <c r="T11" s="96"/>
      <c r="U11" s="96"/>
      <c r="V11" s="230"/>
      <c r="W11" s="96"/>
      <c r="X11" s="126"/>
      <c r="Y11" s="353"/>
    </row>
    <row r="12" spans="1:36" s="29" customFormat="1" ht="63" customHeight="1" x14ac:dyDescent="0.25">
      <c r="A12" s="220"/>
      <c r="B12" s="292"/>
      <c r="C12" s="355"/>
      <c r="D12" s="382"/>
      <c r="E12" s="183" t="s">
        <v>185</v>
      </c>
      <c r="F12" s="184"/>
      <c r="G12" s="232" t="s">
        <v>96</v>
      </c>
      <c r="H12" s="235" t="s">
        <v>45</v>
      </c>
      <c r="I12" s="107">
        <v>0</v>
      </c>
      <c r="J12" s="107">
        <v>0</v>
      </c>
      <c r="K12" s="107">
        <v>0</v>
      </c>
      <c r="L12" s="107">
        <v>0</v>
      </c>
      <c r="M12" s="109">
        <v>1</v>
      </c>
      <c r="N12" s="109">
        <v>1</v>
      </c>
      <c r="O12" s="148"/>
      <c r="P12" s="147">
        <f>VLOOKUP(H12,Paramètres!$D$27:$E$29,2,FALSE)</f>
        <v>0.125</v>
      </c>
      <c r="Q12" s="94">
        <f>VLOOKUP(H12,Paramètres!$D$30:$E$32,2,FALSE)</f>
        <v>0.5</v>
      </c>
      <c r="R12" s="126">
        <f t="shared" ref="R12:R16" si="0">IF(ISNA(P12),0,P12)</f>
        <v>0.125</v>
      </c>
      <c r="S12" s="96">
        <f t="shared" ref="S12:S16" si="1">IF(ISNA(Q12),0,Q12)</f>
        <v>0.5</v>
      </c>
      <c r="T12" s="96">
        <f>J12*Paramètres!$E$33+K12*Paramètres!$E$34+L12*Paramètres!$E$35</f>
        <v>0</v>
      </c>
      <c r="U12" s="96">
        <f>IF(TYPE_APPLI=Paramètres!$O$3,I12*Paramètres!$E$36+TFC!J12*Paramètres!$E$37+K12*Paramètres!$E$38+L12*Paramètres!$E$39,TFC!I12*Paramètres!$E$40+J12*Paramètres!$E$41+K12*Paramètres!$E$42+L12*Paramètres!$E$43)</f>
        <v>0</v>
      </c>
      <c r="V12" s="230">
        <f>N12*Paramètres!$E$44</f>
        <v>0.125</v>
      </c>
      <c r="W12" s="96">
        <f>M12*Paramètres!$E$45/2+N12*Paramètres!$E$45</f>
        <v>0.1875</v>
      </c>
      <c r="X12" s="126">
        <f t="shared" ref="X12:X16" si="2">SUM(S12:W12)</f>
        <v>0.8125</v>
      </c>
      <c r="Y12" s="198">
        <f t="shared" ref="Y12:Y16" si="3">R12+X12</f>
        <v>0.9375</v>
      </c>
    </row>
    <row r="13" spans="1:36" s="29" customFormat="1" ht="60.75" customHeight="1" x14ac:dyDescent="0.25">
      <c r="A13" s="220"/>
      <c r="B13" s="292"/>
      <c r="C13" s="355"/>
      <c r="D13" s="382"/>
      <c r="E13" s="183" t="s">
        <v>186</v>
      </c>
      <c r="F13" s="184"/>
      <c r="G13" s="232" t="s">
        <v>96</v>
      </c>
      <c r="H13" s="235" t="s">
        <v>45</v>
      </c>
      <c r="I13" s="107">
        <v>0</v>
      </c>
      <c r="J13" s="107">
        <v>0</v>
      </c>
      <c r="K13" s="107">
        <v>0</v>
      </c>
      <c r="L13" s="107">
        <v>0</v>
      </c>
      <c r="M13" s="109">
        <v>1</v>
      </c>
      <c r="N13" s="109">
        <v>1</v>
      </c>
      <c r="O13" s="148"/>
      <c r="P13" s="147">
        <f>VLOOKUP(H13,Paramètres!$D$27:$E$29,2,FALSE)</f>
        <v>0.125</v>
      </c>
      <c r="Q13" s="94">
        <f>VLOOKUP(H13,Paramètres!$D$30:$E$32,2,FALSE)</f>
        <v>0.5</v>
      </c>
      <c r="R13" s="126">
        <f t="shared" si="0"/>
        <v>0.125</v>
      </c>
      <c r="S13" s="96">
        <f t="shared" si="1"/>
        <v>0.5</v>
      </c>
      <c r="T13" s="96">
        <f>J13*Paramètres!$E$33+K13*Paramètres!$E$34+L13*Paramètres!$E$35</f>
        <v>0</v>
      </c>
      <c r="U13" s="96">
        <f>IF(TYPE_APPLI=Paramètres!$O$3,I13*Paramètres!$E$36+TFC!J13*Paramètres!$E$37+K13*Paramètres!$E$38+L13*Paramètres!$E$39,TFC!I13*Paramètres!$E$40+J13*Paramètres!$E$41+K13*Paramètres!$E$42+L13*Paramètres!$E$43)</f>
        <v>0</v>
      </c>
      <c r="V13" s="230">
        <f>N13*Paramètres!$E$44</f>
        <v>0.125</v>
      </c>
      <c r="W13" s="96">
        <f>M13*Paramètres!$E$45/2+N13*Paramètres!$E$45</f>
        <v>0.1875</v>
      </c>
      <c r="X13" s="126">
        <f t="shared" si="2"/>
        <v>0.8125</v>
      </c>
      <c r="Y13" s="198">
        <f t="shared" si="3"/>
        <v>0.9375</v>
      </c>
    </row>
    <row r="14" spans="1:36" s="29" customFormat="1" ht="55.5" customHeight="1" x14ac:dyDescent="0.25">
      <c r="A14" s="220"/>
      <c r="B14" s="292"/>
      <c r="C14" s="355"/>
      <c r="D14" s="382"/>
      <c r="E14" s="183" t="s">
        <v>187</v>
      </c>
      <c r="F14" s="184"/>
      <c r="G14" s="232" t="s">
        <v>96</v>
      </c>
      <c r="H14" s="235" t="s">
        <v>45</v>
      </c>
      <c r="I14" s="107">
        <v>0</v>
      </c>
      <c r="J14" s="107">
        <v>0</v>
      </c>
      <c r="K14" s="107">
        <v>0</v>
      </c>
      <c r="L14" s="107">
        <v>0</v>
      </c>
      <c r="M14" s="109">
        <v>1</v>
      </c>
      <c r="N14" s="109">
        <v>1</v>
      </c>
      <c r="O14" s="148"/>
      <c r="P14" s="147">
        <f>VLOOKUP(H14,Paramètres!$D$27:$E$29,2,FALSE)</f>
        <v>0.125</v>
      </c>
      <c r="Q14" s="94">
        <f>VLOOKUP(H14,Paramètres!$D$30:$E$32,2,FALSE)</f>
        <v>0.5</v>
      </c>
      <c r="R14" s="126">
        <f t="shared" si="0"/>
        <v>0.125</v>
      </c>
      <c r="S14" s="96">
        <f t="shared" si="1"/>
        <v>0.5</v>
      </c>
      <c r="T14" s="96">
        <f>J14*Paramètres!$E$33+K14*Paramètres!$E$34+L14*Paramètres!$E$35</f>
        <v>0</v>
      </c>
      <c r="U14" s="96">
        <f>IF(TYPE_APPLI=Paramètres!$O$3,I14*Paramètres!$E$36+TFC!J14*Paramètres!$E$37+K14*Paramètres!$E$38+L14*Paramètres!$E$39,TFC!I14*Paramètres!$E$40+J14*Paramètres!$E$41+K14*Paramètres!$E$42+L14*Paramètres!$E$43)</f>
        <v>0</v>
      </c>
      <c r="V14" s="230">
        <f>N14*Paramètres!$E$44</f>
        <v>0.125</v>
      </c>
      <c r="W14" s="96">
        <f>M14*Paramètres!$E$45/2+N14*Paramètres!$E$45</f>
        <v>0.1875</v>
      </c>
      <c r="X14" s="126">
        <f t="shared" si="2"/>
        <v>0.8125</v>
      </c>
      <c r="Y14" s="198">
        <f t="shared" si="3"/>
        <v>0.9375</v>
      </c>
    </row>
    <row r="15" spans="1:36" s="29" customFormat="1" ht="65.25" customHeight="1" x14ac:dyDescent="0.25">
      <c r="A15" s="28"/>
      <c r="B15" s="293"/>
      <c r="C15" s="355"/>
      <c r="D15" s="365" t="s">
        <v>178</v>
      </c>
      <c r="E15" s="183" t="s">
        <v>188</v>
      </c>
      <c r="F15" s="184"/>
      <c r="G15" s="232" t="s">
        <v>96</v>
      </c>
      <c r="H15" s="235" t="s">
        <v>45</v>
      </c>
      <c r="I15" s="107">
        <v>0</v>
      </c>
      <c r="J15" s="107">
        <v>0</v>
      </c>
      <c r="K15" s="107">
        <v>0</v>
      </c>
      <c r="L15" s="107">
        <v>0</v>
      </c>
      <c r="M15" s="109">
        <v>1</v>
      </c>
      <c r="N15" s="109">
        <v>1</v>
      </c>
      <c r="O15" s="148"/>
      <c r="P15" s="147">
        <f>VLOOKUP(H15,Paramètres!$D$27:$E$29,2,FALSE)</f>
        <v>0.125</v>
      </c>
      <c r="Q15" s="94">
        <f>VLOOKUP(H15,Paramètres!$D$30:$E$32,2,FALSE)</f>
        <v>0.5</v>
      </c>
      <c r="R15" s="126">
        <f t="shared" si="0"/>
        <v>0.125</v>
      </c>
      <c r="S15" s="96">
        <f t="shared" si="1"/>
        <v>0.5</v>
      </c>
      <c r="T15" s="96">
        <f>J15*Paramètres!$E$33+K15*Paramètres!$E$34+L15*Paramètres!$E$35</f>
        <v>0</v>
      </c>
      <c r="U15" s="96">
        <f>IF(TYPE_APPLI=Paramètres!$O$3,I15*Paramètres!$E$36+TFC!J15*Paramètres!$E$37+K15*Paramètres!$E$38+L15*Paramètres!$E$39,TFC!I15*Paramètres!$E$40+J15*Paramètres!$E$41+K15*Paramètres!$E$42+L15*Paramètres!$E$43)</f>
        <v>0</v>
      </c>
      <c r="V15" s="230">
        <f>N15*Paramètres!$E$44</f>
        <v>0.125</v>
      </c>
      <c r="W15" s="96">
        <f>M15*Paramètres!$E$45/2+N15*Paramètres!$E$45</f>
        <v>0.1875</v>
      </c>
      <c r="X15" s="126">
        <f t="shared" si="2"/>
        <v>0.8125</v>
      </c>
      <c r="Y15" s="198">
        <f t="shared" si="3"/>
        <v>0.9375</v>
      </c>
    </row>
    <row r="16" spans="1:36" s="29" customFormat="1" ht="60" customHeight="1" x14ac:dyDescent="0.25">
      <c r="A16" s="28"/>
      <c r="B16" s="293"/>
      <c r="C16" s="355"/>
      <c r="D16" s="366"/>
      <c r="E16" s="183" t="s">
        <v>189</v>
      </c>
      <c r="F16" s="184"/>
      <c r="G16" s="232" t="s">
        <v>96</v>
      </c>
      <c r="H16" s="235" t="s">
        <v>45</v>
      </c>
      <c r="I16" s="107">
        <v>0</v>
      </c>
      <c r="J16" s="107">
        <v>0</v>
      </c>
      <c r="K16" s="107">
        <v>0</v>
      </c>
      <c r="L16" s="107">
        <v>0</v>
      </c>
      <c r="M16" s="109">
        <v>1</v>
      </c>
      <c r="N16" s="109">
        <v>1</v>
      </c>
      <c r="O16" s="148"/>
      <c r="P16" s="147">
        <f>VLOOKUP(H16,Paramètres!$D$27:$E$29,2,FALSE)</f>
        <v>0.125</v>
      </c>
      <c r="Q16" s="94">
        <f>VLOOKUP(H16,Paramètres!$D$30:$E$32,2,FALSE)</f>
        <v>0.5</v>
      </c>
      <c r="R16" s="126">
        <f t="shared" si="0"/>
        <v>0.125</v>
      </c>
      <c r="S16" s="96">
        <f t="shared" si="1"/>
        <v>0.5</v>
      </c>
      <c r="T16" s="96">
        <f>J16*Paramètres!$E$33+K16*Paramètres!$E$34+L16*Paramètres!$E$35</f>
        <v>0</v>
      </c>
      <c r="U16" s="96">
        <f>IF(TYPE_APPLI=Paramètres!$O$3,I16*Paramètres!$E$36+TFC!J16*Paramètres!$E$37+K16*Paramètres!$E$38+L16*Paramètres!$E$39,TFC!I16*Paramètres!$E$40+J16*Paramètres!$E$41+K16*Paramètres!$E$42+L16*Paramètres!$E$43)</f>
        <v>0</v>
      </c>
      <c r="V16" s="230">
        <f>N16*Paramètres!$E$44</f>
        <v>0.125</v>
      </c>
      <c r="W16" s="96">
        <f>M16*Paramètres!$E$45/2+N16*Paramètres!$E$45</f>
        <v>0.1875</v>
      </c>
      <c r="X16" s="126">
        <f t="shared" si="2"/>
        <v>0.8125</v>
      </c>
      <c r="Y16" s="198">
        <f t="shared" si="3"/>
        <v>0.9375</v>
      </c>
    </row>
    <row r="17" spans="1:25" s="29" customFormat="1" ht="47.25" customHeight="1" x14ac:dyDescent="0.25">
      <c r="A17" s="28"/>
      <c r="B17" s="293"/>
      <c r="C17" s="355"/>
      <c r="D17" s="366"/>
      <c r="E17" s="183" t="s">
        <v>190</v>
      </c>
      <c r="F17" s="184"/>
      <c r="G17" s="232" t="s">
        <v>96</v>
      </c>
      <c r="H17" s="235" t="s">
        <v>45</v>
      </c>
      <c r="I17" s="107">
        <v>0</v>
      </c>
      <c r="J17" s="107">
        <v>0</v>
      </c>
      <c r="K17" s="107">
        <v>0</v>
      </c>
      <c r="L17" s="107">
        <v>0</v>
      </c>
      <c r="M17" s="109">
        <v>1</v>
      </c>
      <c r="N17" s="109">
        <v>1</v>
      </c>
      <c r="O17" s="148"/>
      <c r="P17" s="147">
        <f>VLOOKUP(H17,Paramètres!$D$27:$E$29,2,FALSE)</f>
        <v>0.125</v>
      </c>
      <c r="Q17" s="94">
        <f>VLOOKUP(H17,Paramètres!$D$30:$E$32,2,FALSE)</f>
        <v>0.5</v>
      </c>
      <c r="R17" s="126">
        <f t="shared" ref="R17:R77" si="4">IF(ISNA(P17),0,P17)</f>
        <v>0.125</v>
      </c>
      <c r="S17" s="96">
        <f t="shared" ref="S17:S77" si="5">IF(ISNA(Q17),0,Q17)</f>
        <v>0.5</v>
      </c>
      <c r="T17" s="96">
        <f>J17*Paramètres!$E$33+K17*Paramètres!$E$34+L17*Paramètres!$E$35</f>
        <v>0</v>
      </c>
      <c r="U17" s="96">
        <f>IF(TYPE_APPLI=Paramètres!$O$3,I17*Paramètres!$E$36+TFC!J17*Paramètres!$E$37+K17*Paramètres!$E$38+L17*Paramètres!$E$39,TFC!I17*Paramètres!$E$40+J17*Paramètres!$E$41+K17*Paramètres!$E$42+L17*Paramètres!$E$43)</f>
        <v>0</v>
      </c>
      <c r="V17" s="230">
        <f>N17*Paramètres!$E$44</f>
        <v>0.125</v>
      </c>
      <c r="W17" s="96">
        <f>M17*Paramètres!$E$45/2+N17*Paramètres!$E$45</f>
        <v>0.1875</v>
      </c>
      <c r="X17" s="126">
        <f t="shared" ref="X17:X77" si="6">SUM(S17:W17)</f>
        <v>0.8125</v>
      </c>
      <c r="Y17" s="198">
        <f t="shared" ref="Y17:Y77" si="7">R17+X17</f>
        <v>0.9375</v>
      </c>
    </row>
    <row r="18" spans="1:25" s="29" customFormat="1" ht="47.25" customHeight="1" x14ac:dyDescent="0.25">
      <c r="A18" s="28"/>
      <c r="B18" s="293"/>
      <c r="C18" s="355"/>
      <c r="D18" s="367"/>
      <c r="E18" s="183" t="s">
        <v>191</v>
      </c>
      <c r="F18" s="184"/>
      <c r="G18" s="232" t="s">
        <v>96</v>
      </c>
      <c r="H18" s="235" t="s">
        <v>45</v>
      </c>
      <c r="I18" s="107">
        <v>0</v>
      </c>
      <c r="J18" s="107">
        <v>0</v>
      </c>
      <c r="K18" s="107">
        <v>0</v>
      </c>
      <c r="L18" s="107">
        <v>0</v>
      </c>
      <c r="M18" s="109">
        <v>1</v>
      </c>
      <c r="N18" s="109">
        <v>1</v>
      </c>
      <c r="O18" s="148"/>
      <c r="P18" s="147">
        <f>VLOOKUP(H18,Paramètres!$D$27:$E$29,2,FALSE)</f>
        <v>0.125</v>
      </c>
      <c r="Q18" s="94">
        <f>VLOOKUP(H18,Paramètres!$D$30:$E$32,2,FALSE)</f>
        <v>0.5</v>
      </c>
      <c r="R18" s="126">
        <f t="shared" si="4"/>
        <v>0.125</v>
      </c>
      <c r="S18" s="96">
        <f t="shared" si="5"/>
        <v>0.5</v>
      </c>
      <c r="T18" s="96">
        <f>J18*Paramètres!$E$33+K18*Paramètres!$E$34+L18*Paramètres!$E$35</f>
        <v>0</v>
      </c>
      <c r="U18" s="96">
        <f>IF(TYPE_APPLI=Paramètres!$O$3,I18*Paramètres!$E$36+TFC!J18*Paramètres!$E$37+K18*Paramètres!$E$38+L18*Paramètres!$E$39,TFC!I18*Paramètres!$E$40+J18*Paramètres!$E$41+K18*Paramètres!$E$42+L18*Paramètres!$E$43)</f>
        <v>0</v>
      </c>
      <c r="V18" s="230">
        <f>N18*Paramètres!$E$44</f>
        <v>0.125</v>
      </c>
      <c r="W18" s="96">
        <f>M18*Paramètres!$E$45/2+N18*Paramètres!$E$45</f>
        <v>0.1875</v>
      </c>
      <c r="X18" s="126">
        <f t="shared" si="6"/>
        <v>0.8125</v>
      </c>
      <c r="Y18" s="198">
        <f t="shared" si="7"/>
        <v>0.9375</v>
      </c>
    </row>
    <row r="19" spans="1:25" s="29" customFormat="1" ht="44.25" customHeight="1" x14ac:dyDescent="0.25">
      <c r="A19" s="28"/>
      <c r="B19" s="293"/>
      <c r="C19" s="355"/>
      <c r="D19" s="365" t="s">
        <v>179</v>
      </c>
      <c r="E19" s="183" t="s">
        <v>192</v>
      </c>
      <c r="F19" s="184"/>
      <c r="G19" s="232" t="s">
        <v>96</v>
      </c>
      <c r="H19" s="236" t="s">
        <v>45</v>
      </c>
      <c r="I19" s="191">
        <v>0</v>
      </c>
      <c r="J19" s="191">
        <v>0</v>
      </c>
      <c r="K19" s="191">
        <v>0</v>
      </c>
      <c r="L19" s="191">
        <v>0</v>
      </c>
      <c r="M19" s="192">
        <v>1</v>
      </c>
      <c r="N19" s="192">
        <v>1</v>
      </c>
      <c r="O19" s="193"/>
      <c r="P19" s="194">
        <f>VLOOKUP(H19,Paramètres!$D$27:$E$29,2,FALSE)</f>
        <v>0.125</v>
      </c>
      <c r="Q19" s="195">
        <f>VLOOKUP(H19,Paramètres!$D$30:$E$32,2,FALSE)</f>
        <v>0.5</v>
      </c>
      <c r="R19" s="196">
        <f t="shared" si="4"/>
        <v>0.125</v>
      </c>
      <c r="S19" s="197">
        <f t="shared" si="5"/>
        <v>0.5</v>
      </c>
      <c r="T19" s="197">
        <f>J19*Paramètres!$E$33+K19*Paramètres!$E$34+L19*Paramètres!$E$35</f>
        <v>0</v>
      </c>
      <c r="U19" s="197">
        <f>IF(TYPE_APPLI=Paramètres!$O$3,I19*Paramètres!$E$36+TFC!J19*Paramètres!$E$37+K19*Paramètres!$E$38+L19*Paramètres!$E$39,TFC!I19*Paramètres!$E$40+J19*Paramètres!$E$41+K19*Paramètres!$E$42+L19*Paramètres!$E$43)</f>
        <v>0</v>
      </c>
      <c r="V19" s="240">
        <f>N19*Paramètres!$E$44</f>
        <v>0.125</v>
      </c>
      <c r="W19" s="197">
        <f>M19*Paramètres!$E$45/2+N19*Paramètres!$E$45</f>
        <v>0.1875</v>
      </c>
      <c r="X19" s="196">
        <f t="shared" si="6"/>
        <v>0.8125</v>
      </c>
      <c r="Y19" s="134">
        <f t="shared" si="7"/>
        <v>0.9375</v>
      </c>
    </row>
    <row r="20" spans="1:25" s="29" customFormat="1" ht="44.25" customHeight="1" x14ac:dyDescent="0.25">
      <c r="A20" s="28"/>
      <c r="B20" s="293"/>
      <c r="C20" s="355"/>
      <c r="D20" s="366"/>
      <c r="E20" s="183" t="s">
        <v>193</v>
      </c>
      <c r="F20" s="184"/>
      <c r="G20" s="232" t="s">
        <v>96</v>
      </c>
      <c r="H20" s="235" t="s">
        <v>45</v>
      </c>
      <c r="I20" s="107">
        <v>0</v>
      </c>
      <c r="J20" s="107">
        <v>0</v>
      </c>
      <c r="K20" s="107">
        <v>0</v>
      </c>
      <c r="L20" s="107">
        <v>0</v>
      </c>
      <c r="M20" s="109">
        <v>1</v>
      </c>
      <c r="N20" s="109">
        <v>1</v>
      </c>
      <c r="O20" s="238"/>
      <c r="P20" s="241">
        <f>VLOOKUP(H20,Paramètres!$D$27:$E$29,2,FALSE)</f>
        <v>0.125</v>
      </c>
      <c r="Q20" s="94">
        <f>VLOOKUP(H20,Paramètres!$D$30:$E$32,2,FALSE)</f>
        <v>0.5</v>
      </c>
      <c r="R20" s="126">
        <f t="shared" si="4"/>
        <v>0.125</v>
      </c>
      <c r="S20" s="96">
        <f t="shared" si="5"/>
        <v>0.5</v>
      </c>
      <c r="T20" s="96">
        <f>J20*Paramètres!$E$33+K20*Paramètres!$E$34+L20*Paramètres!$E$35</f>
        <v>0</v>
      </c>
      <c r="U20" s="96">
        <f>IF(TYPE_APPLI=Paramètres!$O$3,I20*Paramètres!$E$36+TFC!J20*Paramètres!$E$37+K20*Paramètres!$E$38+L20*Paramètres!$E$39,TFC!I20*Paramètres!$E$40+J20*Paramètres!$E$41+K20*Paramètres!$E$42+L20*Paramètres!$E$43)</f>
        <v>0</v>
      </c>
      <c r="V20" s="230">
        <f>N20*Paramètres!$E$44</f>
        <v>0.125</v>
      </c>
      <c r="W20" s="96">
        <f>M20*Paramètres!$E$45/2+N20*Paramètres!$E$45</f>
        <v>0.1875</v>
      </c>
      <c r="X20" s="126">
        <f t="shared" si="6"/>
        <v>0.8125</v>
      </c>
      <c r="Y20" s="134">
        <f t="shared" si="7"/>
        <v>0.9375</v>
      </c>
    </row>
    <row r="21" spans="1:25" s="29" customFormat="1" ht="56.25" customHeight="1" x14ac:dyDescent="0.25">
      <c r="A21" s="28"/>
      <c r="B21" s="293"/>
      <c r="C21" s="355"/>
      <c r="D21" s="366"/>
      <c r="E21" s="183" t="s">
        <v>194</v>
      </c>
      <c r="F21" s="184"/>
      <c r="G21" s="232" t="s">
        <v>96</v>
      </c>
      <c r="H21" s="235" t="s">
        <v>45</v>
      </c>
      <c r="I21" s="107">
        <v>0</v>
      </c>
      <c r="J21" s="107">
        <v>0</v>
      </c>
      <c r="K21" s="107">
        <v>0</v>
      </c>
      <c r="L21" s="107">
        <v>0</v>
      </c>
      <c r="M21" s="109">
        <v>1</v>
      </c>
      <c r="N21" s="109">
        <v>1</v>
      </c>
      <c r="O21" s="238"/>
      <c r="P21" s="241">
        <f>VLOOKUP(H21,Paramètres!$D$27:$E$29,2,FALSE)</f>
        <v>0.125</v>
      </c>
      <c r="Q21" s="94">
        <f>VLOOKUP(H21,Paramètres!$D$30:$E$32,2,FALSE)</f>
        <v>0.5</v>
      </c>
      <c r="R21" s="126">
        <f t="shared" si="4"/>
        <v>0.125</v>
      </c>
      <c r="S21" s="96">
        <f t="shared" si="5"/>
        <v>0.5</v>
      </c>
      <c r="T21" s="96">
        <f>J21*Paramètres!$E$33+K21*Paramètres!$E$34+L21*Paramètres!$E$35</f>
        <v>0</v>
      </c>
      <c r="U21" s="96">
        <f>IF(TYPE_APPLI=Paramètres!$O$3,I21*Paramètres!$E$36+TFC!J21*Paramètres!$E$37+K21*Paramètres!$E$38+L21*Paramètres!$E$39,TFC!I21*Paramètres!$E$40+J21*Paramètres!$E$41+K21*Paramètres!$E$42+L21*Paramètres!$E$43)</f>
        <v>0</v>
      </c>
      <c r="V21" s="230">
        <f>N21*Paramètres!$E$44</f>
        <v>0.125</v>
      </c>
      <c r="W21" s="96">
        <f>M21*Paramètres!$E$45/2+N21*Paramètres!$E$45</f>
        <v>0.1875</v>
      </c>
      <c r="X21" s="126">
        <f t="shared" si="6"/>
        <v>0.8125</v>
      </c>
      <c r="Y21" s="134">
        <f t="shared" si="7"/>
        <v>0.9375</v>
      </c>
    </row>
    <row r="22" spans="1:25" s="29" customFormat="1" ht="44.25" customHeight="1" x14ac:dyDescent="0.25">
      <c r="A22" s="28"/>
      <c r="B22" s="293"/>
      <c r="C22" s="355"/>
      <c r="D22" s="367"/>
      <c r="E22" s="183" t="s">
        <v>195</v>
      </c>
      <c r="F22" s="184"/>
      <c r="G22" s="232" t="s">
        <v>96</v>
      </c>
      <c r="H22" s="235" t="s">
        <v>45</v>
      </c>
      <c r="I22" s="107">
        <v>0</v>
      </c>
      <c r="J22" s="107">
        <v>0</v>
      </c>
      <c r="K22" s="107">
        <v>0</v>
      </c>
      <c r="L22" s="107">
        <v>0</v>
      </c>
      <c r="M22" s="109">
        <v>1</v>
      </c>
      <c r="N22" s="109">
        <v>1</v>
      </c>
      <c r="O22" s="238"/>
      <c r="P22" s="241">
        <f>VLOOKUP(H22,Paramètres!$D$27:$E$29,2,FALSE)</f>
        <v>0.125</v>
      </c>
      <c r="Q22" s="94">
        <f>VLOOKUP(H22,Paramètres!$D$30:$E$32,2,FALSE)</f>
        <v>0.5</v>
      </c>
      <c r="R22" s="126">
        <f t="shared" si="4"/>
        <v>0.125</v>
      </c>
      <c r="S22" s="96">
        <f t="shared" si="5"/>
        <v>0.5</v>
      </c>
      <c r="T22" s="96">
        <f>J22*Paramètres!$E$33+K22*Paramètres!$E$34+L22*Paramètres!$E$35</f>
        <v>0</v>
      </c>
      <c r="U22" s="96">
        <f>IF(TYPE_APPLI=Paramètres!$O$3,I22*Paramètres!$E$36+TFC!J22*Paramètres!$E$37+K22*Paramètres!$E$38+L22*Paramètres!$E$39,TFC!I22*Paramètres!$E$40+J22*Paramètres!$E$41+K22*Paramètres!$E$42+L22*Paramètres!$E$43)</f>
        <v>0</v>
      </c>
      <c r="V22" s="230">
        <f>N22*Paramètres!$E$44</f>
        <v>0.125</v>
      </c>
      <c r="W22" s="96">
        <f>M22*Paramètres!$E$45/2+N22*Paramètres!$E$45</f>
        <v>0.1875</v>
      </c>
      <c r="X22" s="126">
        <f t="shared" si="6"/>
        <v>0.8125</v>
      </c>
      <c r="Y22" s="134">
        <f t="shared" si="7"/>
        <v>0.9375</v>
      </c>
    </row>
    <row r="23" spans="1:25" s="29" customFormat="1" ht="44.25" customHeight="1" x14ac:dyDescent="0.25">
      <c r="A23" s="28"/>
      <c r="B23" s="293"/>
      <c r="C23" s="355"/>
      <c r="D23" s="365" t="s">
        <v>180</v>
      </c>
      <c r="E23" s="183" t="s">
        <v>196</v>
      </c>
      <c r="F23" s="184"/>
      <c r="G23" s="232" t="s">
        <v>96</v>
      </c>
      <c r="H23" s="235" t="s">
        <v>45</v>
      </c>
      <c r="I23" s="107">
        <v>0</v>
      </c>
      <c r="J23" s="107">
        <v>0</v>
      </c>
      <c r="K23" s="107">
        <v>0</v>
      </c>
      <c r="L23" s="107">
        <v>0</v>
      </c>
      <c r="M23" s="109">
        <v>1</v>
      </c>
      <c r="N23" s="109">
        <v>1</v>
      </c>
      <c r="O23" s="238"/>
      <c r="P23" s="241">
        <f>VLOOKUP(H23,Paramètres!$D$27:$E$29,2,FALSE)</f>
        <v>0.125</v>
      </c>
      <c r="Q23" s="94">
        <f>VLOOKUP(H23,Paramètres!$D$30:$E$32,2,FALSE)</f>
        <v>0.5</v>
      </c>
      <c r="R23" s="126">
        <f t="shared" si="4"/>
        <v>0.125</v>
      </c>
      <c r="S23" s="96">
        <f t="shared" si="5"/>
        <v>0.5</v>
      </c>
      <c r="T23" s="96">
        <f>J23*Paramètres!$E$33+K23*Paramètres!$E$34+L23*Paramètres!$E$35</f>
        <v>0</v>
      </c>
      <c r="U23" s="96">
        <f>IF(TYPE_APPLI=Paramètres!$O$3,I23*Paramètres!$E$36+TFC!J23*Paramètres!$E$37+K23*Paramètres!$E$38+L23*Paramètres!$E$39,TFC!I23*Paramètres!$E$40+J23*Paramètres!$E$41+K23*Paramètres!$E$42+L23*Paramètres!$E$43)</f>
        <v>0</v>
      </c>
      <c r="V23" s="230">
        <f>N23*Paramètres!$E$44</f>
        <v>0.125</v>
      </c>
      <c r="W23" s="96">
        <f>M23*Paramètres!$E$45/2+N23*Paramètres!$E$45</f>
        <v>0.1875</v>
      </c>
      <c r="X23" s="126">
        <f t="shared" si="6"/>
        <v>0.8125</v>
      </c>
      <c r="Y23" s="134">
        <f t="shared" si="7"/>
        <v>0.9375</v>
      </c>
    </row>
    <row r="24" spans="1:25" s="29" customFormat="1" ht="51" customHeight="1" x14ac:dyDescent="0.25">
      <c r="A24" s="28"/>
      <c r="B24" s="293"/>
      <c r="C24" s="355"/>
      <c r="D24" s="366"/>
      <c r="E24" s="183" t="s">
        <v>197</v>
      </c>
      <c r="F24" s="184"/>
      <c r="G24" s="232" t="s">
        <v>96</v>
      </c>
      <c r="H24" s="235" t="s">
        <v>45</v>
      </c>
      <c r="I24" s="107">
        <v>0</v>
      </c>
      <c r="J24" s="107">
        <v>0</v>
      </c>
      <c r="K24" s="107">
        <v>0</v>
      </c>
      <c r="L24" s="107">
        <v>0</v>
      </c>
      <c r="M24" s="109">
        <v>1</v>
      </c>
      <c r="N24" s="109">
        <v>1</v>
      </c>
      <c r="O24" s="238"/>
      <c r="P24" s="241">
        <f>VLOOKUP(H24,Paramètres!$D$27:$E$29,2,FALSE)</f>
        <v>0.125</v>
      </c>
      <c r="Q24" s="94">
        <f>VLOOKUP(H24,Paramètres!$D$30:$E$32,2,FALSE)</f>
        <v>0.5</v>
      </c>
      <c r="R24" s="126">
        <f t="shared" si="4"/>
        <v>0.125</v>
      </c>
      <c r="S24" s="96">
        <f t="shared" si="5"/>
        <v>0.5</v>
      </c>
      <c r="T24" s="96">
        <f>J24*Paramètres!$E$33+K24*Paramètres!$E$34+L24*Paramètres!$E$35</f>
        <v>0</v>
      </c>
      <c r="U24" s="96">
        <f>IF(TYPE_APPLI=Paramètres!$O$3,I24*Paramètres!$E$36+TFC!J24*Paramètres!$E$37+K24*Paramètres!$E$38+L24*Paramètres!$E$39,TFC!I24*Paramètres!$E$40+J24*Paramètres!$E$41+K24*Paramètres!$E$42+L24*Paramètres!$E$43)</f>
        <v>0</v>
      </c>
      <c r="V24" s="230">
        <f>N24*Paramètres!$E$44</f>
        <v>0.125</v>
      </c>
      <c r="W24" s="96">
        <f>M24*Paramètres!$E$45/2+N24*Paramètres!$E$45</f>
        <v>0.1875</v>
      </c>
      <c r="X24" s="126">
        <f t="shared" si="6"/>
        <v>0.8125</v>
      </c>
      <c r="Y24" s="134">
        <f t="shared" si="7"/>
        <v>0.9375</v>
      </c>
    </row>
    <row r="25" spans="1:25" s="29" customFormat="1" ht="44.25" customHeight="1" x14ac:dyDescent="0.25">
      <c r="A25" s="28"/>
      <c r="B25" s="293"/>
      <c r="C25" s="355"/>
      <c r="D25" s="366"/>
      <c r="E25" s="183" t="s">
        <v>198</v>
      </c>
      <c r="F25" s="184"/>
      <c r="G25" s="232" t="s">
        <v>96</v>
      </c>
      <c r="H25" s="235" t="s">
        <v>45</v>
      </c>
      <c r="I25" s="107">
        <v>0</v>
      </c>
      <c r="J25" s="107">
        <v>0</v>
      </c>
      <c r="K25" s="107">
        <v>0</v>
      </c>
      <c r="L25" s="107">
        <v>0</v>
      </c>
      <c r="M25" s="109">
        <v>1</v>
      </c>
      <c r="N25" s="109">
        <v>1</v>
      </c>
      <c r="O25" s="238"/>
      <c r="P25" s="241">
        <f>VLOOKUP(H25,Paramètres!$D$27:$E$29,2,FALSE)</f>
        <v>0.125</v>
      </c>
      <c r="Q25" s="94">
        <f>VLOOKUP(H25,Paramètres!$D$30:$E$32,2,FALSE)</f>
        <v>0.5</v>
      </c>
      <c r="R25" s="126">
        <f t="shared" si="4"/>
        <v>0.125</v>
      </c>
      <c r="S25" s="96">
        <f t="shared" si="5"/>
        <v>0.5</v>
      </c>
      <c r="T25" s="96">
        <f>J25*Paramètres!$E$33+K25*Paramètres!$E$34+L25*Paramètres!$E$35</f>
        <v>0</v>
      </c>
      <c r="U25" s="96">
        <f>IF(TYPE_APPLI=Paramètres!$O$3,I25*Paramètres!$E$36+TFC!J25*Paramètres!$E$37+K25*Paramètres!$E$38+L25*Paramètres!$E$39,TFC!I25*Paramètres!$E$40+J25*Paramètres!$E$41+K25*Paramètres!$E$42+L25*Paramètres!$E$43)</f>
        <v>0</v>
      </c>
      <c r="V25" s="230">
        <f>N25*Paramètres!$E$44</f>
        <v>0.125</v>
      </c>
      <c r="W25" s="96">
        <f>M25*Paramètres!$E$45/2+N25*Paramètres!$E$45</f>
        <v>0.1875</v>
      </c>
      <c r="X25" s="126">
        <f t="shared" si="6"/>
        <v>0.8125</v>
      </c>
      <c r="Y25" s="134">
        <f t="shared" si="7"/>
        <v>0.9375</v>
      </c>
    </row>
    <row r="26" spans="1:25" s="29" customFormat="1" ht="44.25" customHeight="1" x14ac:dyDescent="0.25">
      <c r="A26" s="28"/>
      <c r="B26" s="293"/>
      <c r="C26" s="355"/>
      <c r="D26" s="367"/>
      <c r="E26" s="183" t="s">
        <v>199</v>
      </c>
      <c r="F26" s="184"/>
      <c r="G26" s="232" t="s">
        <v>96</v>
      </c>
      <c r="H26" s="235" t="s">
        <v>45</v>
      </c>
      <c r="I26" s="107">
        <v>0</v>
      </c>
      <c r="J26" s="107">
        <v>0</v>
      </c>
      <c r="K26" s="107">
        <v>0</v>
      </c>
      <c r="L26" s="107">
        <v>0</v>
      </c>
      <c r="M26" s="109">
        <v>1</v>
      </c>
      <c r="N26" s="109">
        <v>1</v>
      </c>
      <c r="O26" s="238"/>
      <c r="P26" s="241">
        <f>VLOOKUP(H26,Paramètres!$D$27:$E$29,2,FALSE)</f>
        <v>0.125</v>
      </c>
      <c r="Q26" s="94">
        <f>VLOOKUP(H26,Paramètres!$D$30:$E$32,2,FALSE)</f>
        <v>0.5</v>
      </c>
      <c r="R26" s="126">
        <f t="shared" si="4"/>
        <v>0.125</v>
      </c>
      <c r="S26" s="96">
        <f t="shared" si="5"/>
        <v>0.5</v>
      </c>
      <c r="T26" s="96">
        <f>J26*Paramètres!$E$33+K26*Paramètres!$E$34+L26*Paramètres!$E$35</f>
        <v>0</v>
      </c>
      <c r="U26" s="96">
        <f>IF(TYPE_APPLI=Paramètres!$O$3,I26*Paramètres!$E$36+TFC!J26*Paramètres!$E$37+K26*Paramètres!$E$38+L26*Paramètres!$E$39,TFC!I26*Paramètres!$E$40+J26*Paramètres!$E$41+K26*Paramètres!$E$42+L26*Paramètres!$E$43)</f>
        <v>0</v>
      </c>
      <c r="V26" s="230">
        <f>N26*Paramètres!$E$44</f>
        <v>0.125</v>
      </c>
      <c r="W26" s="96">
        <f>M26*Paramètres!$E$45/2+N26*Paramètres!$E$45</f>
        <v>0.1875</v>
      </c>
      <c r="X26" s="126">
        <f t="shared" si="6"/>
        <v>0.8125</v>
      </c>
      <c r="Y26" s="134">
        <f t="shared" si="7"/>
        <v>0.9375</v>
      </c>
    </row>
    <row r="27" spans="1:25" s="29" customFormat="1" ht="44.25" customHeight="1" x14ac:dyDescent="0.25">
      <c r="A27" s="28"/>
      <c r="B27" s="293"/>
      <c r="C27" s="355"/>
      <c r="D27" s="368" t="s">
        <v>182</v>
      </c>
      <c r="E27" s="183"/>
      <c r="F27" s="184"/>
      <c r="G27" s="232" t="s">
        <v>96</v>
      </c>
      <c r="H27" s="235" t="s">
        <v>45</v>
      </c>
      <c r="I27" s="107">
        <v>0</v>
      </c>
      <c r="J27" s="107">
        <v>0</v>
      </c>
      <c r="K27" s="107">
        <v>0</v>
      </c>
      <c r="L27" s="107">
        <v>0</v>
      </c>
      <c r="M27" s="109">
        <v>1</v>
      </c>
      <c r="N27" s="109">
        <v>1</v>
      </c>
      <c r="O27" s="238"/>
      <c r="P27" s="241">
        <f>VLOOKUP(H27,Paramètres!$D$27:$E$29,2,FALSE)</f>
        <v>0.125</v>
      </c>
      <c r="Q27" s="94">
        <f>VLOOKUP(H27,Paramètres!$D$30:$E$32,2,FALSE)</f>
        <v>0.5</v>
      </c>
      <c r="R27" s="126">
        <f t="shared" si="4"/>
        <v>0.125</v>
      </c>
      <c r="S27" s="96">
        <f t="shared" si="5"/>
        <v>0.5</v>
      </c>
      <c r="T27" s="96">
        <f>J27*Paramètres!$E$33+K27*Paramètres!$E$34+L27*Paramètres!$E$35</f>
        <v>0</v>
      </c>
      <c r="U27" s="96">
        <f>IF(TYPE_APPLI=Paramètres!$O$3,I27*Paramètres!$E$36+TFC!J27*Paramètres!$E$37+K27*Paramètres!$E$38+L27*Paramètres!$E$39,TFC!I27*Paramètres!$E$40+J27*Paramètres!$E$41+K27*Paramètres!$E$42+L27*Paramètres!$E$43)</f>
        <v>0</v>
      </c>
      <c r="V27" s="230">
        <f>N27*Paramètres!$E$44</f>
        <v>0.125</v>
      </c>
      <c r="W27" s="96">
        <f>M27*Paramètres!$E$45/2+N27*Paramètres!$E$45</f>
        <v>0.1875</v>
      </c>
      <c r="X27" s="126">
        <f t="shared" si="6"/>
        <v>0.8125</v>
      </c>
      <c r="Y27" s="134">
        <f t="shared" si="7"/>
        <v>0.9375</v>
      </c>
    </row>
    <row r="28" spans="1:25" s="29" customFormat="1" ht="44.25" customHeight="1" x14ac:dyDescent="0.25">
      <c r="A28" s="28"/>
      <c r="B28" s="293"/>
      <c r="C28" s="355"/>
      <c r="D28" s="365" t="s">
        <v>183</v>
      </c>
      <c r="E28" s="183" t="s">
        <v>200</v>
      </c>
      <c r="F28" s="184"/>
      <c r="G28" s="232" t="s">
        <v>96</v>
      </c>
      <c r="H28" s="235" t="s">
        <v>45</v>
      </c>
      <c r="I28" s="107">
        <v>0</v>
      </c>
      <c r="J28" s="107">
        <v>0</v>
      </c>
      <c r="K28" s="107">
        <v>0</v>
      </c>
      <c r="L28" s="107">
        <v>0</v>
      </c>
      <c r="M28" s="109">
        <v>1</v>
      </c>
      <c r="N28" s="109">
        <v>1</v>
      </c>
      <c r="O28" s="238"/>
      <c r="P28" s="241">
        <f>VLOOKUP(H28,Paramètres!$D$27:$E$29,2,FALSE)</f>
        <v>0.125</v>
      </c>
      <c r="Q28" s="94">
        <f>VLOOKUP(H28,Paramètres!$D$30:$E$32,2,FALSE)</f>
        <v>0.5</v>
      </c>
      <c r="R28" s="126">
        <f t="shared" si="4"/>
        <v>0.125</v>
      </c>
      <c r="S28" s="96">
        <f t="shared" si="5"/>
        <v>0.5</v>
      </c>
      <c r="T28" s="96">
        <f>J28*Paramètres!$E$33+K28*Paramètres!$E$34+L28*Paramètres!$E$35</f>
        <v>0</v>
      </c>
      <c r="U28" s="96">
        <f>IF(TYPE_APPLI=Paramètres!$O$3,I28*Paramètres!$E$36+TFC!J28*Paramètres!$E$37+K28*Paramètres!$E$38+L28*Paramètres!$E$39,TFC!I28*Paramètres!$E$40+J28*Paramètres!$E$41+K28*Paramètres!$E$42+L28*Paramètres!$E$43)</f>
        <v>0</v>
      </c>
      <c r="V28" s="230">
        <f>N28*Paramètres!$E$44</f>
        <v>0.125</v>
      </c>
      <c r="W28" s="96">
        <f>M28*Paramètres!$E$45/2+N28*Paramètres!$E$45</f>
        <v>0.1875</v>
      </c>
      <c r="X28" s="126">
        <f t="shared" si="6"/>
        <v>0.8125</v>
      </c>
      <c r="Y28" s="134">
        <f t="shared" si="7"/>
        <v>0.9375</v>
      </c>
    </row>
    <row r="29" spans="1:25" s="29" customFormat="1" ht="44.25" customHeight="1" x14ac:dyDescent="0.25">
      <c r="A29" s="28"/>
      <c r="B29" s="293"/>
      <c r="C29" s="355"/>
      <c r="D29" s="366"/>
      <c r="E29" s="183" t="s">
        <v>201</v>
      </c>
      <c r="F29" s="184"/>
      <c r="G29" s="232" t="s">
        <v>96</v>
      </c>
      <c r="H29" s="235" t="s">
        <v>45</v>
      </c>
      <c r="I29" s="107">
        <v>0</v>
      </c>
      <c r="J29" s="107">
        <v>0</v>
      </c>
      <c r="K29" s="107">
        <v>0</v>
      </c>
      <c r="L29" s="107">
        <v>0</v>
      </c>
      <c r="M29" s="109">
        <v>1</v>
      </c>
      <c r="N29" s="109">
        <v>1</v>
      </c>
      <c r="O29" s="238"/>
      <c r="P29" s="241">
        <f>VLOOKUP(H29,Paramètres!$D$27:$E$29,2,FALSE)</f>
        <v>0.125</v>
      </c>
      <c r="Q29" s="94">
        <f>VLOOKUP(H29,Paramètres!$D$30:$E$32,2,FALSE)</f>
        <v>0.5</v>
      </c>
      <c r="R29" s="126">
        <f t="shared" si="4"/>
        <v>0.125</v>
      </c>
      <c r="S29" s="96">
        <f t="shared" si="5"/>
        <v>0.5</v>
      </c>
      <c r="T29" s="96">
        <f>J29*Paramètres!$E$33+K29*Paramètres!$E$34+L29*Paramètres!$E$35</f>
        <v>0</v>
      </c>
      <c r="U29" s="96">
        <f>IF(TYPE_APPLI=Paramètres!$O$3,I29*Paramètres!$E$36+TFC!J29*Paramètres!$E$37+K29*Paramètres!$E$38+L29*Paramètres!$E$39,TFC!I29*Paramètres!$E$40+J29*Paramètres!$E$41+K29*Paramètres!$E$42+L29*Paramètres!$E$43)</f>
        <v>0</v>
      </c>
      <c r="V29" s="230">
        <f>N29*Paramètres!$E$44</f>
        <v>0.125</v>
      </c>
      <c r="W29" s="96">
        <f>M29*Paramètres!$E$45/2+N29*Paramètres!$E$45</f>
        <v>0.1875</v>
      </c>
      <c r="X29" s="126">
        <f t="shared" si="6"/>
        <v>0.8125</v>
      </c>
      <c r="Y29" s="134">
        <f t="shared" si="7"/>
        <v>0.9375</v>
      </c>
    </row>
    <row r="30" spans="1:25" s="29" customFormat="1" ht="31.5" x14ac:dyDescent="0.25">
      <c r="A30" s="28"/>
      <c r="B30" s="293"/>
      <c r="C30" s="355"/>
      <c r="D30" s="366"/>
      <c r="E30" s="183" t="s">
        <v>202</v>
      </c>
      <c r="F30" s="184"/>
      <c r="G30" s="232" t="s">
        <v>96</v>
      </c>
      <c r="H30" s="235" t="s">
        <v>45</v>
      </c>
      <c r="I30" s="107">
        <v>0</v>
      </c>
      <c r="J30" s="107">
        <v>0</v>
      </c>
      <c r="K30" s="107">
        <v>0</v>
      </c>
      <c r="L30" s="107">
        <v>0</v>
      </c>
      <c r="M30" s="109">
        <v>1</v>
      </c>
      <c r="N30" s="109">
        <v>1</v>
      </c>
      <c r="O30" s="238"/>
      <c r="P30" s="241">
        <f>VLOOKUP(H30,Paramètres!$D$27:$E$29,2,FALSE)</f>
        <v>0.125</v>
      </c>
      <c r="Q30" s="94">
        <f>VLOOKUP(H30,Paramètres!$D$30:$E$32,2,FALSE)</f>
        <v>0.5</v>
      </c>
      <c r="R30" s="126">
        <f t="shared" si="4"/>
        <v>0.125</v>
      </c>
      <c r="S30" s="96">
        <f t="shared" si="5"/>
        <v>0.5</v>
      </c>
      <c r="T30" s="96">
        <f>J30*Paramètres!$E$33+K30*Paramètres!$E$34+L30*Paramètres!$E$35</f>
        <v>0</v>
      </c>
      <c r="U30" s="96">
        <f>IF(TYPE_APPLI=Paramètres!$O$3,I30*Paramètres!$E$36+TFC!J30*Paramètres!$E$37+K30*Paramètres!$E$38+L30*Paramètres!$E$39,TFC!I30*Paramètres!$E$40+J30*Paramètres!$E$41+K30*Paramètres!$E$42+L30*Paramètres!$E$43)</f>
        <v>0</v>
      </c>
      <c r="V30" s="230">
        <f>N30*Paramètres!$E$44</f>
        <v>0.125</v>
      </c>
      <c r="W30" s="96">
        <f>M30*Paramètres!$E$45/2+N30*Paramètres!$E$45</f>
        <v>0.1875</v>
      </c>
      <c r="X30" s="126">
        <f t="shared" si="6"/>
        <v>0.8125</v>
      </c>
      <c r="Y30" s="134">
        <f t="shared" si="7"/>
        <v>0.9375</v>
      </c>
    </row>
    <row r="31" spans="1:25" s="29" customFormat="1" ht="44.25" customHeight="1" x14ac:dyDescent="0.25">
      <c r="A31" s="28"/>
      <c r="B31" s="293"/>
      <c r="C31" s="355"/>
      <c r="D31" s="367"/>
      <c r="E31" s="183" t="s">
        <v>203</v>
      </c>
      <c r="F31" s="184"/>
      <c r="G31" s="232" t="s">
        <v>96</v>
      </c>
      <c r="H31" s="235" t="s">
        <v>45</v>
      </c>
      <c r="I31" s="107">
        <v>0</v>
      </c>
      <c r="J31" s="107">
        <v>0</v>
      </c>
      <c r="K31" s="107">
        <v>0</v>
      </c>
      <c r="L31" s="107">
        <v>0</v>
      </c>
      <c r="M31" s="109">
        <v>1</v>
      </c>
      <c r="N31" s="109">
        <v>1</v>
      </c>
      <c r="O31" s="238"/>
      <c r="P31" s="241">
        <f>VLOOKUP(H31,Paramètres!$D$27:$E$29,2,FALSE)</f>
        <v>0.125</v>
      </c>
      <c r="Q31" s="94">
        <f>VLOOKUP(H31,Paramètres!$D$30:$E$32,2,FALSE)</f>
        <v>0.5</v>
      </c>
      <c r="R31" s="126">
        <f t="shared" si="4"/>
        <v>0.125</v>
      </c>
      <c r="S31" s="96">
        <f t="shared" si="5"/>
        <v>0.5</v>
      </c>
      <c r="T31" s="96">
        <f>J31*Paramètres!$E$33+K31*Paramètres!$E$34+L31*Paramètres!$E$35</f>
        <v>0</v>
      </c>
      <c r="U31" s="96">
        <f>IF(TYPE_APPLI=Paramètres!$O$3,I31*Paramètres!$E$36+TFC!J31*Paramètres!$E$37+K31*Paramètres!$E$38+L31*Paramètres!$E$39,TFC!I31*Paramètres!$E$40+J31*Paramètres!$E$41+K31*Paramètres!$E$42+L31*Paramètres!$E$43)</f>
        <v>0</v>
      </c>
      <c r="V31" s="230">
        <f>N31*Paramètres!$E$44</f>
        <v>0.125</v>
      </c>
      <c r="W31" s="96">
        <f>M31*Paramètres!$E$45/2+N31*Paramètres!$E$45</f>
        <v>0.1875</v>
      </c>
      <c r="X31" s="126">
        <f t="shared" si="6"/>
        <v>0.8125</v>
      </c>
      <c r="Y31" s="134">
        <f t="shared" si="7"/>
        <v>0.9375</v>
      </c>
    </row>
    <row r="32" spans="1:25" s="29" customFormat="1" ht="44.25" customHeight="1" x14ac:dyDescent="0.25">
      <c r="A32" s="28"/>
      <c r="B32" s="293"/>
      <c r="C32" s="355"/>
      <c r="D32" s="365" t="s">
        <v>181</v>
      </c>
      <c r="E32" s="183" t="s">
        <v>204</v>
      </c>
      <c r="F32" s="184"/>
      <c r="G32" s="232" t="s">
        <v>96</v>
      </c>
      <c r="H32" s="235" t="s">
        <v>45</v>
      </c>
      <c r="I32" s="107">
        <v>0</v>
      </c>
      <c r="J32" s="107">
        <v>0</v>
      </c>
      <c r="K32" s="107">
        <v>0</v>
      </c>
      <c r="L32" s="107">
        <v>0</v>
      </c>
      <c r="M32" s="109">
        <v>1</v>
      </c>
      <c r="N32" s="109">
        <v>1</v>
      </c>
      <c r="O32" s="238"/>
      <c r="P32" s="241">
        <f>VLOOKUP(H32,Paramètres!$D$27:$E$29,2,FALSE)</f>
        <v>0.125</v>
      </c>
      <c r="Q32" s="94">
        <f>VLOOKUP(H32,Paramètres!$D$30:$E$32,2,FALSE)</f>
        <v>0.5</v>
      </c>
      <c r="R32" s="126">
        <f t="shared" si="4"/>
        <v>0.125</v>
      </c>
      <c r="S32" s="96">
        <f t="shared" si="5"/>
        <v>0.5</v>
      </c>
      <c r="T32" s="96">
        <f>J32*Paramètres!$E$33+K32*Paramètres!$E$34+L32*Paramètres!$E$35</f>
        <v>0</v>
      </c>
      <c r="U32" s="96">
        <f>IF(TYPE_APPLI=Paramètres!$O$3,I32*Paramètres!$E$36+TFC!J32*Paramètres!$E$37+K32*Paramètres!$E$38+L32*Paramètres!$E$39,TFC!I32*Paramètres!$E$40+J32*Paramètres!$E$41+K32*Paramètres!$E$42+L32*Paramètres!$E$43)</f>
        <v>0</v>
      </c>
      <c r="V32" s="230">
        <f>N32*Paramètres!$E$44</f>
        <v>0.125</v>
      </c>
      <c r="W32" s="96">
        <f>M32*Paramètres!$E$45/2+N32*Paramètres!$E$45</f>
        <v>0.1875</v>
      </c>
      <c r="X32" s="126">
        <f t="shared" si="6"/>
        <v>0.8125</v>
      </c>
      <c r="Y32" s="134">
        <f t="shared" si="7"/>
        <v>0.9375</v>
      </c>
    </row>
    <row r="33" spans="1:29" s="29" customFormat="1" ht="44.25" customHeight="1" x14ac:dyDescent="0.25">
      <c r="A33" s="28"/>
      <c r="B33" s="293"/>
      <c r="C33" s="355"/>
      <c r="D33" s="366"/>
      <c r="E33" s="183" t="s">
        <v>205</v>
      </c>
      <c r="F33" s="184"/>
      <c r="G33" s="232" t="s">
        <v>96</v>
      </c>
      <c r="H33" s="235" t="s">
        <v>45</v>
      </c>
      <c r="I33" s="107">
        <v>0</v>
      </c>
      <c r="J33" s="107">
        <v>0</v>
      </c>
      <c r="K33" s="107">
        <v>0</v>
      </c>
      <c r="L33" s="107">
        <v>0</v>
      </c>
      <c r="M33" s="109">
        <v>1</v>
      </c>
      <c r="N33" s="109">
        <v>1</v>
      </c>
      <c r="O33" s="238"/>
      <c r="P33" s="241">
        <f>VLOOKUP(H33,Paramètres!$D$27:$E$29,2,FALSE)</f>
        <v>0.125</v>
      </c>
      <c r="Q33" s="94">
        <f>VLOOKUP(H33,Paramètres!$D$30:$E$32,2,FALSE)</f>
        <v>0.5</v>
      </c>
      <c r="R33" s="126">
        <f t="shared" si="4"/>
        <v>0.125</v>
      </c>
      <c r="S33" s="96">
        <f t="shared" si="5"/>
        <v>0.5</v>
      </c>
      <c r="T33" s="96">
        <f>J33*Paramètres!$E$33+K33*Paramètres!$E$34+L33*Paramètres!$E$35</f>
        <v>0</v>
      </c>
      <c r="U33" s="96">
        <f>IF(TYPE_APPLI=Paramètres!$O$3,I33*Paramètres!$E$36+TFC!J33*Paramètres!$E$37+K33*Paramètres!$E$38+L33*Paramètres!$E$39,TFC!I33*Paramètres!$E$40+J33*Paramètres!$E$41+K33*Paramètres!$E$42+L33*Paramètres!$E$43)</f>
        <v>0</v>
      </c>
      <c r="V33" s="230">
        <f>N33*Paramètres!$E$44</f>
        <v>0.125</v>
      </c>
      <c r="W33" s="96">
        <f>M33*Paramètres!$E$45/2+N33*Paramètres!$E$45</f>
        <v>0.1875</v>
      </c>
      <c r="X33" s="126">
        <f t="shared" si="6"/>
        <v>0.8125</v>
      </c>
      <c r="Y33" s="134">
        <f t="shared" si="7"/>
        <v>0.9375</v>
      </c>
    </row>
    <row r="34" spans="1:29" s="29" customFormat="1" ht="31.5" x14ac:dyDescent="0.25">
      <c r="A34" s="28"/>
      <c r="B34" s="293"/>
      <c r="C34" s="355"/>
      <c r="D34" s="366"/>
      <c r="E34" s="183" t="s">
        <v>206</v>
      </c>
      <c r="F34" s="184"/>
      <c r="G34" s="232" t="s">
        <v>96</v>
      </c>
      <c r="H34" s="235" t="s">
        <v>45</v>
      </c>
      <c r="I34" s="107">
        <v>0</v>
      </c>
      <c r="J34" s="107">
        <v>0</v>
      </c>
      <c r="K34" s="107">
        <v>0</v>
      </c>
      <c r="L34" s="107">
        <v>0</v>
      </c>
      <c r="M34" s="109">
        <v>1</v>
      </c>
      <c r="N34" s="109">
        <v>1</v>
      </c>
      <c r="O34" s="238"/>
      <c r="P34" s="241">
        <f>VLOOKUP(H34,Paramètres!$D$27:$E$29,2,FALSE)</f>
        <v>0.125</v>
      </c>
      <c r="Q34" s="94">
        <f>VLOOKUP(H34,Paramètres!$D$30:$E$32,2,FALSE)</f>
        <v>0.5</v>
      </c>
      <c r="R34" s="126">
        <f t="shared" si="4"/>
        <v>0.125</v>
      </c>
      <c r="S34" s="96">
        <f t="shared" si="5"/>
        <v>0.5</v>
      </c>
      <c r="T34" s="96">
        <f>J34*Paramètres!$E$33+K34*Paramètres!$E$34+L34*Paramètres!$E$35</f>
        <v>0</v>
      </c>
      <c r="U34" s="96">
        <f>IF(TYPE_APPLI=Paramètres!$O$3,I34*Paramètres!$E$36+TFC!J34*Paramètres!$E$37+K34*Paramètres!$E$38+L34*Paramètres!$E$39,TFC!I34*Paramètres!$E$40+J34*Paramètres!$E$41+K34*Paramètres!$E$42+L34*Paramètres!$E$43)</f>
        <v>0</v>
      </c>
      <c r="V34" s="230">
        <f>N34*Paramètres!$E$44</f>
        <v>0.125</v>
      </c>
      <c r="W34" s="96">
        <f>M34*Paramètres!$E$45/2+N34*Paramètres!$E$45</f>
        <v>0.1875</v>
      </c>
      <c r="X34" s="126">
        <f t="shared" si="6"/>
        <v>0.8125</v>
      </c>
      <c r="Y34" s="134">
        <f t="shared" si="7"/>
        <v>0.9375</v>
      </c>
    </row>
    <row r="35" spans="1:29" s="29" customFormat="1" ht="32.25" thickBot="1" x14ac:dyDescent="0.3">
      <c r="A35" s="28"/>
      <c r="B35" s="294"/>
      <c r="C35" s="355"/>
      <c r="D35" s="369"/>
      <c r="E35" s="228" t="s">
        <v>207</v>
      </c>
      <c r="F35" s="245"/>
      <c r="G35" s="234" t="s">
        <v>96</v>
      </c>
      <c r="H35" s="235" t="s">
        <v>45</v>
      </c>
      <c r="I35" s="107">
        <v>0</v>
      </c>
      <c r="J35" s="107">
        <v>0</v>
      </c>
      <c r="K35" s="107">
        <v>0</v>
      </c>
      <c r="L35" s="107">
        <v>0</v>
      </c>
      <c r="M35" s="109">
        <v>1</v>
      </c>
      <c r="N35" s="109">
        <v>1</v>
      </c>
      <c r="O35" s="238"/>
      <c r="P35" s="241">
        <f>VLOOKUP(H35,Paramètres!$D$27:$E$29,2,FALSE)</f>
        <v>0.125</v>
      </c>
      <c r="Q35" s="94">
        <f>VLOOKUP(H35,Paramètres!$D$30:$E$32,2,FALSE)</f>
        <v>0.5</v>
      </c>
      <c r="R35" s="126">
        <f t="shared" si="4"/>
        <v>0.125</v>
      </c>
      <c r="S35" s="96">
        <f t="shared" si="5"/>
        <v>0.5</v>
      </c>
      <c r="T35" s="96">
        <f>J35*Paramètres!$E$33+K35*Paramètres!$E$34+L35*Paramètres!$E$35</f>
        <v>0</v>
      </c>
      <c r="U35" s="96">
        <f>IF(TYPE_APPLI=Paramètres!$O$3,I35*Paramètres!$E$36+TFC!J35*Paramètres!$E$37+K35*Paramètres!$E$38+L35*Paramètres!$E$39,TFC!I35*Paramètres!$E$40+J35*Paramètres!$E$41+K35*Paramètres!$E$42+L35*Paramètres!$E$43)</f>
        <v>0</v>
      </c>
      <c r="V35" s="230">
        <f>N35*Paramètres!$E$44</f>
        <v>0.125</v>
      </c>
      <c r="W35" s="96">
        <f>M35*Paramètres!$E$45/2+N35*Paramètres!$E$45</f>
        <v>0.1875</v>
      </c>
      <c r="X35" s="126">
        <f t="shared" si="6"/>
        <v>0.8125</v>
      </c>
      <c r="Y35" s="134">
        <f t="shared" si="7"/>
        <v>0.9375</v>
      </c>
    </row>
    <row r="36" spans="1:29" s="29" customFormat="1" ht="69.75" customHeight="1" x14ac:dyDescent="0.25">
      <c r="A36" s="28"/>
      <c r="B36" s="297" t="s">
        <v>208</v>
      </c>
      <c r="C36" s="289" t="s">
        <v>209</v>
      </c>
      <c r="D36" s="310" t="s">
        <v>210</v>
      </c>
      <c r="E36" s="215" t="s">
        <v>216</v>
      </c>
      <c r="F36" s="216"/>
      <c r="G36" s="356" t="s">
        <v>97</v>
      </c>
      <c r="H36" s="244" t="s">
        <v>45</v>
      </c>
      <c r="I36" s="107">
        <v>0</v>
      </c>
      <c r="J36" s="107">
        <v>0</v>
      </c>
      <c r="K36" s="107">
        <v>0</v>
      </c>
      <c r="L36" s="107">
        <v>0</v>
      </c>
      <c r="M36" s="109">
        <v>1</v>
      </c>
      <c r="N36" s="109">
        <v>1</v>
      </c>
      <c r="O36" s="238"/>
      <c r="P36" s="241">
        <f>VLOOKUP(H36,Paramètres!$D$27:$E$29,2,FALSE)</f>
        <v>0.125</v>
      </c>
      <c r="Q36" s="94">
        <f>VLOOKUP(H36,Paramètres!$D$30:$E$32,2,FALSE)</f>
        <v>0.5</v>
      </c>
      <c r="R36" s="126">
        <f t="shared" si="4"/>
        <v>0.125</v>
      </c>
      <c r="S36" s="96">
        <f t="shared" si="5"/>
        <v>0.5</v>
      </c>
      <c r="T36" s="96">
        <f>J36*Paramètres!$E$33+K36*Paramètres!$E$34+L36*Paramètres!$E$35</f>
        <v>0</v>
      </c>
      <c r="U36" s="96">
        <f>IF(TYPE_APPLI=Paramètres!$O$3,I36*Paramètres!$E$36+TFC!J36*Paramètres!$E$37+K36*Paramètres!$E$38+L36*Paramètres!$E$39,TFC!I36*Paramètres!$E$40+J36*Paramètres!$E$41+K36*Paramètres!$E$42+L36*Paramètres!$E$43)</f>
        <v>0</v>
      </c>
      <c r="V36" s="230">
        <f>N36*Paramètres!$E$44</f>
        <v>0.125</v>
      </c>
      <c r="W36" s="96">
        <f>M36*Paramètres!$E$45/2+N36*Paramètres!$E$45</f>
        <v>0.1875</v>
      </c>
      <c r="X36" s="126">
        <f t="shared" si="6"/>
        <v>0.8125</v>
      </c>
      <c r="Y36" s="134">
        <f t="shared" si="7"/>
        <v>0.9375</v>
      </c>
      <c r="Z36" s="199"/>
      <c r="AA36" s="199"/>
      <c r="AB36" s="199"/>
      <c r="AC36" s="199"/>
    </row>
    <row r="37" spans="1:29" s="29" customFormat="1" ht="51" customHeight="1" x14ac:dyDescent="0.25">
      <c r="A37" s="28"/>
      <c r="B37" s="297"/>
      <c r="C37" s="289"/>
      <c r="D37" s="310"/>
      <c r="E37" s="215" t="s">
        <v>217</v>
      </c>
      <c r="F37" s="216"/>
      <c r="G37" s="356" t="s">
        <v>97</v>
      </c>
      <c r="H37" s="244" t="s">
        <v>45</v>
      </c>
      <c r="I37" s="107">
        <v>0</v>
      </c>
      <c r="J37" s="107">
        <v>0</v>
      </c>
      <c r="K37" s="107">
        <v>0</v>
      </c>
      <c r="L37" s="107">
        <v>0</v>
      </c>
      <c r="M37" s="109">
        <v>1</v>
      </c>
      <c r="N37" s="109">
        <v>1</v>
      </c>
      <c r="O37" s="238"/>
      <c r="P37" s="241">
        <f>VLOOKUP(H37,Paramètres!$D$27:$E$29,2,FALSE)</f>
        <v>0.125</v>
      </c>
      <c r="Q37" s="94">
        <f>VLOOKUP(H37,Paramètres!$D$30:$E$32,2,FALSE)</f>
        <v>0.5</v>
      </c>
      <c r="R37" s="126">
        <f t="shared" si="4"/>
        <v>0.125</v>
      </c>
      <c r="S37" s="96">
        <f t="shared" si="5"/>
        <v>0.5</v>
      </c>
      <c r="T37" s="96">
        <f>J37*Paramètres!$E$33+K37*Paramètres!$E$34+L37*Paramètres!$E$35</f>
        <v>0</v>
      </c>
      <c r="U37" s="96">
        <f>IF(TYPE_APPLI=Paramètres!$O$3,I37*Paramètres!$E$36+TFC!J37*Paramètres!$E$37+K37*Paramètres!$E$38+L37*Paramètres!$E$39,TFC!I37*Paramètres!$E$40+J37*Paramètres!$E$41+K37*Paramètres!$E$42+L37*Paramètres!$E$43)</f>
        <v>0</v>
      </c>
      <c r="V37" s="230">
        <f>N37*Paramètres!$E$44</f>
        <v>0.125</v>
      </c>
      <c r="W37" s="96">
        <f>M37*Paramètres!$E$45/2+N37*Paramètres!$E$45</f>
        <v>0.1875</v>
      </c>
      <c r="X37" s="126">
        <f t="shared" si="6"/>
        <v>0.8125</v>
      </c>
      <c r="Y37" s="134">
        <f t="shared" si="7"/>
        <v>0.9375</v>
      </c>
      <c r="Z37" s="199"/>
      <c r="AA37" s="199"/>
      <c r="AB37" s="199"/>
      <c r="AC37" s="199"/>
    </row>
    <row r="38" spans="1:29" s="29" customFormat="1" ht="69" customHeight="1" x14ac:dyDescent="0.25">
      <c r="A38" s="28"/>
      <c r="B38" s="297"/>
      <c r="C38" s="289"/>
      <c r="D38" s="310"/>
      <c r="E38" s="215" t="s">
        <v>218</v>
      </c>
      <c r="F38" s="216"/>
      <c r="G38" s="356" t="s">
        <v>97</v>
      </c>
      <c r="H38" s="244" t="s">
        <v>45</v>
      </c>
      <c r="I38" s="107">
        <v>0</v>
      </c>
      <c r="J38" s="107">
        <v>0</v>
      </c>
      <c r="K38" s="107">
        <v>0</v>
      </c>
      <c r="L38" s="107">
        <v>0</v>
      </c>
      <c r="M38" s="109">
        <v>1</v>
      </c>
      <c r="N38" s="109">
        <v>1</v>
      </c>
      <c r="O38" s="238"/>
      <c r="P38" s="241">
        <f>VLOOKUP(H38,Paramètres!$D$27:$E$29,2,FALSE)</f>
        <v>0.125</v>
      </c>
      <c r="Q38" s="94">
        <f>VLOOKUP(H38,Paramètres!$D$30:$E$32,2,FALSE)</f>
        <v>0.5</v>
      </c>
      <c r="R38" s="126">
        <f t="shared" si="4"/>
        <v>0.125</v>
      </c>
      <c r="S38" s="96">
        <f t="shared" si="5"/>
        <v>0.5</v>
      </c>
      <c r="T38" s="96">
        <f>J38*Paramètres!$E$33+K38*Paramètres!$E$34+L38*Paramètres!$E$35</f>
        <v>0</v>
      </c>
      <c r="U38" s="96">
        <f>IF(TYPE_APPLI=Paramètres!$O$3,I38*Paramètres!$E$36+TFC!J38*Paramètres!$E$37+K38*Paramètres!$E$38+L38*Paramètres!$E$39,TFC!I38*Paramètres!$E$40+J38*Paramètres!$E$41+K38*Paramètres!$E$42+L38*Paramètres!$E$43)</f>
        <v>0</v>
      </c>
      <c r="V38" s="230">
        <f>N38*Paramètres!$E$44</f>
        <v>0.125</v>
      </c>
      <c r="W38" s="96">
        <f>M38*Paramètres!$E$45/2+N38*Paramètres!$E$45</f>
        <v>0.1875</v>
      </c>
      <c r="X38" s="126">
        <f t="shared" si="6"/>
        <v>0.8125</v>
      </c>
      <c r="Y38" s="134">
        <f t="shared" si="7"/>
        <v>0.9375</v>
      </c>
      <c r="Z38" s="199"/>
      <c r="AA38" s="199"/>
      <c r="AB38" s="199"/>
      <c r="AC38" s="199"/>
    </row>
    <row r="39" spans="1:29" s="29" customFormat="1" ht="56.25" customHeight="1" x14ac:dyDescent="0.25">
      <c r="A39" s="28"/>
      <c r="B39" s="297"/>
      <c r="C39" s="289"/>
      <c r="D39" s="311"/>
      <c r="E39" s="215" t="s">
        <v>219</v>
      </c>
      <c r="F39" s="216"/>
      <c r="G39" s="356" t="s">
        <v>97</v>
      </c>
      <c r="H39" s="244" t="s">
        <v>45</v>
      </c>
      <c r="I39" s="107">
        <v>0</v>
      </c>
      <c r="J39" s="107">
        <v>0</v>
      </c>
      <c r="K39" s="107">
        <v>0</v>
      </c>
      <c r="L39" s="107">
        <v>0</v>
      </c>
      <c r="M39" s="109">
        <v>1</v>
      </c>
      <c r="N39" s="109">
        <v>1</v>
      </c>
      <c r="O39" s="238"/>
      <c r="P39" s="241">
        <f>VLOOKUP(H39,Paramètres!$D$27:$E$29,2,FALSE)</f>
        <v>0.125</v>
      </c>
      <c r="Q39" s="94">
        <f>VLOOKUP(H39,Paramètres!$D$30:$E$32,2,FALSE)</f>
        <v>0.5</v>
      </c>
      <c r="R39" s="126">
        <f t="shared" si="4"/>
        <v>0.125</v>
      </c>
      <c r="S39" s="96">
        <f t="shared" si="5"/>
        <v>0.5</v>
      </c>
      <c r="T39" s="96">
        <f>J39*Paramètres!$E$33+K39*Paramètres!$E$34+L39*Paramètres!$E$35</f>
        <v>0</v>
      </c>
      <c r="U39" s="96">
        <f>IF(TYPE_APPLI=Paramètres!$O$3,I39*Paramètres!$E$36+TFC!J39*Paramètres!$E$37+K39*Paramètres!$E$38+L39*Paramètres!$E$39,TFC!I39*Paramètres!$E$40+J39*Paramètres!$E$41+K39*Paramètres!$E$42+L39*Paramètres!$E$43)</f>
        <v>0</v>
      </c>
      <c r="V39" s="230">
        <f>N39*Paramètres!$E$44</f>
        <v>0.125</v>
      </c>
      <c r="W39" s="96">
        <f>M39*Paramètres!$E$45/2+N39*Paramètres!$E$45</f>
        <v>0.1875</v>
      </c>
      <c r="X39" s="126">
        <f t="shared" si="6"/>
        <v>0.8125</v>
      </c>
      <c r="Y39" s="134">
        <f t="shared" si="7"/>
        <v>0.9375</v>
      </c>
      <c r="Z39" s="199"/>
      <c r="AA39" s="199"/>
      <c r="AB39" s="199"/>
      <c r="AC39" s="199"/>
    </row>
    <row r="40" spans="1:29" s="29" customFormat="1" ht="68.25" customHeight="1" x14ac:dyDescent="0.25">
      <c r="A40" s="28"/>
      <c r="B40" s="297"/>
      <c r="C40" s="290"/>
      <c r="D40" s="309" t="s">
        <v>211</v>
      </c>
      <c r="E40" s="209" t="s">
        <v>220</v>
      </c>
      <c r="F40" s="210"/>
      <c r="G40" s="356" t="s">
        <v>97</v>
      </c>
      <c r="H40" s="244" t="s">
        <v>45</v>
      </c>
      <c r="I40" s="107">
        <v>0</v>
      </c>
      <c r="J40" s="107">
        <v>0</v>
      </c>
      <c r="K40" s="107">
        <v>0</v>
      </c>
      <c r="L40" s="107">
        <v>0</v>
      </c>
      <c r="M40" s="109">
        <v>1</v>
      </c>
      <c r="N40" s="109">
        <v>1</v>
      </c>
      <c r="O40" s="238"/>
      <c r="P40" s="241">
        <f>VLOOKUP(H40,Paramètres!$D$27:$E$29,2,FALSE)</f>
        <v>0.125</v>
      </c>
      <c r="Q40" s="94">
        <f>VLOOKUP(H40,Paramètres!$D$30:$E$32,2,FALSE)</f>
        <v>0.5</v>
      </c>
      <c r="R40" s="126">
        <f t="shared" si="4"/>
        <v>0.125</v>
      </c>
      <c r="S40" s="96">
        <f t="shared" si="5"/>
        <v>0.5</v>
      </c>
      <c r="T40" s="96">
        <f>J40*Paramètres!$E$33+K40*Paramètres!$E$34+L40*Paramètres!$E$35</f>
        <v>0</v>
      </c>
      <c r="U40" s="96">
        <f>IF(TYPE_APPLI=Paramètres!$O$3,I40*Paramètres!$E$36+TFC!J40*Paramètres!$E$37+K40*Paramètres!$E$38+L40*Paramètres!$E$39,TFC!I40*Paramètres!$E$40+J40*Paramètres!$E$41+K40*Paramètres!$E$42+L40*Paramètres!$E$43)</f>
        <v>0</v>
      </c>
      <c r="V40" s="230">
        <f>N40*Paramètres!$E$44</f>
        <v>0.125</v>
      </c>
      <c r="W40" s="96">
        <f>M40*Paramètres!$E$45/2+N40*Paramètres!$E$45</f>
        <v>0.1875</v>
      </c>
      <c r="X40" s="126">
        <f t="shared" si="6"/>
        <v>0.8125</v>
      </c>
      <c r="Y40" s="134">
        <f t="shared" si="7"/>
        <v>0.9375</v>
      </c>
      <c r="Z40" s="199"/>
      <c r="AA40" s="199"/>
      <c r="AB40" s="199"/>
      <c r="AC40" s="199"/>
    </row>
    <row r="41" spans="1:29" s="29" customFormat="1" ht="68.25" customHeight="1" x14ac:dyDescent="0.25">
      <c r="A41" s="28"/>
      <c r="B41" s="297"/>
      <c r="C41" s="290"/>
      <c r="D41" s="310"/>
      <c r="E41" s="216" t="s">
        <v>221</v>
      </c>
      <c r="F41" s="210"/>
      <c r="G41" s="232" t="s">
        <v>97</v>
      </c>
      <c r="H41" s="235" t="s">
        <v>45</v>
      </c>
      <c r="I41" s="107">
        <v>0</v>
      </c>
      <c r="J41" s="107">
        <v>0</v>
      </c>
      <c r="K41" s="107">
        <v>0</v>
      </c>
      <c r="L41" s="107">
        <v>0</v>
      </c>
      <c r="M41" s="109">
        <v>1</v>
      </c>
      <c r="N41" s="109">
        <v>1</v>
      </c>
      <c r="O41" s="238"/>
      <c r="P41" s="241">
        <f>VLOOKUP(H41,Paramètres!$D$27:$E$29,2,FALSE)</f>
        <v>0.125</v>
      </c>
      <c r="Q41" s="94">
        <f>VLOOKUP(H41,Paramètres!$D$30:$E$32,2,FALSE)</f>
        <v>0.5</v>
      </c>
      <c r="R41" s="126">
        <f t="shared" si="4"/>
        <v>0.125</v>
      </c>
      <c r="S41" s="96">
        <f t="shared" si="5"/>
        <v>0.5</v>
      </c>
      <c r="T41" s="96">
        <f>J41*Paramètres!$E$33+K41*Paramètres!$E$34+L41*Paramètres!$E$35</f>
        <v>0</v>
      </c>
      <c r="U41" s="96">
        <f>IF(TYPE_APPLI=Paramètres!$O$3,I41*Paramètres!$E$36+TFC!J41*Paramètres!$E$37+K41*Paramètres!$E$38+L41*Paramètres!$E$39,TFC!I41*Paramètres!$E$40+J41*Paramètres!$E$41+K41*Paramètres!$E$42+L41*Paramètres!$E$43)</f>
        <v>0</v>
      </c>
      <c r="V41" s="230">
        <f>N41*Paramètres!$E$44</f>
        <v>0.125</v>
      </c>
      <c r="W41" s="96">
        <f>M41*Paramètres!$E$45/2+N41*Paramètres!$E$45</f>
        <v>0.1875</v>
      </c>
      <c r="X41" s="126">
        <f t="shared" si="6"/>
        <v>0.8125</v>
      </c>
      <c r="Y41" s="134">
        <f t="shared" si="7"/>
        <v>0.9375</v>
      </c>
      <c r="Z41" s="199"/>
      <c r="AA41" s="199"/>
      <c r="AB41" s="199"/>
      <c r="AC41" s="199"/>
    </row>
    <row r="42" spans="1:29" s="29" customFormat="1" ht="68.25" customHeight="1" x14ac:dyDescent="0.25">
      <c r="A42" s="28"/>
      <c r="B42" s="297"/>
      <c r="C42" s="290"/>
      <c r="D42" s="310"/>
      <c r="E42" s="216" t="s">
        <v>222</v>
      </c>
      <c r="F42" s="210"/>
      <c r="G42" s="232" t="s">
        <v>97</v>
      </c>
      <c r="H42" s="235" t="s">
        <v>45</v>
      </c>
      <c r="I42" s="107">
        <v>0</v>
      </c>
      <c r="J42" s="107">
        <v>0</v>
      </c>
      <c r="K42" s="107">
        <v>0</v>
      </c>
      <c r="L42" s="107">
        <v>0</v>
      </c>
      <c r="M42" s="109">
        <v>1</v>
      </c>
      <c r="N42" s="109">
        <v>1</v>
      </c>
      <c r="O42" s="238"/>
      <c r="P42" s="241">
        <f>VLOOKUP(H42,Paramètres!$D$27:$E$29,2,FALSE)</f>
        <v>0.125</v>
      </c>
      <c r="Q42" s="94">
        <f>VLOOKUP(H42,Paramètres!$D$30:$E$32,2,FALSE)</f>
        <v>0.5</v>
      </c>
      <c r="R42" s="126">
        <f t="shared" si="4"/>
        <v>0.125</v>
      </c>
      <c r="S42" s="96">
        <f t="shared" si="5"/>
        <v>0.5</v>
      </c>
      <c r="T42" s="96">
        <f>J42*Paramètres!$E$33+K42*Paramètres!$E$34+L42*Paramètres!$E$35</f>
        <v>0</v>
      </c>
      <c r="U42" s="96">
        <f>IF(TYPE_APPLI=Paramètres!$O$3,I42*Paramètres!$E$36+TFC!J42*Paramètres!$E$37+K42*Paramètres!$E$38+L42*Paramètres!$E$39,TFC!I42*Paramètres!$E$40+J42*Paramètres!$E$41+K42*Paramètres!$E$42+L42*Paramètres!$E$43)</f>
        <v>0</v>
      </c>
      <c r="V42" s="230">
        <f>N42*Paramètres!$E$44</f>
        <v>0.125</v>
      </c>
      <c r="W42" s="96">
        <f>M42*Paramètres!$E$45/2+N42*Paramètres!$E$45</f>
        <v>0.1875</v>
      </c>
      <c r="X42" s="126">
        <f t="shared" si="6"/>
        <v>0.8125</v>
      </c>
      <c r="Y42" s="134">
        <f t="shared" si="7"/>
        <v>0.9375</v>
      </c>
      <c r="Z42" s="199"/>
      <c r="AA42" s="199"/>
      <c r="AB42" s="199"/>
      <c r="AC42" s="199"/>
    </row>
    <row r="43" spans="1:29" s="29" customFormat="1" ht="68.25" customHeight="1" x14ac:dyDescent="0.25">
      <c r="A43" s="28"/>
      <c r="B43" s="297"/>
      <c r="C43" s="290"/>
      <c r="D43" s="311"/>
      <c r="E43" s="216" t="s">
        <v>223</v>
      </c>
      <c r="F43" s="210"/>
      <c r="G43" s="232" t="s">
        <v>97</v>
      </c>
      <c r="H43" s="235" t="s">
        <v>45</v>
      </c>
      <c r="I43" s="107">
        <v>0</v>
      </c>
      <c r="J43" s="107">
        <v>0</v>
      </c>
      <c r="K43" s="107">
        <v>0</v>
      </c>
      <c r="L43" s="107">
        <v>0</v>
      </c>
      <c r="M43" s="109">
        <v>1</v>
      </c>
      <c r="N43" s="109">
        <v>1</v>
      </c>
      <c r="O43" s="238"/>
      <c r="P43" s="241">
        <f>VLOOKUP(H43,Paramètres!$D$27:$E$29,2,FALSE)</f>
        <v>0.125</v>
      </c>
      <c r="Q43" s="94">
        <f>VLOOKUP(H43,Paramètres!$D$30:$E$32,2,FALSE)</f>
        <v>0.5</v>
      </c>
      <c r="R43" s="126">
        <f t="shared" si="4"/>
        <v>0.125</v>
      </c>
      <c r="S43" s="96">
        <f t="shared" si="5"/>
        <v>0.5</v>
      </c>
      <c r="T43" s="96">
        <f>J43*Paramètres!$E$33+K43*Paramètres!$E$34+L43*Paramètres!$E$35</f>
        <v>0</v>
      </c>
      <c r="U43" s="96">
        <f>IF(TYPE_APPLI=Paramètres!$O$3,I43*Paramètres!$E$36+TFC!J43*Paramètres!$E$37+K43*Paramètres!$E$38+L43*Paramètres!$E$39,TFC!I43*Paramètres!$E$40+J43*Paramètres!$E$41+K43*Paramètres!$E$42+L43*Paramètres!$E$43)</f>
        <v>0</v>
      </c>
      <c r="V43" s="230">
        <f>N43*Paramètres!$E$44</f>
        <v>0.125</v>
      </c>
      <c r="W43" s="96">
        <f>M43*Paramètres!$E$45/2+N43*Paramètres!$E$45</f>
        <v>0.1875</v>
      </c>
      <c r="X43" s="126">
        <f t="shared" si="6"/>
        <v>0.8125</v>
      </c>
      <c r="Y43" s="134">
        <f t="shared" si="7"/>
        <v>0.9375</v>
      </c>
      <c r="Z43" s="199"/>
      <c r="AA43" s="199"/>
      <c r="AB43" s="199"/>
      <c r="AC43" s="199"/>
    </row>
    <row r="44" spans="1:29" s="29" customFormat="1" ht="68.25" customHeight="1" x14ac:dyDescent="0.25">
      <c r="A44" s="28"/>
      <c r="B44" s="297"/>
      <c r="C44" s="290"/>
      <c r="D44" s="309" t="s">
        <v>212</v>
      </c>
      <c r="E44" s="216" t="s">
        <v>224</v>
      </c>
      <c r="F44" s="210"/>
      <c r="G44" s="232" t="s">
        <v>97</v>
      </c>
      <c r="H44" s="235" t="s">
        <v>45</v>
      </c>
      <c r="I44" s="107">
        <v>0</v>
      </c>
      <c r="J44" s="107">
        <v>0</v>
      </c>
      <c r="K44" s="107">
        <v>0</v>
      </c>
      <c r="L44" s="107">
        <v>0</v>
      </c>
      <c r="M44" s="109">
        <v>1</v>
      </c>
      <c r="N44" s="109">
        <v>1</v>
      </c>
      <c r="O44" s="238"/>
      <c r="P44" s="241">
        <f>VLOOKUP(H44,Paramètres!$D$27:$E$29,2,FALSE)</f>
        <v>0.125</v>
      </c>
      <c r="Q44" s="94">
        <f>VLOOKUP(H44,Paramètres!$D$30:$E$32,2,FALSE)</f>
        <v>0.5</v>
      </c>
      <c r="R44" s="126">
        <f t="shared" si="4"/>
        <v>0.125</v>
      </c>
      <c r="S44" s="96">
        <f t="shared" si="5"/>
        <v>0.5</v>
      </c>
      <c r="T44" s="96">
        <f>J44*Paramètres!$E$33+K44*Paramètres!$E$34+L44*Paramètres!$E$35</f>
        <v>0</v>
      </c>
      <c r="U44" s="96">
        <f>IF(TYPE_APPLI=Paramètres!$O$3,I44*Paramètres!$E$36+TFC!J44*Paramètres!$E$37+K44*Paramètres!$E$38+L44*Paramètres!$E$39,TFC!I44*Paramètres!$E$40+J44*Paramètres!$E$41+K44*Paramètres!$E$42+L44*Paramètres!$E$43)</f>
        <v>0</v>
      </c>
      <c r="V44" s="230">
        <f>N44*Paramètres!$E$44</f>
        <v>0.125</v>
      </c>
      <c r="W44" s="96">
        <f>M44*Paramètres!$E$45/2+N44*Paramètres!$E$45</f>
        <v>0.1875</v>
      </c>
      <c r="X44" s="126">
        <f t="shared" si="6"/>
        <v>0.8125</v>
      </c>
      <c r="Y44" s="134">
        <f t="shared" si="7"/>
        <v>0.9375</v>
      </c>
      <c r="Z44" s="199"/>
      <c r="AA44" s="199"/>
      <c r="AB44" s="199"/>
      <c r="AC44" s="199"/>
    </row>
    <row r="45" spans="1:29" s="29" customFormat="1" ht="68.25" customHeight="1" x14ac:dyDescent="0.25">
      <c r="A45" s="28"/>
      <c r="B45" s="297"/>
      <c r="C45" s="290"/>
      <c r="D45" s="310"/>
      <c r="E45" s="216" t="s">
        <v>225</v>
      </c>
      <c r="F45" s="210"/>
      <c r="G45" s="232" t="s">
        <v>97</v>
      </c>
      <c r="H45" s="235" t="s">
        <v>45</v>
      </c>
      <c r="I45" s="107">
        <v>0</v>
      </c>
      <c r="J45" s="107">
        <v>0</v>
      </c>
      <c r="K45" s="107">
        <v>0</v>
      </c>
      <c r="L45" s="107">
        <v>0</v>
      </c>
      <c r="M45" s="109">
        <v>1</v>
      </c>
      <c r="N45" s="109">
        <v>1</v>
      </c>
      <c r="O45" s="238"/>
      <c r="P45" s="241">
        <f>VLOOKUP(H45,Paramètres!$D$27:$E$29,2,FALSE)</f>
        <v>0.125</v>
      </c>
      <c r="Q45" s="94">
        <f>VLOOKUP(H45,Paramètres!$D$30:$E$32,2,FALSE)</f>
        <v>0.5</v>
      </c>
      <c r="R45" s="126">
        <f t="shared" si="4"/>
        <v>0.125</v>
      </c>
      <c r="S45" s="96">
        <f t="shared" si="5"/>
        <v>0.5</v>
      </c>
      <c r="T45" s="96">
        <f>J45*Paramètres!$E$33+K45*Paramètres!$E$34+L45*Paramètres!$E$35</f>
        <v>0</v>
      </c>
      <c r="U45" s="96">
        <f>IF(TYPE_APPLI=Paramètres!$O$3,I45*Paramètres!$E$36+TFC!J45*Paramètres!$E$37+K45*Paramètres!$E$38+L45*Paramètres!$E$39,TFC!I45*Paramètres!$E$40+J45*Paramètres!$E$41+K45*Paramètres!$E$42+L45*Paramètres!$E$43)</f>
        <v>0</v>
      </c>
      <c r="V45" s="230">
        <f>N45*Paramètres!$E$44</f>
        <v>0.125</v>
      </c>
      <c r="W45" s="96">
        <f>M45*Paramètres!$E$45/2+N45*Paramètres!$E$45</f>
        <v>0.1875</v>
      </c>
      <c r="X45" s="126">
        <f t="shared" si="6"/>
        <v>0.8125</v>
      </c>
      <c r="Y45" s="134">
        <f t="shared" si="7"/>
        <v>0.9375</v>
      </c>
      <c r="Z45" s="199"/>
      <c r="AA45" s="199"/>
      <c r="AB45" s="199"/>
      <c r="AC45" s="199"/>
    </row>
    <row r="46" spans="1:29" s="29" customFormat="1" ht="68.25" customHeight="1" x14ac:dyDescent="0.25">
      <c r="A46" s="28"/>
      <c r="B46" s="297"/>
      <c r="C46" s="290"/>
      <c r="D46" s="310"/>
      <c r="E46" s="216" t="s">
        <v>226</v>
      </c>
      <c r="F46" s="210"/>
      <c r="G46" s="232" t="s">
        <v>97</v>
      </c>
      <c r="H46" s="235" t="s">
        <v>45</v>
      </c>
      <c r="I46" s="107">
        <v>0</v>
      </c>
      <c r="J46" s="107">
        <v>0</v>
      </c>
      <c r="K46" s="107">
        <v>0</v>
      </c>
      <c r="L46" s="107">
        <v>0</v>
      </c>
      <c r="M46" s="109">
        <v>1</v>
      </c>
      <c r="N46" s="109">
        <v>1</v>
      </c>
      <c r="O46" s="238"/>
      <c r="P46" s="241">
        <f>VLOOKUP(H46,Paramètres!$D$27:$E$29,2,FALSE)</f>
        <v>0.125</v>
      </c>
      <c r="Q46" s="94">
        <f>VLOOKUP(H46,Paramètres!$D$30:$E$32,2,FALSE)</f>
        <v>0.5</v>
      </c>
      <c r="R46" s="126">
        <f t="shared" si="4"/>
        <v>0.125</v>
      </c>
      <c r="S46" s="96">
        <f t="shared" si="5"/>
        <v>0.5</v>
      </c>
      <c r="T46" s="96">
        <f>J46*Paramètres!$E$33+K46*Paramètres!$E$34+L46*Paramètres!$E$35</f>
        <v>0</v>
      </c>
      <c r="U46" s="96">
        <f>IF(TYPE_APPLI=Paramètres!$O$3,I46*Paramètres!$E$36+TFC!J46*Paramètres!$E$37+K46*Paramètres!$E$38+L46*Paramètres!$E$39,TFC!I46*Paramètres!$E$40+J46*Paramètres!$E$41+K46*Paramètres!$E$42+L46*Paramètres!$E$43)</f>
        <v>0</v>
      </c>
      <c r="V46" s="230">
        <f>N46*Paramètres!$E$44</f>
        <v>0.125</v>
      </c>
      <c r="W46" s="96">
        <f>M46*Paramètres!$E$45/2+N46*Paramètres!$E$45</f>
        <v>0.1875</v>
      </c>
      <c r="X46" s="126">
        <f t="shared" si="6"/>
        <v>0.8125</v>
      </c>
      <c r="Y46" s="134">
        <f t="shared" si="7"/>
        <v>0.9375</v>
      </c>
      <c r="Z46" s="199"/>
      <c r="AA46" s="199"/>
      <c r="AB46" s="199"/>
      <c r="AC46" s="199"/>
    </row>
    <row r="47" spans="1:29" s="29" customFormat="1" ht="71.25" customHeight="1" x14ac:dyDescent="0.25">
      <c r="A47" s="28"/>
      <c r="B47" s="297"/>
      <c r="C47" s="290"/>
      <c r="D47" s="311"/>
      <c r="E47" s="209" t="s">
        <v>227</v>
      </c>
      <c r="F47" s="209"/>
      <c r="G47" s="232" t="s">
        <v>97</v>
      </c>
      <c r="H47" s="235" t="s">
        <v>45</v>
      </c>
      <c r="I47" s="107">
        <v>0</v>
      </c>
      <c r="J47" s="107">
        <v>0</v>
      </c>
      <c r="K47" s="107">
        <v>0</v>
      </c>
      <c r="L47" s="107">
        <v>0</v>
      </c>
      <c r="M47" s="109">
        <v>1</v>
      </c>
      <c r="N47" s="109">
        <v>1</v>
      </c>
      <c r="O47" s="238"/>
      <c r="P47" s="241">
        <f>VLOOKUP(H47,Paramètres!$D$27:$E$29,2,FALSE)</f>
        <v>0.125</v>
      </c>
      <c r="Q47" s="94">
        <f>VLOOKUP(H47,Paramètres!$D$30:$E$32,2,FALSE)</f>
        <v>0.5</v>
      </c>
      <c r="R47" s="126">
        <f t="shared" si="4"/>
        <v>0.125</v>
      </c>
      <c r="S47" s="96">
        <f t="shared" si="5"/>
        <v>0.5</v>
      </c>
      <c r="T47" s="96">
        <f>J47*Paramètres!$E$33+K47*Paramètres!$E$34+L47*Paramètres!$E$35</f>
        <v>0</v>
      </c>
      <c r="U47" s="96">
        <f>IF(TYPE_APPLI=Paramètres!$O$3,I47*Paramètres!$E$36+TFC!J47*Paramètres!$E$37+K47*Paramètres!$E$38+L47*Paramètres!$E$39,TFC!I47*Paramètres!$E$40+J47*Paramètres!$E$41+K47*Paramètres!$E$42+L47*Paramètres!$E$43)</f>
        <v>0</v>
      </c>
      <c r="V47" s="230">
        <f>N47*Paramètres!$E$44</f>
        <v>0.125</v>
      </c>
      <c r="W47" s="96">
        <f>M47*Paramètres!$E$45/2+N47*Paramètres!$E$45</f>
        <v>0.1875</v>
      </c>
      <c r="X47" s="126">
        <f t="shared" si="6"/>
        <v>0.8125</v>
      </c>
      <c r="Y47" s="134">
        <f t="shared" si="7"/>
        <v>0.9375</v>
      </c>
      <c r="Z47" s="199"/>
      <c r="AA47" s="199"/>
      <c r="AB47" s="199"/>
      <c r="AC47" s="199"/>
    </row>
    <row r="48" spans="1:29" s="29" customFormat="1" ht="71.25" customHeight="1" x14ac:dyDescent="0.25">
      <c r="A48" s="28"/>
      <c r="B48" s="297"/>
      <c r="C48" s="295" t="s">
        <v>213</v>
      </c>
      <c r="D48" s="309" t="s">
        <v>214</v>
      </c>
      <c r="E48" s="309" t="s">
        <v>228</v>
      </c>
      <c r="F48" s="216" t="s">
        <v>229</v>
      </c>
      <c r="G48" s="232" t="s">
        <v>97</v>
      </c>
      <c r="H48" s="235" t="s">
        <v>45</v>
      </c>
      <c r="I48" s="107">
        <v>0</v>
      </c>
      <c r="J48" s="107">
        <v>0</v>
      </c>
      <c r="K48" s="107">
        <v>0</v>
      </c>
      <c r="L48" s="107">
        <v>0</v>
      </c>
      <c r="M48" s="109">
        <v>1</v>
      </c>
      <c r="N48" s="109">
        <v>1</v>
      </c>
      <c r="O48" s="238"/>
      <c r="P48" s="241">
        <f>VLOOKUP(H48,Paramètres!$D$27:$E$29,2,FALSE)</f>
        <v>0.125</v>
      </c>
      <c r="Q48" s="94">
        <f>VLOOKUP(H48,Paramètres!$D$30:$E$32,2,FALSE)</f>
        <v>0.5</v>
      </c>
      <c r="R48" s="126">
        <f t="shared" si="4"/>
        <v>0.125</v>
      </c>
      <c r="S48" s="96">
        <f t="shared" si="5"/>
        <v>0.5</v>
      </c>
      <c r="T48" s="96">
        <f>J48*Paramètres!$E$33+K48*Paramètres!$E$34+L48*Paramètres!$E$35</f>
        <v>0</v>
      </c>
      <c r="U48" s="96">
        <f>IF(TYPE_APPLI=Paramètres!$O$3,I48*Paramètres!$E$36+TFC!J48*Paramètres!$E$37+K48*Paramètres!$E$38+L48*Paramètres!$E$39,TFC!I48*Paramètres!$E$40+J48*Paramètres!$E$41+K48*Paramètres!$E$42+L48*Paramètres!$E$43)</f>
        <v>0</v>
      </c>
      <c r="V48" s="230">
        <f>N48*Paramètres!$E$44</f>
        <v>0.125</v>
      </c>
      <c r="W48" s="96">
        <f>M48*Paramètres!$E$45/2+N48*Paramètres!$E$45</f>
        <v>0.1875</v>
      </c>
      <c r="X48" s="126">
        <f t="shared" si="6"/>
        <v>0.8125</v>
      </c>
      <c r="Y48" s="134">
        <f t="shared" si="7"/>
        <v>0.9375</v>
      </c>
      <c r="Z48" s="199"/>
      <c r="AA48" s="199"/>
      <c r="AB48" s="199"/>
      <c r="AC48" s="199"/>
    </row>
    <row r="49" spans="1:29" s="29" customFormat="1" ht="71.25" customHeight="1" x14ac:dyDescent="0.25">
      <c r="A49" s="28"/>
      <c r="B49" s="297"/>
      <c r="C49" s="296"/>
      <c r="D49" s="310"/>
      <c r="E49" s="310"/>
      <c r="F49" s="216" t="s">
        <v>230</v>
      </c>
      <c r="G49" s="232" t="s">
        <v>97</v>
      </c>
      <c r="H49" s="235" t="s">
        <v>45</v>
      </c>
      <c r="I49" s="107">
        <v>0</v>
      </c>
      <c r="J49" s="107">
        <v>0</v>
      </c>
      <c r="K49" s="107">
        <v>0</v>
      </c>
      <c r="L49" s="107">
        <v>0</v>
      </c>
      <c r="M49" s="109">
        <v>1</v>
      </c>
      <c r="N49" s="109">
        <v>1</v>
      </c>
      <c r="O49" s="238"/>
      <c r="P49" s="241">
        <f>VLOOKUP(H49,Paramètres!$D$27:$E$29,2,FALSE)</f>
        <v>0.125</v>
      </c>
      <c r="Q49" s="94">
        <f>VLOOKUP(H49,Paramètres!$D$30:$E$32,2,FALSE)</f>
        <v>0.5</v>
      </c>
      <c r="R49" s="126">
        <f t="shared" si="4"/>
        <v>0.125</v>
      </c>
      <c r="S49" s="96">
        <f t="shared" si="5"/>
        <v>0.5</v>
      </c>
      <c r="T49" s="96">
        <f>J49*Paramètres!$E$33+K49*Paramètres!$E$34+L49*Paramètres!$E$35</f>
        <v>0</v>
      </c>
      <c r="U49" s="96">
        <f>IF(TYPE_APPLI=Paramètres!$O$3,I49*Paramètres!$E$36+TFC!J49*Paramètres!$E$37+K49*Paramètres!$E$38+L49*Paramètres!$E$39,TFC!I49*Paramètres!$E$40+J49*Paramètres!$E$41+K49*Paramètres!$E$42+L49*Paramètres!$E$43)</f>
        <v>0</v>
      </c>
      <c r="V49" s="230">
        <f>N49*Paramètres!$E$44</f>
        <v>0.125</v>
      </c>
      <c r="W49" s="96">
        <f>M49*Paramètres!$E$45/2+N49*Paramètres!$E$45</f>
        <v>0.1875</v>
      </c>
      <c r="X49" s="126">
        <f t="shared" si="6"/>
        <v>0.8125</v>
      </c>
      <c r="Y49" s="134">
        <f t="shared" si="7"/>
        <v>0.9375</v>
      </c>
      <c r="Z49" s="199"/>
      <c r="AA49" s="199"/>
      <c r="AB49" s="199"/>
      <c r="AC49" s="199"/>
    </row>
    <row r="50" spans="1:29" s="29" customFormat="1" ht="71.25" customHeight="1" x14ac:dyDescent="0.25">
      <c r="A50" s="28"/>
      <c r="B50" s="297"/>
      <c r="C50" s="296"/>
      <c r="D50" s="310"/>
      <c r="E50" s="311"/>
      <c r="F50" s="216" t="s">
        <v>231</v>
      </c>
      <c r="G50" s="232" t="s">
        <v>97</v>
      </c>
      <c r="H50" s="235" t="s">
        <v>45</v>
      </c>
      <c r="I50" s="107">
        <v>0</v>
      </c>
      <c r="J50" s="107">
        <v>0</v>
      </c>
      <c r="K50" s="107">
        <v>0</v>
      </c>
      <c r="L50" s="107">
        <v>0</v>
      </c>
      <c r="M50" s="109">
        <v>1</v>
      </c>
      <c r="N50" s="109">
        <v>1</v>
      </c>
      <c r="O50" s="238"/>
      <c r="P50" s="241">
        <f>VLOOKUP(H50,Paramètres!$D$27:$E$29,2,FALSE)</f>
        <v>0.125</v>
      </c>
      <c r="Q50" s="94">
        <f>VLOOKUP(H50,Paramètres!$D$30:$E$32,2,FALSE)</f>
        <v>0.5</v>
      </c>
      <c r="R50" s="126">
        <f t="shared" si="4"/>
        <v>0.125</v>
      </c>
      <c r="S50" s="96">
        <f t="shared" si="5"/>
        <v>0.5</v>
      </c>
      <c r="T50" s="96">
        <f>J50*Paramètres!$E$33+K50*Paramètres!$E$34+L50*Paramètres!$E$35</f>
        <v>0</v>
      </c>
      <c r="U50" s="96">
        <f>IF(TYPE_APPLI=Paramètres!$O$3,I50*Paramètres!$E$36+TFC!J50*Paramètres!$E$37+K50*Paramètres!$E$38+L50*Paramètres!$E$39,TFC!I50*Paramètres!$E$40+J50*Paramètres!$E$41+K50*Paramètres!$E$42+L50*Paramètres!$E$43)</f>
        <v>0</v>
      </c>
      <c r="V50" s="230">
        <f>N50*Paramètres!$E$44</f>
        <v>0.125</v>
      </c>
      <c r="W50" s="96">
        <f>M50*Paramètres!$E$45/2+N50*Paramètres!$E$45</f>
        <v>0.1875</v>
      </c>
      <c r="X50" s="126">
        <f t="shared" si="6"/>
        <v>0.8125</v>
      </c>
      <c r="Y50" s="134">
        <f t="shared" si="7"/>
        <v>0.9375</v>
      </c>
      <c r="Z50" s="199"/>
      <c r="AA50" s="199"/>
      <c r="AB50" s="199"/>
      <c r="AC50" s="199"/>
    </row>
    <row r="51" spans="1:29" s="29" customFormat="1" ht="71.25" customHeight="1" x14ac:dyDescent="0.25">
      <c r="A51" s="28"/>
      <c r="B51" s="297"/>
      <c r="C51" s="296"/>
      <c r="D51" s="310"/>
      <c r="E51" s="309" t="s">
        <v>232</v>
      </c>
      <c r="F51" s="216" t="s">
        <v>233</v>
      </c>
      <c r="G51" s="232" t="s">
        <v>97</v>
      </c>
      <c r="H51" s="235" t="s">
        <v>45</v>
      </c>
      <c r="I51" s="107">
        <v>0</v>
      </c>
      <c r="J51" s="107">
        <v>0</v>
      </c>
      <c r="K51" s="107">
        <v>0</v>
      </c>
      <c r="L51" s="107">
        <v>0</v>
      </c>
      <c r="M51" s="109">
        <v>1</v>
      </c>
      <c r="N51" s="109">
        <v>1</v>
      </c>
      <c r="O51" s="238"/>
      <c r="P51" s="241">
        <f>VLOOKUP(H51,Paramètres!$D$27:$E$29,2,FALSE)</f>
        <v>0.125</v>
      </c>
      <c r="Q51" s="94">
        <f>VLOOKUP(H51,Paramètres!$D$30:$E$32,2,FALSE)</f>
        <v>0.5</v>
      </c>
      <c r="R51" s="126">
        <f t="shared" si="4"/>
        <v>0.125</v>
      </c>
      <c r="S51" s="96">
        <f t="shared" si="5"/>
        <v>0.5</v>
      </c>
      <c r="T51" s="96">
        <f>J51*Paramètres!$E$33+K51*Paramètres!$E$34+L51*Paramètres!$E$35</f>
        <v>0</v>
      </c>
      <c r="U51" s="96">
        <f>IF(TYPE_APPLI=Paramètres!$O$3,I51*Paramètres!$E$36+TFC!J51*Paramètres!$E$37+K51*Paramètres!$E$38+L51*Paramètres!$E$39,TFC!I51*Paramètres!$E$40+J51*Paramètres!$E$41+K51*Paramètres!$E$42+L51*Paramètres!$E$43)</f>
        <v>0</v>
      </c>
      <c r="V51" s="230">
        <f>N51*Paramètres!$E$44</f>
        <v>0.125</v>
      </c>
      <c r="W51" s="96">
        <f>M51*Paramètres!$E$45/2+N51*Paramètres!$E$45</f>
        <v>0.1875</v>
      </c>
      <c r="X51" s="126">
        <f t="shared" si="6"/>
        <v>0.8125</v>
      </c>
      <c r="Y51" s="134">
        <f t="shared" si="7"/>
        <v>0.9375</v>
      </c>
      <c r="Z51" s="199"/>
      <c r="AA51" s="199"/>
      <c r="AB51" s="199"/>
      <c r="AC51" s="199"/>
    </row>
    <row r="52" spans="1:29" s="29" customFormat="1" ht="71.25" customHeight="1" x14ac:dyDescent="0.25">
      <c r="A52" s="28"/>
      <c r="B52" s="297"/>
      <c r="C52" s="296"/>
      <c r="D52" s="310"/>
      <c r="E52" s="310"/>
      <c r="F52" s="216" t="s">
        <v>234</v>
      </c>
      <c r="G52" s="232" t="s">
        <v>97</v>
      </c>
      <c r="H52" s="235" t="s">
        <v>45</v>
      </c>
      <c r="I52" s="107">
        <v>0</v>
      </c>
      <c r="J52" s="107">
        <v>0</v>
      </c>
      <c r="K52" s="107">
        <v>0</v>
      </c>
      <c r="L52" s="107">
        <v>0</v>
      </c>
      <c r="M52" s="109">
        <v>1</v>
      </c>
      <c r="N52" s="109">
        <v>1</v>
      </c>
      <c r="O52" s="238"/>
      <c r="P52" s="241">
        <f>VLOOKUP(H52,Paramètres!$D$27:$E$29,2,FALSE)</f>
        <v>0.125</v>
      </c>
      <c r="Q52" s="94">
        <f>VLOOKUP(H52,Paramètres!$D$30:$E$32,2,FALSE)</f>
        <v>0.5</v>
      </c>
      <c r="R52" s="126">
        <f t="shared" si="4"/>
        <v>0.125</v>
      </c>
      <c r="S52" s="96">
        <f t="shared" si="5"/>
        <v>0.5</v>
      </c>
      <c r="T52" s="96">
        <f>J52*Paramètres!$E$33+K52*Paramètres!$E$34+L52*Paramètres!$E$35</f>
        <v>0</v>
      </c>
      <c r="U52" s="96">
        <f>IF(TYPE_APPLI=Paramètres!$O$3,I52*Paramètres!$E$36+TFC!J52*Paramètres!$E$37+K52*Paramètres!$E$38+L52*Paramètres!$E$39,TFC!I52*Paramètres!$E$40+J52*Paramètres!$E$41+K52*Paramètres!$E$42+L52*Paramètres!$E$43)</f>
        <v>0</v>
      </c>
      <c r="V52" s="230">
        <f>N52*Paramètres!$E$44</f>
        <v>0.125</v>
      </c>
      <c r="W52" s="96">
        <f>M52*Paramètres!$E$45/2+N52*Paramètres!$E$45</f>
        <v>0.1875</v>
      </c>
      <c r="X52" s="126">
        <f t="shared" si="6"/>
        <v>0.8125</v>
      </c>
      <c r="Y52" s="134">
        <f t="shared" si="7"/>
        <v>0.9375</v>
      </c>
      <c r="Z52" s="199"/>
      <c r="AA52" s="199"/>
      <c r="AB52" s="199"/>
      <c r="AC52" s="199"/>
    </row>
    <row r="53" spans="1:29" s="29" customFormat="1" ht="71.25" customHeight="1" x14ac:dyDescent="0.25">
      <c r="A53" s="28"/>
      <c r="B53" s="297"/>
      <c r="C53" s="296"/>
      <c r="D53" s="310"/>
      <c r="E53" s="311"/>
      <c r="F53" s="216" t="s">
        <v>235</v>
      </c>
      <c r="G53" s="232" t="s">
        <v>97</v>
      </c>
      <c r="H53" s="235" t="s">
        <v>45</v>
      </c>
      <c r="I53" s="107">
        <v>0</v>
      </c>
      <c r="J53" s="107">
        <v>0</v>
      </c>
      <c r="K53" s="107">
        <v>0</v>
      </c>
      <c r="L53" s="107">
        <v>0</v>
      </c>
      <c r="M53" s="109">
        <v>1</v>
      </c>
      <c r="N53" s="109">
        <v>1</v>
      </c>
      <c r="O53" s="238"/>
      <c r="P53" s="241">
        <f>VLOOKUP(H53,Paramètres!$D$27:$E$29,2,FALSE)</f>
        <v>0.125</v>
      </c>
      <c r="Q53" s="94">
        <f>VLOOKUP(H53,Paramètres!$D$30:$E$32,2,FALSE)</f>
        <v>0.5</v>
      </c>
      <c r="R53" s="126">
        <f t="shared" si="4"/>
        <v>0.125</v>
      </c>
      <c r="S53" s="96">
        <f t="shared" si="5"/>
        <v>0.5</v>
      </c>
      <c r="T53" s="96">
        <f>J53*Paramètres!$E$33+K53*Paramètres!$E$34+L53*Paramètres!$E$35</f>
        <v>0</v>
      </c>
      <c r="U53" s="96">
        <f>IF(TYPE_APPLI=Paramètres!$O$3,I53*Paramètres!$E$36+TFC!J53*Paramètres!$E$37+K53*Paramètres!$E$38+L53*Paramètres!$E$39,TFC!I53*Paramètres!$E$40+J53*Paramètres!$E$41+K53*Paramètres!$E$42+L53*Paramètres!$E$43)</f>
        <v>0</v>
      </c>
      <c r="V53" s="230">
        <f>N53*Paramètres!$E$44</f>
        <v>0.125</v>
      </c>
      <c r="W53" s="96">
        <f>M53*Paramètres!$E$45/2+N53*Paramètres!$E$45</f>
        <v>0.1875</v>
      </c>
      <c r="X53" s="126">
        <f t="shared" si="6"/>
        <v>0.8125</v>
      </c>
      <c r="Y53" s="134">
        <f t="shared" si="7"/>
        <v>0.9375</v>
      </c>
      <c r="Z53" s="199"/>
      <c r="AA53" s="199"/>
      <c r="AB53" s="199"/>
      <c r="AC53" s="199"/>
    </row>
    <row r="54" spans="1:29" s="29" customFormat="1" ht="71.25" customHeight="1" x14ac:dyDescent="0.25">
      <c r="A54" s="28"/>
      <c r="B54" s="297"/>
      <c r="C54" s="296"/>
      <c r="D54" s="310"/>
      <c r="E54" s="309" t="s">
        <v>236</v>
      </c>
      <c r="F54" s="216" t="s">
        <v>237</v>
      </c>
      <c r="G54" s="232" t="s">
        <v>97</v>
      </c>
      <c r="H54" s="235" t="s">
        <v>45</v>
      </c>
      <c r="I54" s="107">
        <v>0</v>
      </c>
      <c r="J54" s="107">
        <v>0</v>
      </c>
      <c r="K54" s="107">
        <v>0</v>
      </c>
      <c r="L54" s="107">
        <v>0</v>
      </c>
      <c r="M54" s="109">
        <v>1</v>
      </c>
      <c r="N54" s="109">
        <v>1</v>
      </c>
      <c r="O54" s="238"/>
      <c r="P54" s="241">
        <f>VLOOKUP(H54,Paramètres!$D$27:$E$29,2,FALSE)</f>
        <v>0.125</v>
      </c>
      <c r="Q54" s="94">
        <f>VLOOKUP(H54,Paramètres!$D$30:$E$32,2,FALSE)</f>
        <v>0.5</v>
      </c>
      <c r="R54" s="126">
        <f t="shared" si="4"/>
        <v>0.125</v>
      </c>
      <c r="S54" s="96">
        <f t="shared" si="5"/>
        <v>0.5</v>
      </c>
      <c r="T54" s="96">
        <f>J54*Paramètres!$E$33+K54*Paramètres!$E$34+L54*Paramètres!$E$35</f>
        <v>0</v>
      </c>
      <c r="U54" s="96">
        <f>IF(TYPE_APPLI=Paramètres!$O$3,I54*Paramètres!$E$36+TFC!J54*Paramètres!$E$37+K54*Paramètres!$E$38+L54*Paramètres!$E$39,TFC!I54*Paramètres!$E$40+J54*Paramètres!$E$41+K54*Paramètres!$E$42+L54*Paramètres!$E$43)</f>
        <v>0</v>
      </c>
      <c r="V54" s="230">
        <f>N54*Paramètres!$E$44</f>
        <v>0.125</v>
      </c>
      <c r="W54" s="96">
        <f>M54*Paramètres!$E$45/2+N54*Paramètres!$E$45</f>
        <v>0.1875</v>
      </c>
      <c r="X54" s="126">
        <f t="shared" si="6"/>
        <v>0.8125</v>
      </c>
      <c r="Y54" s="134">
        <f t="shared" si="7"/>
        <v>0.9375</v>
      </c>
      <c r="Z54" s="199"/>
      <c r="AA54" s="199"/>
      <c r="AB54" s="199"/>
      <c r="AC54" s="199"/>
    </row>
    <row r="55" spans="1:29" s="29" customFormat="1" ht="71.25" customHeight="1" x14ac:dyDescent="0.25">
      <c r="A55" s="28"/>
      <c r="B55" s="297"/>
      <c r="C55" s="296"/>
      <c r="D55" s="310"/>
      <c r="E55" s="310"/>
      <c r="F55" s="216" t="s">
        <v>238</v>
      </c>
      <c r="G55" s="232" t="s">
        <v>97</v>
      </c>
      <c r="H55" s="235" t="s">
        <v>45</v>
      </c>
      <c r="I55" s="107">
        <v>0</v>
      </c>
      <c r="J55" s="107">
        <v>0</v>
      </c>
      <c r="K55" s="107">
        <v>0</v>
      </c>
      <c r="L55" s="107">
        <v>0</v>
      </c>
      <c r="M55" s="109">
        <v>1</v>
      </c>
      <c r="N55" s="109">
        <v>1</v>
      </c>
      <c r="O55" s="238"/>
      <c r="P55" s="241">
        <f>VLOOKUP(H55,Paramètres!$D$27:$E$29,2,FALSE)</f>
        <v>0.125</v>
      </c>
      <c r="Q55" s="94">
        <f>VLOOKUP(H55,Paramètres!$D$30:$E$32,2,FALSE)</f>
        <v>0.5</v>
      </c>
      <c r="R55" s="126">
        <f t="shared" si="4"/>
        <v>0.125</v>
      </c>
      <c r="S55" s="96">
        <f t="shared" si="5"/>
        <v>0.5</v>
      </c>
      <c r="T55" s="96">
        <f>J55*Paramètres!$E$33+K55*Paramètres!$E$34+L55*Paramètres!$E$35</f>
        <v>0</v>
      </c>
      <c r="U55" s="96">
        <f>IF(TYPE_APPLI=Paramètres!$O$3,I55*Paramètres!$E$36+TFC!J55*Paramètres!$E$37+K55*Paramètres!$E$38+L55*Paramètres!$E$39,TFC!I55*Paramètres!$E$40+J55*Paramètres!$E$41+K55*Paramètres!$E$42+L55*Paramètres!$E$43)</f>
        <v>0</v>
      </c>
      <c r="V55" s="230">
        <f>N55*Paramètres!$E$44</f>
        <v>0.125</v>
      </c>
      <c r="W55" s="96">
        <f>M55*Paramètres!$E$45/2+N55*Paramètres!$E$45</f>
        <v>0.1875</v>
      </c>
      <c r="X55" s="126">
        <f t="shared" si="6"/>
        <v>0.8125</v>
      </c>
      <c r="Y55" s="134">
        <f t="shared" si="7"/>
        <v>0.9375</v>
      </c>
      <c r="Z55" s="199"/>
      <c r="AA55" s="199"/>
      <c r="AB55" s="199"/>
      <c r="AC55" s="199"/>
    </row>
    <row r="56" spans="1:29" s="29" customFormat="1" ht="71.25" customHeight="1" x14ac:dyDescent="0.25">
      <c r="A56" s="28"/>
      <c r="B56" s="297"/>
      <c r="C56" s="296"/>
      <c r="D56" s="310"/>
      <c r="E56" s="311"/>
      <c r="F56" s="216" t="s">
        <v>239</v>
      </c>
      <c r="G56" s="232" t="s">
        <v>97</v>
      </c>
      <c r="H56" s="235" t="s">
        <v>45</v>
      </c>
      <c r="I56" s="107">
        <v>0</v>
      </c>
      <c r="J56" s="107">
        <v>0</v>
      </c>
      <c r="K56" s="107">
        <v>0</v>
      </c>
      <c r="L56" s="107">
        <v>0</v>
      </c>
      <c r="M56" s="109">
        <v>1</v>
      </c>
      <c r="N56" s="109">
        <v>1</v>
      </c>
      <c r="O56" s="238"/>
      <c r="P56" s="241">
        <f>VLOOKUP(H56,Paramètres!$D$27:$E$29,2,FALSE)</f>
        <v>0.125</v>
      </c>
      <c r="Q56" s="94">
        <f>VLOOKUP(H56,Paramètres!$D$30:$E$32,2,FALSE)</f>
        <v>0.5</v>
      </c>
      <c r="R56" s="126">
        <f t="shared" si="4"/>
        <v>0.125</v>
      </c>
      <c r="S56" s="96">
        <f t="shared" si="5"/>
        <v>0.5</v>
      </c>
      <c r="T56" s="96">
        <f>J56*Paramètres!$E$33+K56*Paramètres!$E$34+L56*Paramètres!$E$35</f>
        <v>0</v>
      </c>
      <c r="U56" s="96">
        <f>IF(TYPE_APPLI=Paramètres!$O$3,I56*Paramètres!$E$36+TFC!J56*Paramètres!$E$37+K56*Paramètres!$E$38+L56*Paramètres!$E$39,TFC!I56*Paramètres!$E$40+J56*Paramètres!$E$41+K56*Paramètres!$E$42+L56*Paramètres!$E$43)</f>
        <v>0</v>
      </c>
      <c r="V56" s="230">
        <f>N56*Paramètres!$E$44</f>
        <v>0.125</v>
      </c>
      <c r="W56" s="96">
        <f>M56*Paramètres!$E$45/2+N56*Paramètres!$E$45</f>
        <v>0.1875</v>
      </c>
      <c r="X56" s="126">
        <f t="shared" si="6"/>
        <v>0.8125</v>
      </c>
      <c r="Y56" s="134">
        <f t="shared" si="7"/>
        <v>0.9375</v>
      </c>
      <c r="Z56" s="199"/>
      <c r="AA56" s="199"/>
      <c r="AB56" s="199"/>
      <c r="AC56" s="199"/>
    </row>
    <row r="57" spans="1:29" s="29" customFormat="1" ht="71.25" customHeight="1" x14ac:dyDescent="0.25">
      <c r="A57" s="28"/>
      <c r="B57" s="297"/>
      <c r="C57" s="296"/>
      <c r="D57" s="310"/>
      <c r="E57" s="308" t="s">
        <v>240</v>
      </c>
      <c r="F57" s="216" t="s">
        <v>241</v>
      </c>
      <c r="G57" s="232" t="s">
        <v>97</v>
      </c>
      <c r="H57" s="235" t="s">
        <v>45</v>
      </c>
      <c r="I57" s="107">
        <v>0</v>
      </c>
      <c r="J57" s="107">
        <v>0</v>
      </c>
      <c r="K57" s="107">
        <v>0</v>
      </c>
      <c r="L57" s="107">
        <v>0</v>
      </c>
      <c r="M57" s="109">
        <v>1</v>
      </c>
      <c r="N57" s="109">
        <v>1</v>
      </c>
      <c r="O57" s="238"/>
      <c r="P57" s="241">
        <f>VLOOKUP(H57,Paramètres!$D$27:$E$29,2,FALSE)</f>
        <v>0.125</v>
      </c>
      <c r="Q57" s="94">
        <f>VLOOKUP(H57,Paramètres!$D$30:$E$32,2,FALSE)</f>
        <v>0.5</v>
      </c>
      <c r="R57" s="126">
        <f t="shared" si="4"/>
        <v>0.125</v>
      </c>
      <c r="S57" s="96">
        <f t="shared" si="5"/>
        <v>0.5</v>
      </c>
      <c r="T57" s="96">
        <f>J57*Paramètres!$E$33+K57*Paramètres!$E$34+L57*Paramètres!$E$35</f>
        <v>0</v>
      </c>
      <c r="U57" s="96">
        <f>IF(TYPE_APPLI=Paramètres!$O$3,I57*Paramètres!$E$36+TFC!J57*Paramètres!$E$37+K57*Paramètres!$E$38+L57*Paramètres!$E$39,TFC!I57*Paramètres!$E$40+J57*Paramètres!$E$41+K57*Paramètres!$E$42+L57*Paramètres!$E$43)</f>
        <v>0</v>
      </c>
      <c r="V57" s="230">
        <f>N57*Paramètres!$E$44</f>
        <v>0.125</v>
      </c>
      <c r="W57" s="96">
        <f>M57*Paramètres!$E$45/2+N57*Paramètres!$E$45</f>
        <v>0.1875</v>
      </c>
      <c r="X57" s="126">
        <f t="shared" si="6"/>
        <v>0.8125</v>
      </c>
      <c r="Y57" s="134">
        <f t="shared" si="7"/>
        <v>0.9375</v>
      </c>
      <c r="Z57" s="199"/>
      <c r="AA57" s="199"/>
      <c r="AB57" s="199"/>
      <c r="AC57" s="199"/>
    </row>
    <row r="58" spans="1:29" s="29" customFormat="1" ht="71.25" customHeight="1" x14ac:dyDescent="0.25">
      <c r="A58" s="28"/>
      <c r="B58" s="297"/>
      <c r="C58" s="296"/>
      <c r="D58" s="311"/>
      <c r="E58" s="307"/>
      <c r="F58" s="216" t="s">
        <v>242</v>
      </c>
      <c r="G58" s="232" t="s">
        <v>97</v>
      </c>
      <c r="H58" s="235" t="s">
        <v>45</v>
      </c>
      <c r="I58" s="107">
        <v>0</v>
      </c>
      <c r="J58" s="107">
        <v>0</v>
      </c>
      <c r="K58" s="107">
        <v>0</v>
      </c>
      <c r="L58" s="107">
        <v>0</v>
      </c>
      <c r="M58" s="109">
        <v>1</v>
      </c>
      <c r="N58" s="109">
        <v>1</v>
      </c>
      <c r="O58" s="238"/>
      <c r="P58" s="241">
        <f>VLOOKUP(H58,Paramètres!$D$27:$E$29,2,FALSE)</f>
        <v>0.125</v>
      </c>
      <c r="Q58" s="94">
        <f>VLOOKUP(H58,Paramètres!$D$30:$E$32,2,FALSE)</f>
        <v>0.5</v>
      </c>
      <c r="R58" s="126">
        <f t="shared" si="4"/>
        <v>0.125</v>
      </c>
      <c r="S58" s="96">
        <f t="shared" si="5"/>
        <v>0.5</v>
      </c>
      <c r="T58" s="96">
        <f>J58*Paramètres!$E$33+K58*Paramètres!$E$34+L58*Paramètres!$E$35</f>
        <v>0</v>
      </c>
      <c r="U58" s="96">
        <f>IF(TYPE_APPLI=Paramètres!$O$3,I58*Paramètres!$E$36+TFC!J58*Paramètres!$E$37+K58*Paramètres!$E$38+L58*Paramètres!$E$39,TFC!I58*Paramètres!$E$40+J58*Paramètres!$E$41+K58*Paramètres!$E$42+L58*Paramètres!$E$43)</f>
        <v>0</v>
      </c>
      <c r="V58" s="230">
        <f>N58*Paramètres!$E$44</f>
        <v>0.125</v>
      </c>
      <c r="W58" s="96">
        <f>M58*Paramètres!$E$45/2+N58*Paramètres!$E$45</f>
        <v>0.1875</v>
      </c>
      <c r="X58" s="126">
        <f t="shared" si="6"/>
        <v>0.8125</v>
      </c>
      <c r="Y58" s="134">
        <f t="shared" si="7"/>
        <v>0.9375</v>
      </c>
      <c r="Z58" s="199"/>
      <c r="AA58" s="199"/>
      <c r="AB58" s="199"/>
      <c r="AC58" s="199"/>
    </row>
    <row r="59" spans="1:29" s="29" customFormat="1" ht="71.25" customHeight="1" x14ac:dyDescent="0.25">
      <c r="A59" s="28"/>
      <c r="B59" s="297"/>
      <c r="C59" s="296"/>
      <c r="D59" s="309" t="s">
        <v>215</v>
      </c>
      <c r="E59" s="309" t="s">
        <v>243</v>
      </c>
      <c r="F59" s="216" t="s">
        <v>244</v>
      </c>
      <c r="G59" s="232" t="s">
        <v>97</v>
      </c>
      <c r="H59" s="235" t="s">
        <v>45</v>
      </c>
      <c r="I59" s="107">
        <v>0</v>
      </c>
      <c r="J59" s="107">
        <v>0</v>
      </c>
      <c r="K59" s="107">
        <v>0</v>
      </c>
      <c r="L59" s="107">
        <v>0</v>
      </c>
      <c r="M59" s="109">
        <v>1</v>
      </c>
      <c r="N59" s="109">
        <v>1</v>
      </c>
      <c r="O59" s="238"/>
      <c r="P59" s="241">
        <f>VLOOKUP(H59,Paramètres!$D$27:$E$29,2,FALSE)</f>
        <v>0.125</v>
      </c>
      <c r="Q59" s="94">
        <f>VLOOKUP(H59,Paramètres!$D$30:$E$32,2,FALSE)</f>
        <v>0.5</v>
      </c>
      <c r="R59" s="126">
        <f t="shared" si="4"/>
        <v>0.125</v>
      </c>
      <c r="S59" s="96">
        <f t="shared" si="5"/>
        <v>0.5</v>
      </c>
      <c r="T59" s="96">
        <f>J59*Paramètres!$E$33+K59*Paramètres!$E$34+L59*Paramètres!$E$35</f>
        <v>0</v>
      </c>
      <c r="U59" s="96">
        <f>IF(TYPE_APPLI=Paramètres!$O$3,I59*Paramètres!$E$36+TFC!J59*Paramètres!$E$37+K59*Paramètres!$E$38+L59*Paramètres!$E$39,TFC!I59*Paramètres!$E$40+J59*Paramètres!$E$41+K59*Paramètres!$E$42+L59*Paramètres!$E$43)</f>
        <v>0</v>
      </c>
      <c r="V59" s="230">
        <f>N59*Paramètres!$E$44</f>
        <v>0.125</v>
      </c>
      <c r="W59" s="96">
        <f>M59*Paramètres!$E$45/2+N59*Paramètres!$E$45</f>
        <v>0.1875</v>
      </c>
      <c r="X59" s="126">
        <f t="shared" si="6"/>
        <v>0.8125</v>
      </c>
      <c r="Y59" s="134">
        <f t="shared" si="7"/>
        <v>0.9375</v>
      </c>
      <c r="Z59" s="199"/>
      <c r="AA59" s="199"/>
      <c r="AB59" s="199"/>
      <c r="AC59" s="199"/>
    </row>
    <row r="60" spans="1:29" s="29" customFormat="1" ht="71.25" customHeight="1" x14ac:dyDescent="0.25">
      <c r="A60" s="28"/>
      <c r="B60" s="297"/>
      <c r="C60" s="296"/>
      <c r="D60" s="310"/>
      <c r="E60" s="310"/>
      <c r="F60" s="216" t="s">
        <v>245</v>
      </c>
      <c r="G60" s="232" t="s">
        <v>97</v>
      </c>
      <c r="H60" s="235" t="s">
        <v>45</v>
      </c>
      <c r="I60" s="107">
        <v>0</v>
      </c>
      <c r="J60" s="107">
        <v>0</v>
      </c>
      <c r="K60" s="107">
        <v>0</v>
      </c>
      <c r="L60" s="107">
        <v>0</v>
      </c>
      <c r="M60" s="109">
        <v>1</v>
      </c>
      <c r="N60" s="109">
        <v>1</v>
      </c>
      <c r="O60" s="238"/>
      <c r="P60" s="241">
        <f>VLOOKUP(H60,Paramètres!$D$27:$E$29,2,FALSE)</f>
        <v>0.125</v>
      </c>
      <c r="Q60" s="94">
        <f>VLOOKUP(H60,Paramètres!$D$30:$E$32,2,FALSE)</f>
        <v>0.5</v>
      </c>
      <c r="R60" s="126">
        <f t="shared" si="4"/>
        <v>0.125</v>
      </c>
      <c r="S60" s="96">
        <f t="shared" si="5"/>
        <v>0.5</v>
      </c>
      <c r="T60" s="96">
        <f>J60*Paramètres!$E$33+K60*Paramètres!$E$34+L60*Paramètres!$E$35</f>
        <v>0</v>
      </c>
      <c r="U60" s="96">
        <f>IF(TYPE_APPLI=Paramètres!$O$3,I60*Paramètres!$E$36+TFC!J60*Paramètres!$E$37+K60*Paramètres!$E$38+L60*Paramètres!$E$39,TFC!I60*Paramètres!$E$40+J60*Paramètres!$E$41+K60*Paramètres!$E$42+L60*Paramètres!$E$43)</f>
        <v>0</v>
      </c>
      <c r="V60" s="230">
        <f>N60*Paramètres!$E$44</f>
        <v>0.125</v>
      </c>
      <c r="W60" s="96">
        <f>M60*Paramètres!$E$45/2+N60*Paramètres!$E$45</f>
        <v>0.1875</v>
      </c>
      <c r="X60" s="126">
        <f t="shared" si="6"/>
        <v>0.8125</v>
      </c>
      <c r="Y60" s="134">
        <f t="shared" si="7"/>
        <v>0.9375</v>
      </c>
      <c r="Z60" s="199"/>
      <c r="AA60" s="199"/>
      <c r="AB60" s="199"/>
      <c r="AC60" s="199"/>
    </row>
    <row r="61" spans="1:29" s="29" customFormat="1" ht="71.25" customHeight="1" x14ac:dyDescent="0.25">
      <c r="A61" s="28"/>
      <c r="B61" s="297"/>
      <c r="C61" s="296"/>
      <c r="D61" s="310"/>
      <c r="E61" s="311"/>
      <c r="F61" s="216" t="s">
        <v>246</v>
      </c>
      <c r="G61" s="232" t="s">
        <v>97</v>
      </c>
      <c r="H61" s="235" t="s">
        <v>45</v>
      </c>
      <c r="I61" s="107">
        <v>0</v>
      </c>
      <c r="J61" s="107">
        <v>0</v>
      </c>
      <c r="K61" s="107">
        <v>0</v>
      </c>
      <c r="L61" s="107">
        <v>0</v>
      </c>
      <c r="M61" s="109">
        <v>1</v>
      </c>
      <c r="N61" s="109">
        <v>1</v>
      </c>
      <c r="O61" s="238"/>
      <c r="P61" s="241">
        <f>VLOOKUP(H61,Paramètres!$D$27:$E$29,2,FALSE)</f>
        <v>0.125</v>
      </c>
      <c r="Q61" s="94">
        <f>VLOOKUP(H61,Paramètres!$D$30:$E$32,2,FALSE)</f>
        <v>0.5</v>
      </c>
      <c r="R61" s="126">
        <f t="shared" si="4"/>
        <v>0.125</v>
      </c>
      <c r="S61" s="96">
        <f t="shared" si="5"/>
        <v>0.5</v>
      </c>
      <c r="T61" s="96">
        <f>J61*Paramètres!$E$33+K61*Paramètres!$E$34+L61*Paramètres!$E$35</f>
        <v>0</v>
      </c>
      <c r="U61" s="96">
        <f>IF(TYPE_APPLI=Paramètres!$O$3,I61*Paramètres!$E$36+TFC!J61*Paramètres!$E$37+K61*Paramètres!$E$38+L61*Paramètres!$E$39,TFC!I61*Paramètres!$E$40+J61*Paramètres!$E$41+K61*Paramètres!$E$42+L61*Paramètres!$E$43)</f>
        <v>0</v>
      </c>
      <c r="V61" s="230">
        <f>N61*Paramètres!$E$44</f>
        <v>0.125</v>
      </c>
      <c r="W61" s="96">
        <f>M61*Paramètres!$E$45/2+N61*Paramètres!$E$45</f>
        <v>0.1875</v>
      </c>
      <c r="X61" s="126">
        <f t="shared" si="6"/>
        <v>0.8125</v>
      </c>
      <c r="Y61" s="134">
        <f t="shared" si="7"/>
        <v>0.9375</v>
      </c>
      <c r="Z61" s="199"/>
      <c r="AA61" s="199"/>
      <c r="AB61" s="199"/>
      <c r="AC61" s="199"/>
    </row>
    <row r="62" spans="1:29" s="29" customFormat="1" ht="71.25" customHeight="1" x14ac:dyDescent="0.25">
      <c r="A62" s="28"/>
      <c r="B62" s="297"/>
      <c r="C62" s="296"/>
      <c r="D62" s="310"/>
      <c r="E62" s="309" t="s">
        <v>247</v>
      </c>
      <c r="F62" s="216" t="s">
        <v>248</v>
      </c>
      <c r="G62" s="232" t="s">
        <v>97</v>
      </c>
      <c r="H62" s="235" t="s">
        <v>45</v>
      </c>
      <c r="I62" s="107">
        <v>0</v>
      </c>
      <c r="J62" s="107">
        <v>0</v>
      </c>
      <c r="K62" s="107">
        <v>0</v>
      </c>
      <c r="L62" s="107">
        <v>0</v>
      </c>
      <c r="M62" s="109">
        <v>1</v>
      </c>
      <c r="N62" s="109">
        <v>1</v>
      </c>
      <c r="O62" s="238"/>
      <c r="P62" s="241">
        <f>VLOOKUP(H62,Paramètres!$D$27:$E$29,2,FALSE)</f>
        <v>0.125</v>
      </c>
      <c r="Q62" s="94">
        <f>VLOOKUP(H62,Paramètres!$D$30:$E$32,2,FALSE)</f>
        <v>0.5</v>
      </c>
      <c r="R62" s="126">
        <f t="shared" si="4"/>
        <v>0.125</v>
      </c>
      <c r="S62" s="96">
        <f t="shared" si="5"/>
        <v>0.5</v>
      </c>
      <c r="T62" s="96">
        <f>J62*Paramètres!$E$33+K62*Paramètres!$E$34+L62*Paramètres!$E$35</f>
        <v>0</v>
      </c>
      <c r="U62" s="96">
        <f>IF(TYPE_APPLI=Paramètres!$O$3,I62*Paramètres!$E$36+TFC!J62*Paramètres!$E$37+K62*Paramètres!$E$38+L62*Paramètres!$E$39,TFC!I62*Paramètres!$E$40+J62*Paramètres!$E$41+K62*Paramètres!$E$42+L62*Paramètres!$E$43)</f>
        <v>0</v>
      </c>
      <c r="V62" s="230">
        <f>N62*Paramètres!$E$44</f>
        <v>0.125</v>
      </c>
      <c r="W62" s="96">
        <f>M62*Paramètres!$E$45/2+N62*Paramètres!$E$45</f>
        <v>0.1875</v>
      </c>
      <c r="X62" s="126">
        <f t="shared" si="6"/>
        <v>0.8125</v>
      </c>
      <c r="Y62" s="134">
        <f t="shared" si="7"/>
        <v>0.9375</v>
      </c>
      <c r="Z62" s="199"/>
      <c r="AA62" s="199"/>
      <c r="AB62" s="199"/>
      <c r="AC62" s="199"/>
    </row>
    <row r="63" spans="1:29" s="29" customFormat="1" ht="71.25" customHeight="1" x14ac:dyDescent="0.25">
      <c r="A63" s="28"/>
      <c r="B63" s="297"/>
      <c r="C63" s="296"/>
      <c r="D63" s="310"/>
      <c r="E63" s="310"/>
      <c r="F63" s="216" t="s">
        <v>249</v>
      </c>
      <c r="G63" s="232" t="s">
        <v>97</v>
      </c>
      <c r="H63" s="235" t="s">
        <v>45</v>
      </c>
      <c r="I63" s="107">
        <v>0</v>
      </c>
      <c r="J63" s="107">
        <v>0</v>
      </c>
      <c r="K63" s="107">
        <v>0</v>
      </c>
      <c r="L63" s="107">
        <v>0</v>
      </c>
      <c r="M63" s="109">
        <v>1</v>
      </c>
      <c r="N63" s="109">
        <v>1</v>
      </c>
      <c r="O63" s="238"/>
      <c r="P63" s="241">
        <f>VLOOKUP(H63,Paramètres!$D$27:$E$29,2,FALSE)</f>
        <v>0.125</v>
      </c>
      <c r="Q63" s="94">
        <f>VLOOKUP(H63,Paramètres!$D$30:$E$32,2,FALSE)</f>
        <v>0.5</v>
      </c>
      <c r="R63" s="126">
        <f t="shared" si="4"/>
        <v>0.125</v>
      </c>
      <c r="S63" s="96">
        <f t="shared" si="5"/>
        <v>0.5</v>
      </c>
      <c r="T63" s="96">
        <f>J63*Paramètres!$E$33+K63*Paramètres!$E$34+L63*Paramètres!$E$35</f>
        <v>0</v>
      </c>
      <c r="U63" s="96">
        <f>IF(TYPE_APPLI=Paramètres!$O$3,I63*Paramètres!$E$36+TFC!J63*Paramètres!$E$37+K63*Paramètres!$E$38+L63*Paramètres!$E$39,TFC!I63*Paramètres!$E$40+J63*Paramètres!$E$41+K63*Paramètres!$E$42+L63*Paramètres!$E$43)</f>
        <v>0</v>
      </c>
      <c r="V63" s="230">
        <f>N63*Paramètres!$E$44</f>
        <v>0.125</v>
      </c>
      <c r="W63" s="96">
        <f>M63*Paramètres!$E$45/2+N63*Paramètres!$E$45</f>
        <v>0.1875</v>
      </c>
      <c r="X63" s="126">
        <f t="shared" si="6"/>
        <v>0.8125</v>
      </c>
      <c r="Y63" s="134">
        <f t="shared" si="7"/>
        <v>0.9375</v>
      </c>
      <c r="Z63" s="199"/>
      <c r="AA63" s="199"/>
      <c r="AB63" s="199"/>
      <c r="AC63" s="199"/>
    </row>
    <row r="64" spans="1:29" s="29" customFormat="1" ht="71.25" customHeight="1" x14ac:dyDescent="0.25">
      <c r="A64" s="28"/>
      <c r="B64" s="297"/>
      <c r="C64" s="296"/>
      <c r="D64" s="310"/>
      <c r="E64" s="311"/>
      <c r="F64" s="216" t="s">
        <v>250</v>
      </c>
      <c r="G64" s="232" t="s">
        <v>97</v>
      </c>
      <c r="H64" s="235" t="s">
        <v>45</v>
      </c>
      <c r="I64" s="107">
        <v>0</v>
      </c>
      <c r="J64" s="107">
        <v>0</v>
      </c>
      <c r="K64" s="107">
        <v>0</v>
      </c>
      <c r="L64" s="107">
        <v>0</v>
      </c>
      <c r="M64" s="109">
        <v>1</v>
      </c>
      <c r="N64" s="109">
        <v>1</v>
      </c>
      <c r="O64" s="238"/>
      <c r="P64" s="241">
        <f>VLOOKUP(H64,Paramètres!$D$27:$E$29,2,FALSE)</f>
        <v>0.125</v>
      </c>
      <c r="Q64" s="94">
        <f>VLOOKUP(H64,Paramètres!$D$30:$E$32,2,FALSE)</f>
        <v>0.5</v>
      </c>
      <c r="R64" s="126">
        <f t="shared" si="4"/>
        <v>0.125</v>
      </c>
      <c r="S64" s="96">
        <f t="shared" si="5"/>
        <v>0.5</v>
      </c>
      <c r="T64" s="96">
        <f>J64*Paramètres!$E$33+K64*Paramètres!$E$34+L64*Paramètres!$E$35</f>
        <v>0</v>
      </c>
      <c r="U64" s="96">
        <f>IF(TYPE_APPLI=Paramètres!$O$3,I64*Paramètres!$E$36+TFC!J64*Paramètres!$E$37+K64*Paramètres!$E$38+L64*Paramètres!$E$39,TFC!I64*Paramètres!$E$40+J64*Paramètres!$E$41+K64*Paramètres!$E$42+L64*Paramètres!$E$43)</f>
        <v>0</v>
      </c>
      <c r="V64" s="230">
        <f>N64*Paramètres!$E$44</f>
        <v>0.125</v>
      </c>
      <c r="W64" s="96">
        <f>M64*Paramètres!$E$45/2+N64*Paramètres!$E$45</f>
        <v>0.1875</v>
      </c>
      <c r="X64" s="126">
        <f t="shared" si="6"/>
        <v>0.8125</v>
      </c>
      <c r="Y64" s="134">
        <f t="shared" si="7"/>
        <v>0.9375</v>
      </c>
      <c r="Z64" s="199"/>
      <c r="AA64" s="199"/>
      <c r="AB64" s="199"/>
      <c r="AC64" s="199"/>
    </row>
    <row r="65" spans="1:29" s="29" customFormat="1" ht="71.25" customHeight="1" x14ac:dyDescent="0.25">
      <c r="A65" s="28"/>
      <c r="B65" s="297"/>
      <c r="C65" s="296"/>
      <c r="D65" s="310"/>
      <c r="E65" s="309" t="s">
        <v>251</v>
      </c>
      <c r="F65" s="216" t="s">
        <v>252</v>
      </c>
      <c r="G65" s="232" t="s">
        <v>97</v>
      </c>
      <c r="H65" s="235" t="s">
        <v>45</v>
      </c>
      <c r="I65" s="107">
        <v>0</v>
      </c>
      <c r="J65" s="107">
        <v>0</v>
      </c>
      <c r="K65" s="107">
        <v>0</v>
      </c>
      <c r="L65" s="107">
        <v>0</v>
      </c>
      <c r="M65" s="109">
        <v>1</v>
      </c>
      <c r="N65" s="109">
        <v>1</v>
      </c>
      <c r="O65" s="238"/>
      <c r="P65" s="241">
        <f>VLOOKUP(H65,Paramètres!$D$27:$E$29,2,FALSE)</f>
        <v>0.125</v>
      </c>
      <c r="Q65" s="94">
        <f>VLOOKUP(H65,Paramètres!$D$30:$E$32,2,FALSE)</f>
        <v>0.5</v>
      </c>
      <c r="R65" s="126">
        <f t="shared" si="4"/>
        <v>0.125</v>
      </c>
      <c r="S65" s="96">
        <f t="shared" si="5"/>
        <v>0.5</v>
      </c>
      <c r="T65" s="96">
        <f>J65*Paramètres!$E$33+K65*Paramètres!$E$34+L65*Paramètres!$E$35</f>
        <v>0</v>
      </c>
      <c r="U65" s="96">
        <f>IF(TYPE_APPLI=Paramètres!$O$3,I65*Paramètres!$E$36+TFC!J65*Paramètres!$E$37+K65*Paramètres!$E$38+L65*Paramètres!$E$39,TFC!I65*Paramètres!$E$40+J65*Paramètres!$E$41+K65*Paramètres!$E$42+L65*Paramètres!$E$43)</f>
        <v>0</v>
      </c>
      <c r="V65" s="230">
        <f>N65*Paramètres!$E$44</f>
        <v>0.125</v>
      </c>
      <c r="W65" s="96">
        <f>M65*Paramètres!$E$45/2+N65*Paramètres!$E$45</f>
        <v>0.1875</v>
      </c>
      <c r="X65" s="126">
        <f t="shared" si="6"/>
        <v>0.8125</v>
      </c>
      <c r="Y65" s="134">
        <f t="shared" si="7"/>
        <v>0.9375</v>
      </c>
      <c r="Z65" s="199"/>
      <c r="AA65" s="199"/>
      <c r="AB65" s="199"/>
      <c r="AC65" s="199"/>
    </row>
    <row r="66" spans="1:29" s="29" customFormat="1" ht="71.25" customHeight="1" x14ac:dyDescent="0.25">
      <c r="A66" s="28"/>
      <c r="B66" s="297"/>
      <c r="C66" s="296"/>
      <c r="D66" s="310"/>
      <c r="E66" s="310"/>
      <c r="F66" s="216" t="s">
        <v>253</v>
      </c>
      <c r="G66" s="232" t="s">
        <v>97</v>
      </c>
      <c r="H66" s="235" t="s">
        <v>45</v>
      </c>
      <c r="I66" s="107">
        <v>0</v>
      </c>
      <c r="J66" s="107">
        <v>0</v>
      </c>
      <c r="K66" s="107">
        <v>0</v>
      </c>
      <c r="L66" s="107">
        <v>0</v>
      </c>
      <c r="M66" s="109">
        <v>1</v>
      </c>
      <c r="N66" s="109">
        <v>1</v>
      </c>
      <c r="O66" s="238"/>
      <c r="P66" s="241">
        <f>VLOOKUP(H66,Paramètres!$D$27:$E$29,2,FALSE)</f>
        <v>0.125</v>
      </c>
      <c r="Q66" s="94">
        <f>VLOOKUP(H66,Paramètres!$D$30:$E$32,2,FALSE)</f>
        <v>0.5</v>
      </c>
      <c r="R66" s="126">
        <f t="shared" si="4"/>
        <v>0.125</v>
      </c>
      <c r="S66" s="96">
        <f t="shared" si="5"/>
        <v>0.5</v>
      </c>
      <c r="T66" s="96">
        <f>J66*Paramètres!$E$33+K66*Paramètres!$E$34+L66*Paramètres!$E$35</f>
        <v>0</v>
      </c>
      <c r="U66" s="96">
        <f>IF(TYPE_APPLI=Paramètres!$O$3,I66*Paramètres!$E$36+TFC!J66*Paramètres!$E$37+K66*Paramètres!$E$38+L66*Paramètres!$E$39,TFC!I66*Paramètres!$E$40+J66*Paramètres!$E$41+K66*Paramètres!$E$42+L66*Paramètres!$E$43)</f>
        <v>0</v>
      </c>
      <c r="V66" s="230">
        <f>N66*Paramètres!$E$44</f>
        <v>0.125</v>
      </c>
      <c r="W66" s="96">
        <f>M66*Paramètres!$E$45/2+N66*Paramètres!$E$45</f>
        <v>0.1875</v>
      </c>
      <c r="X66" s="126">
        <f t="shared" si="6"/>
        <v>0.8125</v>
      </c>
      <c r="Y66" s="134">
        <f t="shared" si="7"/>
        <v>0.9375</v>
      </c>
      <c r="Z66" s="199"/>
      <c r="AA66" s="199"/>
      <c r="AB66" s="199"/>
      <c r="AC66" s="199"/>
    </row>
    <row r="67" spans="1:29" s="29" customFormat="1" ht="71.25" customHeight="1" x14ac:dyDescent="0.25">
      <c r="A67" s="28"/>
      <c r="B67" s="297"/>
      <c r="C67" s="296"/>
      <c r="D67" s="310"/>
      <c r="E67" s="311"/>
      <c r="F67" s="216" t="s">
        <v>254</v>
      </c>
      <c r="G67" s="232" t="s">
        <v>97</v>
      </c>
      <c r="H67" s="235" t="s">
        <v>45</v>
      </c>
      <c r="I67" s="107">
        <v>0</v>
      </c>
      <c r="J67" s="107">
        <v>0</v>
      </c>
      <c r="K67" s="107">
        <v>0</v>
      </c>
      <c r="L67" s="107">
        <v>0</v>
      </c>
      <c r="M67" s="109">
        <v>1</v>
      </c>
      <c r="N67" s="109">
        <v>1</v>
      </c>
      <c r="O67" s="238"/>
      <c r="P67" s="241">
        <f>VLOOKUP(H67,Paramètres!$D$27:$E$29,2,FALSE)</f>
        <v>0.125</v>
      </c>
      <c r="Q67" s="94">
        <f>VLOOKUP(H67,Paramètres!$D$30:$E$32,2,FALSE)</f>
        <v>0.5</v>
      </c>
      <c r="R67" s="126">
        <f t="shared" si="4"/>
        <v>0.125</v>
      </c>
      <c r="S67" s="96">
        <f t="shared" si="5"/>
        <v>0.5</v>
      </c>
      <c r="T67" s="96">
        <f>J67*Paramètres!$E$33+K67*Paramètres!$E$34+L67*Paramètres!$E$35</f>
        <v>0</v>
      </c>
      <c r="U67" s="96">
        <f>IF(TYPE_APPLI=Paramètres!$O$3,I67*Paramètres!$E$36+TFC!J67*Paramètres!$E$37+K67*Paramètres!$E$38+L67*Paramètres!$E$39,TFC!I67*Paramètres!$E$40+J67*Paramètres!$E$41+K67*Paramètres!$E$42+L67*Paramètres!$E$43)</f>
        <v>0</v>
      </c>
      <c r="V67" s="230">
        <f>N67*Paramètres!$E$44</f>
        <v>0.125</v>
      </c>
      <c r="W67" s="96">
        <f>M67*Paramètres!$E$45/2+N67*Paramètres!$E$45</f>
        <v>0.1875</v>
      </c>
      <c r="X67" s="126">
        <f t="shared" si="6"/>
        <v>0.8125</v>
      </c>
      <c r="Y67" s="134">
        <f t="shared" si="7"/>
        <v>0.9375</v>
      </c>
      <c r="Z67" s="199"/>
      <c r="AA67" s="199"/>
      <c r="AB67" s="199"/>
      <c r="AC67" s="199"/>
    </row>
    <row r="68" spans="1:29" s="29" customFormat="1" ht="71.25" customHeight="1" x14ac:dyDescent="0.25">
      <c r="A68" s="28"/>
      <c r="B68" s="297"/>
      <c r="C68" s="296"/>
      <c r="D68" s="310"/>
      <c r="E68" s="309" t="s">
        <v>255</v>
      </c>
      <c r="F68" s="216" t="s">
        <v>256</v>
      </c>
      <c r="G68" s="232" t="s">
        <v>97</v>
      </c>
      <c r="H68" s="235" t="s">
        <v>45</v>
      </c>
      <c r="I68" s="107">
        <v>0</v>
      </c>
      <c r="J68" s="107">
        <v>0</v>
      </c>
      <c r="K68" s="107">
        <v>0</v>
      </c>
      <c r="L68" s="107">
        <v>0</v>
      </c>
      <c r="M68" s="109">
        <v>1</v>
      </c>
      <c r="N68" s="109">
        <v>1</v>
      </c>
      <c r="O68" s="238"/>
      <c r="P68" s="241">
        <f>VLOOKUP(H68,Paramètres!$D$27:$E$29,2,FALSE)</f>
        <v>0.125</v>
      </c>
      <c r="Q68" s="94">
        <f>VLOOKUP(H68,Paramètres!$D$30:$E$32,2,FALSE)</f>
        <v>0.5</v>
      </c>
      <c r="R68" s="126">
        <f t="shared" si="4"/>
        <v>0.125</v>
      </c>
      <c r="S68" s="96">
        <f t="shared" si="5"/>
        <v>0.5</v>
      </c>
      <c r="T68" s="96">
        <f>J68*Paramètres!$E$33+K68*Paramètres!$E$34+L68*Paramètres!$E$35</f>
        <v>0</v>
      </c>
      <c r="U68" s="96">
        <f>IF(TYPE_APPLI=Paramètres!$O$3,I68*Paramètres!$E$36+TFC!J68*Paramètres!$E$37+K68*Paramètres!$E$38+L68*Paramètres!$E$39,TFC!I68*Paramètres!$E$40+J68*Paramètres!$E$41+K68*Paramètres!$E$42+L68*Paramètres!$E$43)</f>
        <v>0</v>
      </c>
      <c r="V68" s="230">
        <f>N68*Paramètres!$E$44</f>
        <v>0.125</v>
      </c>
      <c r="W68" s="96">
        <f>M68*Paramètres!$E$45/2+N68*Paramètres!$E$45</f>
        <v>0.1875</v>
      </c>
      <c r="X68" s="126">
        <f t="shared" si="6"/>
        <v>0.8125</v>
      </c>
      <c r="Y68" s="134">
        <f t="shared" si="7"/>
        <v>0.9375</v>
      </c>
      <c r="Z68" s="199"/>
      <c r="AA68" s="199"/>
      <c r="AB68" s="199"/>
      <c r="AC68" s="199"/>
    </row>
    <row r="69" spans="1:29" s="29" customFormat="1" ht="71.25" customHeight="1" x14ac:dyDescent="0.25">
      <c r="A69" s="28"/>
      <c r="B69" s="297"/>
      <c r="C69" s="296"/>
      <c r="D69" s="310"/>
      <c r="E69" s="311"/>
      <c r="F69" s="216" t="s">
        <v>257</v>
      </c>
      <c r="G69" s="232" t="s">
        <v>97</v>
      </c>
      <c r="H69" s="235" t="s">
        <v>45</v>
      </c>
      <c r="I69" s="107">
        <v>0</v>
      </c>
      <c r="J69" s="107">
        <v>0</v>
      </c>
      <c r="K69" s="107">
        <v>0</v>
      </c>
      <c r="L69" s="107">
        <v>0</v>
      </c>
      <c r="M69" s="109">
        <v>1</v>
      </c>
      <c r="N69" s="109">
        <v>1</v>
      </c>
      <c r="O69" s="238"/>
      <c r="P69" s="241">
        <f>VLOOKUP(H69,Paramètres!$D$27:$E$29,2,FALSE)</f>
        <v>0.125</v>
      </c>
      <c r="Q69" s="94">
        <f>VLOOKUP(H69,Paramètres!$D$30:$E$32,2,FALSE)</f>
        <v>0.5</v>
      </c>
      <c r="R69" s="126">
        <f t="shared" si="4"/>
        <v>0.125</v>
      </c>
      <c r="S69" s="96">
        <f t="shared" si="5"/>
        <v>0.5</v>
      </c>
      <c r="T69" s="96">
        <f>J69*Paramètres!$E$33+K69*Paramètres!$E$34+L69*Paramètres!$E$35</f>
        <v>0</v>
      </c>
      <c r="U69" s="96">
        <f>IF(TYPE_APPLI=Paramètres!$O$3,I69*Paramètres!$E$36+TFC!J69*Paramètres!$E$37+K69*Paramètres!$E$38+L69*Paramètres!$E$39,TFC!I69*Paramètres!$E$40+J69*Paramètres!$E$41+K69*Paramètres!$E$42+L69*Paramètres!$E$43)</f>
        <v>0</v>
      </c>
      <c r="V69" s="230">
        <f>N69*Paramètres!$E$44</f>
        <v>0.125</v>
      </c>
      <c r="W69" s="96">
        <f>M69*Paramètres!$E$45/2+N69*Paramètres!$E$45</f>
        <v>0.1875</v>
      </c>
      <c r="X69" s="126">
        <f t="shared" si="6"/>
        <v>0.8125</v>
      </c>
      <c r="Y69" s="134">
        <f t="shared" si="7"/>
        <v>0.9375</v>
      </c>
      <c r="Z69" s="199"/>
      <c r="AA69" s="199"/>
      <c r="AB69" s="199"/>
      <c r="AC69" s="199"/>
    </row>
    <row r="70" spans="1:29" s="29" customFormat="1" ht="71.25" customHeight="1" x14ac:dyDescent="0.25">
      <c r="A70" s="28"/>
      <c r="B70" s="297"/>
      <c r="C70" s="296"/>
      <c r="D70" s="310"/>
      <c r="E70" s="308" t="s">
        <v>331</v>
      </c>
      <c r="F70" s="216" t="s">
        <v>332</v>
      </c>
      <c r="G70" s="232" t="s">
        <v>97</v>
      </c>
      <c r="H70" s="235" t="s">
        <v>45</v>
      </c>
      <c r="I70" s="107">
        <v>0</v>
      </c>
      <c r="J70" s="107">
        <v>0</v>
      </c>
      <c r="K70" s="107">
        <v>0</v>
      </c>
      <c r="L70" s="107">
        <v>0</v>
      </c>
      <c r="M70" s="109">
        <v>1</v>
      </c>
      <c r="N70" s="109">
        <v>1</v>
      </c>
      <c r="O70" s="238"/>
      <c r="P70" s="241">
        <f>VLOOKUP(H70,Paramètres!$D$27:$E$29,2,FALSE)</f>
        <v>0.125</v>
      </c>
      <c r="Q70" s="94">
        <f>VLOOKUP(H70,Paramètres!$D$30:$E$32,2,FALSE)</f>
        <v>0.5</v>
      </c>
      <c r="R70" s="126">
        <f t="shared" si="4"/>
        <v>0.125</v>
      </c>
      <c r="S70" s="96">
        <f t="shared" si="5"/>
        <v>0.5</v>
      </c>
      <c r="T70" s="96">
        <f>J70*Paramètres!$E$33+K70*Paramètres!$E$34+L70*Paramètres!$E$35</f>
        <v>0</v>
      </c>
      <c r="U70" s="96">
        <f>IF(TYPE_APPLI=Paramètres!$O$3,I70*Paramètres!$E$36+TFC!J70*Paramètres!$E$37+K70*Paramètres!$E$38+L70*Paramètres!$E$39,TFC!I70*Paramètres!$E$40+J70*Paramètres!$E$41+K70*Paramètres!$E$42+L70*Paramètres!$E$43)</f>
        <v>0</v>
      </c>
      <c r="V70" s="230">
        <f>N70*Paramètres!$E$44</f>
        <v>0.125</v>
      </c>
      <c r="W70" s="96">
        <f>M70*Paramètres!$E$45/2+N70*Paramètres!$E$45</f>
        <v>0.1875</v>
      </c>
      <c r="X70" s="126">
        <f t="shared" si="6"/>
        <v>0.8125</v>
      </c>
      <c r="Y70" s="134">
        <f t="shared" si="7"/>
        <v>0.9375</v>
      </c>
      <c r="Z70" s="199"/>
      <c r="AA70" s="199"/>
      <c r="AB70" s="199"/>
      <c r="AC70" s="199"/>
    </row>
    <row r="71" spans="1:29" s="29" customFormat="1" ht="71.25" customHeight="1" x14ac:dyDescent="0.25">
      <c r="A71" s="28"/>
      <c r="B71" s="297"/>
      <c r="C71" s="296"/>
      <c r="D71" s="310"/>
      <c r="E71" s="306"/>
      <c r="F71" s="216" t="s">
        <v>258</v>
      </c>
      <c r="G71" s="232" t="s">
        <v>97</v>
      </c>
      <c r="H71" s="235" t="s">
        <v>45</v>
      </c>
      <c r="I71" s="107">
        <v>0</v>
      </c>
      <c r="J71" s="107">
        <v>0</v>
      </c>
      <c r="K71" s="107">
        <v>0</v>
      </c>
      <c r="L71" s="107">
        <v>0</v>
      </c>
      <c r="M71" s="109">
        <v>1</v>
      </c>
      <c r="N71" s="109">
        <v>1</v>
      </c>
      <c r="O71" s="238"/>
      <c r="P71" s="241">
        <f>VLOOKUP(H71,Paramètres!$D$27:$E$29,2,FALSE)</f>
        <v>0.125</v>
      </c>
      <c r="Q71" s="94">
        <f>VLOOKUP(H71,Paramètres!$D$30:$E$32,2,FALSE)</f>
        <v>0.5</v>
      </c>
      <c r="R71" s="126">
        <f t="shared" si="4"/>
        <v>0.125</v>
      </c>
      <c r="S71" s="96">
        <f t="shared" si="5"/>
        <v>0.5</v>
      </c>
      <c r="T71" s="96">
        <f>J71*Paramètres!$E$33+K71*Paramètres!$E$34+L71*Paramètres!$E$35</f>
        <v>0</v>
      </c>
      <c r="U71" s="96">
        <f>IF(TYPE_APPLI=Paramètres!$O$3,I71*Paramètres!$E$36+TFC!J71*Paramètres!$E$37+K71*Paramètres!$E$38+L71*Paramètres!$E$39,TFC!I71*Paramètres!$E$40+J71*Paramètres!$E$41+K71*Paramètres!$E$42+L71*Paramètres!$E$43)</f>
        <v>0</v>
      </c>
      <c r="V71" s="230">
        <f>N71*Paramètres!$E$44</f>
        <v>0.125</v>
      </c>
      <c r="W71" s="96">
        <f>M71*Paramètres!$E$45/2+N71*Paramètres!$E$45</f>
        <v>0.1875</v>
      </c>
      <c r="X71" s="126">
        <f t="shared" si="6"/>
        <v>0.8125</v>
      </c>
      <c r="Y71" s="134">
        <f t="shared" si="7"/>
        <v>0.9375</v>
      </c>
      <c r="Z71" s="199"/>
      <c r="AA71" s="199"/>
      <c r="AB71" s="199"/>
      <c r="AC71" s="199"/>
    </row>
    <row r="72" spans="1:29" s="29" customFormat="1" ht="71.25" customHeight="1" x14ac:dyDescent="0.25">
      <c r="A72" s="28"/>
      <c r="B72" s="297"/>
      <c r="C72" s="296"/>
      <c r="D72" s="310"/>
      <c r="E72" s="306"/>
      <c r="F72" s="216" t="s">
        <v>259</v>
      </c>
      <c r="G72" s="232" t="s">
        <v>97</v>
      </c>
      <c r="H72" s="235" t="s">
        <v>45</v>
      </c>
      <c r="I72" s="107">
        <v>0</v>
      </c>
      <c r="J72" s="107">
        <v>0</v>
      </c>
      <c r="K72" s="107">
        <v>0</v>
      </c>
      <c r="L72" s="107">
        <v>0</v>
      </c>
      <c r="M72" s="109">
        <v>1</v>
      </c>
      <c r="N72" s="109">
        <v>1</v>
      </c>
      <c r="O72" s="238"/>
      <c r="P72" s="241">
        <f>VLOOKUP(H72,Paramètres!$D$27:$E$29,2,FALSE)</f>
        <v>0.125</v>
      </c>
      <c r="Q72" s="94">
        <f>VLOOKUP(H72,Paramètres!$D$30:$E$32,2,FALSE)</f>
        <v>0.5</v>
      </c>
      <c r="R72" s="126">
        <f t="shared" si="4"/>
        <v>0.125</v>
      </c>
      <c r="S72" s="96">
        <f t="shared" si="5"/>
        <v>0.5</v>
      </c>
      <c r="T72" s="96">
        <f>J72*Paramètres!$E$33+K72*Paramètres!$E$34+L72*Paramètres!$E$35</f>
        <v>0</v>
      </c>
      <c r="U72" s="96">
        <f>IF(TYPE_APPLI=Paramètres!$O$3,I72*Paramètres!$E$36+TFC!J72*Paramètres!$E$37+K72*Paramètres!$E$38+L72*Paramètres!$E$39,TFC!I72*Paramètres!$E$40+J72*Paramètres!$E$41+K72*Paramètres!$E$42+L72*Paramètres!$E$43)</f>
        <v>0</v>
      </c>
      <c r="V72" s="230">
        <f>N72*Paramètres!$E$44</f>
        <v>0.125</v>
      </c>
      <c r="W72" s="96">
        <f>M72*Paramètres!$E$45/2+N72*Paramètres!$E$45</f>
        <v>0.1875</v>
      </c>
      <c r="X72" s="126">
        <f t="shared" si="6"/>
        <v>0.8125</v>
      </c>
      <c r="Y72" s="134">
        <f t="shared" si="7"/>
        <v>0.9375</v>
      </c>
      <c r="Z72" s="199"/>
      <c r="AA72" s="199"/>
      <c r="AB72" s="199"/>
      <c r="AC72" s="199"/>
    </row>
    <row r="73" spans="1:29" s="29" customFormat="1" ht="71.25" customHeight="1" thickBot="1" x14ac:dyDescent="0.3">
      <c r="A73" s="28"/>
      <c r="B73" s="297"/>
      <c r="C73" s="289"/>
      <c r="D73" s="370"/>
      <c r="E73" s="312"/>
      <c r="F73" s="216" t="s">
        <v>260</v>
      </c>
      <c r="G73" s="232" t="s">
        <v>97</v>
      </c>
      <c r="H73" s="235" t="s">
        <v>45</v>
      </c>
      <c r="I73" s="107">
        <v>0</v>
      </c>
      <c r="J73" s="107">
        <v>0</v>
      </c>
      <c r="K73" s="107">
        <v>0</v>
      </c>
      <c r="L73" s="107">
        <v>0</v>
      </c>
      <c r="M73" s="109">
        <v>1</v>
      </c>
      <c r="N73" s="109">
        <v>1</v>
      </c>
      <c r="O73" s="238"/>
      <c r="P73" s="241">
        <f>VLOOKUP(H73,Paramètres!$D$27:$E$29,2,FALSE)</f>
        <v>0.125</v>
      </c>
      <c r="Q73" s="94">
        <f>VLOOKUP(H73,Paramètres!$D$30:$E$32,2,FALSE)</f>
        <v>0.5</v>
      </c>
      <c r="R73" s="126">
        <f t="shared" si="4"/>
        <v>0.125</v>
      </c>
      <c r="S73" s="96">
        <f t="shared" si="5"/>
        <v>0.5</v>
      </c>
      <c r="T73" s="96">
        <f>J73*Paramètres!$E$33+K73*Paramètres!$E$34+L73*Paramètres!$E$35</f>
        <v>0</v>
      </c>
      <c r="U73" s="96">
        <f>IF(TYPE_APPLI=Paramètres!$O$3,I73*Paramètres!$E$36+TFC!J73*Paramètres!$E$37+K73*Paramètres!$E$38+L73*Paramètres!$E$39,TFC!I73*Paramètres!$E$40+J73*Paramètres!$E$41+K73*Paramètres!$E$42+L73*Paramètres!$E$43)</f>
        <v>0</v>
      </c>
      <c r="V73" s="230">
        <f>N73*Paramètres!$E$44</f>
        <v>0.125</v>
      </c>
      <c r="W73" s="96">
        <f>M73*Paramètres!$E$45/2+N73*Paramètres!$E$45</f>
        <v>0.1875</v>
      </c>
      <c r="X73" s="126">
        <f t="shared" si="6"/>
        <v>0.8125</v>
      </c>
      <c r="Y73" s="134">
        <f t="shared" si="7"/>
        <v>0.9375</v>
      </c>
      <c r="Z73" s="199"/>
      <c r="AA73" s="199"/>
      <c r="AB73" s="199"/>
      <c r="AC73" s="199"/>
    </row>
    <row r="74" spans="1:29" s="29" customFormat="1" ht="98.25" customHeight="1" x14ac:dyDescent="0.25">
      <c r="A74" s="28"/>
      <c r="B74" s="299" t="s">
        <v>261</v>
      </c>
      <c r="C74" s="300" t="s">
        <v>262</v>
      </c>
      <c r="D74" s="371" t="s">
        <v>263</v>
      </c>
      <c r="E74" s="215" t="s">
        <v>275</v>
      </c>
      <c r="F74" s="186"/>
      <c r="G74" s="231" t="s">
        <v>98</v>
      </c>
      <c r="H74" s="235" t="s">
        <v>45</v>
      </c>
      <c r="I74" s="107">
        <v>0</v>
      </c>
      <c r="J74" s="107">
        <v>0</v>
      </c>
      <c r="K74" s="107">
        <v>0</v>
      </c>
      <c r="L74" s="107">
        <v>0</v>
      </c>
      <c r="M74" s="109">
        <v>1</v>
      </c>
      <c r="N74" s="109">
        <v>1</v>
      </c>
      <c r="O74" s="238"/>
      <c r="P74" s="241">
        <f>VLOOKUP(H74,Paramètres!$D$27:$E$29,2,FALSE)</f>
        <v>0.125</v>
      </c>
      <c r="Q74" s="94">
        <f>VLOOKUP(H74,Paramètres!$D$30:$E$32,2,FALSE)</f>
        <v>0.5</v>
      </c>
      <c r="R74" s="126">
        <f t="shared" si="4"/>
        <v>0.125</v>
      </c>
      <c r="S74" s="96">
        <f t="shared" si="5"/>
        <v>0.5</v>
      </c>
      <c r="T74" s="96">
        <f>J74*Paramètres!$E$33+K74*Paramètres!$E$34+L74*Paramètres!$E$35</f>
        <v>0</v>
      </c>
      <c r="U74" s="96">
        <f>IF(TYPE_APPLI=Paramètres!$O$3,I74*Paramètres!$E$36+TFC!J74*Paramètres!$E$37+K74*Paramètres!$E$38+L74*Paramètres!$E$39,TFC!I74*Paramètres!$E$40+J74*Paramètres!$E$41+K74*Paramètres!$E$42+L74*Paramètres!$E$43)</f>
        <v>0</v>
      </c>
      <c r="V74" s="230">
        <f>N74*Paramètres!$E$44</f>
        <v>0.125</v>
      </c>
      <c r="W74" s="96">
        <f>M74*Paramètres!$E$45/2+N74*Paramètres!$E$45</f>
        <v>0.1875</v>
      </c>
      <c r="X74" s="126">
        <f t="shared" si="6"/>
        <v>0.8125</v>
      </c>
      <c r="Y74" s="134">
        <f t="shared" si="7"/>
        <v>0.9375</v>
      </c>
      <c r="Z74" s="199"/>
      <c r="AA74" s="199"/>
    </row>
    <row r="75" spans="1:29" s="29" customFormat="1" ht="71.25" customHeight="1" thickBot="1" x14ac:dyDescent="0.3">
      <c r="A75" s="28"/>
      <c r="B75" s="297"/>
      <c r="C75" s="296"/>
      <c r="D75" s="372"/>
      <c r="E75" s="215" t="s">
        <v>276</v>
      </c>
      <c r="F75" s="190"/>
      <c r="G75" s="233" t="s">
        <v>98</v>
      </c>
      <c r="H75" s="235" t="s">
        <v>45</v>
      </c>
      <c r="I75" s="107">
        <v>0</v>
      </c>
      <c r="J75" s="107">
        <v>0</v>
      </c>
      <c r="K75" s="107">
        <v>0</v>
      </c>
      <c r="L75" s="107">
        <v>0</v>
      </c>
      <c r="M75" s="109">
        <v>1</v>
      </c>
      <c r="N75" s="109">
        <v>1</v>
      </c>
      <c r="O75" s="238"/>
      <c r="P75" s="241">
        <f>VLOOKUP(H75,Paramètres!$D$27:$E$29,2,FALSE)</f>
        <v>0.125</v>
      </c>
      <c r="Q75" s="94">
        <f>VLOOKUP(H75,Paramètres!$D$30:$E$32,2,FALSE)</f>
        <v>0.5</v>
      </c>
      <c r="R75" s="126">
        <f t="shared" si="4"/>
        <v>0.125</v>
      </c>
      <c r="S75" s="96">
        <f t="shared" si="5"/>
        <v>0.5</v>
      </c>
      <c r="T75" s="96">
        <f>J75*Paramètres!$E$33+K75*Paramètres!$E$34+L75*Paramètres!$E$35</f>
        <v>0</v>
      </c>
      <c r="U75" s="96">
        <f>IF(TYPE_APPLI=Paramètres!$O$3,I75*Paramètres!$E$36+TFC!J75*Paramètres!$E$37+K75*Paramètres!$E$38+L75*Paramètres!$E$39,TFC!I75*Paramètres!$E$40+J75*Paramètres!$E$41+K75*Paramètres!$E$42+L75*Paramètres!$E$43)</f>
        <v>0</v>
      </c>
      <c r="V75" s="230">
        <f>N75*Paramètres!$E$44</f>
        <v>0.125</v>
      </c>
      <c r="W75" s="96">
        <f>M75*Paramètres!$E$45/2+N75*Paramètres!$E$45</f>
        <v>0.1875</v>
      </c>
      <c r="X75" s="126">
        <f t="shared" si="6"/>
        <v>0.8125</v>
      </c>
      <c r="Y75" s="134">
        <f t="shared" si="7"/>
        <v>0.9375</v>
      </c>
      <c r="Z75" s="199"/>
      <c r="AA75" s="199"/>
    </row>
    <row r="76" spans="1:29" s="29" customFormat="1" ht="89.25" customHeight="1" x14ac:dyDescent="0.25">
      <c r="A76" s="28"/>
      <c r="B76" s="297"/>
      <c r="C76" s="296"/>
      <c r="D76" s="372"/>
      <c r="E76" s="215" t="s">
        <v>277</v>
      </c>
      <c r="F76" s="190"/>
      <c r="G76" s="231" t="s">
        <v>98</v>
      </c>
      <c r="H76" s="235" t="s">
        <v>45</v>
      </c>
      <c r="I76" s="107">
        <v>0</v>
      </c>
      <c r="J76" s="107">
        <v>0</v>
      </c>
      <c r="K76" s="107">
        <v>0</v>
      </c>
      <c r="L76" s="107">
        <v>0</v>
      </c>
      <c r="M76" s="109">
        <v>1</v>
      </c>
      <c r="N76" s="109">
        <v>1</v>
      </c>
      <c r="O76" s="238"/>
      <c r="P76" s="241">
        <f>VLOOKUP(H76,Paramètres!$D$27:$E$29,2,FALSE)</f>
        <v>0.125</v>
      </c>
      <c r="Q76" s="94">
        <f>VLOOKUP(H76,Paramètres!$D$30:$E$32,2,FALSE)</f>
        <v>0.5</v>
      </c>
      <c r="R76" s="126">
        <f t="shared" si="4"/>
        <v>0.125</v>
      </c>
      <c r="S76" s="96">
        <f t="shared" si="5"/>
        <v>0.5</v>
      </c>
      <c r="T76" s="96">
        <f>J76*Paramètres!$E$33+K76*Paramètres!$E$34+L76*Paramètres!$E$35</f>
        <v>0</v>
      </c>
      <c r="U76" s="96">
        <f>IF(TYPE_APPLI=Paramètres!$O$3,I76*Paramètres!$E$36+TFC!J76*Paramètres!$E$37+K76*Paramètres!$E$38+L76*Paramètres!$E$39,TFC!I76*Paramètres!$E$40+J76*Paramètres!$E$41+K76*Paramètres!$E$42+L76*Paramètres!$E$43)</f>
        <v>0</v>
      </c>
      <c r="V76" s="230">
        <f>N76*Paramètres!$E$44</f>
        <v>0.125</v>
      </c>
      <c r="W76" s="96">
        <f>M76*Paramètres!$E$45/2+N76*Paramètres!$E$45</f>
        <v>0.1875</v>
      </c>
      <c r="X76" s="126">
        <f t="shared" si="6"/>
        <v>0.8125</v>
      </c>
      <c r="Y76" s="134">
        <f t="shared" si="7"/>
        <v>0.9375</v>
      </c>
      <c r="Z76" s="199"/>
      <c r="AA76" s="199"/>
    </row>
    <row r="77" spans="1:29" s="29" customFormat="1" ht="71.25" customHeight="1" thickBot="1" x14ac:dyDescent="0.3">
      <c r="A77" s="28"/>
      <c r="B77" s="297"/>
      <c r="C77" s="296"/>
      <c r="D77" s="373"/>
      <c r="E77" s="215" t="s">
        <v>278</v>
      </c>
      <c r="F77" s="190"/>
      <c r="G77" s="233" t="s">
        <v>98</v>
      </c>
      <c r="H77" s="235" t="s">
        <v>45</v>
      </c>
      <c r="I77" s="107">
        <v>0</v>
      </c>
      <c r="J77" s="107">
        <v>0</v>
      </c>
      <c r="K77" s="107">
        <v>0</v>
      </c>
      <c r="L77" s="107">
        <v>0</v>
      </c>
      <c r="M77" s="109">
        <v>1</v>
      </c>
      <c r="N77" s="109">
        <v>1</v>
      </c>
      <c r="O77" s="238"/>
      <c r="P77" s="241">
        <f>VLOOKUP(H77,Paramètres!$D$27:$E$29,2,FALSE)</f>
        <v>0.125</v>
      </c>
      <c r="Q77" s="94">
        <f>VLOOKUP(H77,Paramètres!$D$30:$E$32,2,FALSE)</f>
        <v>0.5</v>
      </c>
      <c r="R77" s="126">
        <f t="shared" si="4"/>
        <v>0.125</v>
      </c>
      <c r="S77" s="96">
        <f t="shared" si="5"/>
        <v>0.5</v>
      </c>
      <c r="T77" s="96">
        <f>J77*Paramètres!$E$33+K77*Paramètres!$E$34+L77*Paramètres!$E$35</f>
        <v>0</v>
      </c>
      <c r="U77" s="96">
        <f>IF(TYPE_APPLI=Paramètres!$O$3,I77*Paramètres!$E$36+TFC!J77*Paramètres!$E$37+K77*Paramètres!$E$38+L77*Paramètres!$E$39,TFC!I77*Paramètres!$E$40+J77*Paramètres!$E$41+K77*Paramètres!$E$42+L77*Paramètres!$E$43)</f>
        <v>0</v>
      </c>
      <c r="V77" s="230">
        <f>N77*Paramètres!$E$44</f>
        <v>0.125</v>
      </c>
      <c r="W77" s="96">
        <f>M77*Paramètres!$E$45/2+N77*Paramètres!$E$45</f>
        <v>0.1875</v>
      </c>
      <c r="X77" s="126">
        <f t="shared" si="6"/>
        <v>0.8125</v>
      </c>
      <c r="Y77" s="134">
        <f t="shared" si="7"/>
        <v>0.9375</v>
      </c>
      <c r="Z77" s="199"/>
      <c r="AA77" s="199"/>
    </row>
    <row r="78" spans="1:29" s="29" customFormat="1" ht="97.5" customHeight="1" thickBot="1" x14ac:dyDescent="0.3">
      <c r="A78" s="28"/>
      <c r="B78" s="297"/>
      <c r="C78" s="296"/>
      <c r="D78" s="374" t="s">
        <v>264</v>
      </c>
      <c r="E78" s="215" t="s">
        <v>279</v>
      </c>
      <c r="F78" s="190"/>
      <c r="G78" s="231" t="s">
        <v>98</v>
      </c>
      <c r="H78" s="235" t="s">
        <v>45</v>
      </c>
      <c r="I78" s="107">
        <v>0</v>
      </c>
      <c r="J78" s="107">
        <v>0</v>
      </c>
      <c r="K78" s="107">
        <v>0</v>
      </c>
      <c r="L78" s="107">
        <v>0</v>
      </c>
      <c r="M78" s="109">
        <v>1</v>
      </c>
      <c r="N78" s="109">
        <v>1</v>
      </c>
      <c r="O78" s="238"/>
      <c r="P78" s="241">
        <f>VLOOKUP(H78,Paramètres!$D$27:$E$29,2,FALSE)</f>
        <v>0.125</v>
      </c>
      <c r="Q78" s="94">
        <f>VLOOKUP(H78,Paramètres!$D$30:$E$32,2,FALSE)</f>
        <v>0.5</v>
      </c>
      <c r="R78" s="126">
        <f t="shared" ref="R78:R121" si="8">IF(ISNA(P78),0,P78)</f>
        <v>0.125</v>
      </c>
      <c r="S78" s="96">
        <f t="shared" ref="S78:S121" si="9">IF(ISNA(Q78),0,Q78)</f>
        <v>0.5</v>
      </c>
      <c r="T78" s="96">
        <f>J78*Paramètres!$E$33+K78*Paramètres!$E$34+L78*Paramètres!$E$35</f>
        <v>0</v>
      </c>
      <c r="U78" s="96">
        <f>IF(TYPE_APPLI=Paramètres!$O$3,I78*Paramètres!$E$36+TFC!J78*Paramètres!$E$37+K78*Paramètres!$E$38+L78*Paramètres!$E$39,TFC!I78*Paramètres!$E$40+J78*Paramètres!$E$41+K78*Paramètres!$E$42+L78*Paramètres!$E$43)</f>
        <v>0</v>
      </c>
      <c r="V78" s="230">
        <f>N78*Paramètres!$E$44</f>
        <v>0.125</v>
      </c>
      <c r="W78" s="96">
        <f>M78*Paramètres!$E$45/2+N78*Paramètres!$E$45</f>
        <v>0.1875</v>
      </c>
      <c r="X78" s="126">
        <f t="shared" ref="X78:X121" si="10">SUM(S78:W78)</f>
        <v>0.8125</v>
      </c>
      <c r="Y78" s="134">
        <f t="shared" ref="Y78:Y121" si="11">R78+X78</f>
        <v>0.9375</v>
      </c>
      <c r="Z78" s="199"/>
      <c r="AA78" s="199"/>
    </row>
    <row r="79" spans="1:29" s="29" customFormat="1" ht="71.25" customHeight="1" x14ac:dyDescent="0.25">
      <c r="A79" s="28"/>
      <c r="B79" s="297"/>
      <c r="C79" s="296"/>
      <c r="D79" s="372"/>
      <c r="E79" s="215" t="s">
        <v>280</v>
      </c>
      <c r="F79" s="190"/>
      <c r="G79" s="231" t="s">
        <v>98</v>
      </c>
      <c r="H79" s="235" t="s">
        <v>45</v>
      </c>
      <c r="I79" s="107">
        <v>0</v>
      </c>
      <c r="J79" s="107">
        <v>0</v>
      </c>
      <c r="K79" s="107">
        <v>0</v>
      </c>
      <c r="L79" s="107">
        <v>0</v>
      </c>
      <c r="M79" s="109">
        <v>1</v>
      </c>
      <c r="N79" s="109">
        <v>1</v>
      </c>
      <c r="O79" s="238"/>
      <c r="P79" s="241">
        <f>VLOOKUP(H79,Paramètres!$D$27:$E$29,2,FALSE)</f>
        <v>0.125</v>
      </c>
      <c r="Q79" s="94">
        <f>VLOOKUP(H79,Paramètres!$D$30:$E$32,2,FALSE)</f>
        <v>0.5</v>
      </c>
      <c r="R79" s="126">
        <f t="shared" si="8"/>
        <v>0.125</v>
      </c>
      <c r="S79" s="96">
        <f t="shared" si="9"/>
        <v>0.5</v>
      </c>
      <c r="T79" s="96">
        <f>J79*Paramètres!$E$33+K79*Paramètres!$E$34+L79*Paramètres!$E$35</f>
        <v>0</v>
      </c>
      <c r="U79" s="96">
        <f>IF(TYPE_APPLI=Paramètres!$O$3,I79*Paramètres!$E$36+TFC!J79*Paramètres!$E$37+K79*Paramètres!$E$38+L79*Paramètres!$E$39,TFC!I79*Paramètres!$E$40+J79*Paramètres!$E$41+K79*Paramètres!$E$42+L79*Paramètres!$E$43)</f>
        <v>0</v>
      </c>
      <c r="V79" s="230">
        <f>N79*Paramètres!$E$44</f>
        <v>0.125</v>
      </c>
      <c r="W79" s="96">
        <f>M79*Paramètres!$E$45/2+N79*Paramètres!$E$45</f>
        <v>0.1875</v>
      </c>
      <c r="X79" s="126">
        <f t="shared" si="10"/>
        <v>0.8125</v>
      </c>
      <c r="Y79" s="134">
        <f t="shared" si="11"/>
        <v>0.9375</v>
      </c>
      <c r="Z79" s="199"/>
      <c r="AA79" s="199"/>
    </row>
    <row r="80" spans="1:29" s="29" customFormat="1" ht="71.25" customHeight="1" thickBot="1" x14ac:dyDescent="0.3">
      <c r="A80" s="28"/>
      <c r="B80" s="297"/>
      <c r="C80" s="296"/>
      <c r="D80" s="372"/>
      <c r="E80" s="215" t="s">
        <v>281</v>
      </c>
      <c r="F80" s="190"/>
      <c r="G80" s="233" t="s">
        <v>98</v>
      </c>
      <c r="H80" s="235" t="s">
        <v>45</v>
      </c>
      <c r="I80" s="107">
        <v>0</v>
      </c>
      <c r="J80" s="107">
        <v>0</v>
      </c>
      <c r="K80" s="107">
        <v>0</v>
      </c>
      <c r="L80" s="107">
        <v>0</v>
      </c>
      <c r="M80" s="109">
        <v>1</v>
      </c>
      <c r="N80" s="109">
        <v>1</v>
      </c>
      <c r="O80" s="238"/>
      <c r="P80" s="241">
        <f>VLOOKUP(H80,Paramètres!$D$27:$E$29,2,FALSE)</f>
        <v>0.125</v>
      </c>
      <c r="Q80" s="94">
        <f>VLOOKUP(H80,Paramètres!$D$30:$E$32,2,FALSE)</f>
        <v>0.5</v>
      </c>
      <c r="R80" s="126">
        <f t="shared" si="8"/>
        <v>0.125</v>
      </c>
      <c r="S80" s="96">
        <f t="shared" si="9"/>
        <v>0.5</v>
      </c>
      <c r="T80" s="96">
        <f>J80*Paramètres!$E$33+K80*Paramètres!$E$34+L80*Paramètres!$E$35</f>
        <v>0</v>
      </c>
      <c r="U80" s="96">
        <f>IF(TYPE_APPLI=Paramètres!$O$3,I80*Paramètres!$E$36+TFC!J80*Paramètres!$E$37+K80*Paramètres!$E$38+L80*Paramètres!$E$39,TFC!I80*Paramètres!$E$40+J80*Paramètres!$E$41+K80*Paramètres!$E$42+L80*Paramètres!$E$43)</f>
        <v>0</v>
      </c>
      <c r="V80" s="230">
        <f>N80*Paramètres!$E$44</f>
        <v>0.125</v>
      </c>
      <c r="W80" s="96">
        <f>M80*Paramètres!$E$45/2+N80*Paramètres!$E$45</f>
        <v>0.1875</v>
      </c>
      <c r="X80" s="126">
        <f t="shared" si="10"/>
        <v>0.8125</v>
      </c>
      <c r="Y80" s="134">
        <f t="shared" si="11"/>
        <v>0.9375</v>
      </c>
      <c r="Z80" s="199"/>
      <c r="AA80" s="199"/>
    </row>
    <row r="81" spans="1:27" s="29" customFormat="1" ht="57" customHeight="1" thickBot="1" x14ac:dyDescent="0.3">
      <c r="A81" s="28"/>
      <c r="B81" s="297"/>
      <c r="C81" s="296"/>
      <c r="D81" s="373"/>
      <c r="E81" s="216" t="s">
        <v>282</v>
      </c>
      <c r="F81" s="188"/>
      <c r="G81" s="231" t="s">
        <v>98</v>
      </c>
      <c r="H81" s="235" t="s">
        <v>45</v>
      </c>
      <c r="I81" s="107">
        <v>0</v>
      </c>
      <c r="J81" s="107">
        <v>0</v>
      </c>
      <c r="K81" s="107">
        <v>0</v>
      </c>
      <c r="L81" s="107">
        <v>0</v>
      </c>
      <c r="M81" s="109">
        <v>1</v>
      </c>
      <c r="N81" s="109">
        <v>1</v>
      </c>
      <c r="O81" s="238"/>
      <c r="P81" s="241">
        <f>VLOOKUP(H81,Paramètres!$D$27:$E$29,2,FALSE)</f>
        <v>0.125</v>
      </c>
      <c r="Q81" s="94">
        <f>VLOOKUP(H81,Paramètres!$D$30:$E$32,2,FALSE)</f>
        <v>0.5</v>
      </c>
      <c r="R81" s="126">
        <f t="shared" si="8"/>
        <v>0.125</v>
      </c>
      <c r="S81" s="96">
        <f t="shared" si="9"/>
        <v>0.5</v>
      </c>
      <c r="T81" s="96">
        <f>J81*Paramètres!$E$33+K81*Paramètres!$E$34+L81*Paramètres!$E$35</f>
        <v>0</v>
      </c>
      <c r="U81" s="96">
        <f>IF(TYPE_APPLI=Paramètres!$O$3,I81*Paramètres!$E$36+TFC!J81*Paramètres!$E$37+K81*Paramètres!$E$38+L81*Paramètres!$E$39,TFC!I81*Paramètres!$E$40+J81*Paramètres!$E$41+K81*Paramètres!$E$42+L81*Paramètres!$E$43)</f>
        <v>0</v>
      </c>
      <c r="V81" s="230">
        <f>N81*Paramètres!$E$44</f>
        <v>0.125</v>
      </c>
      <c r="W81" s="96">
        <f>M81*Paramètres!$E$45/2+N81*Paramètres!$E$45</f>
        <v>0.1875</v>
      </c>
      <c r="X81" s="126">
        <f t="shared" si="10"/>
        <v>0.8125</v>
      </c>
      <c r="Y81" s="134">
        <f t="shared" si="11"/>
        <v>0.9375</v>
      </c>
      <c r="Z81" s="199"/>
      <c r="AA81" s="199"/>
    </row>
    <row r="82" spans="1:27" s="29" customFormat="1" ht="82.5" customHeight="1" thickBot="1" x14ac:dyDescent="0.3">
      <c r="A82" s="30"/>
      <c r="B82" s="297"/>
      <c r="C82" s="295" t="s">
        <v>265</v>
      </c>
      <c r="D82" s="374" t="s">
        <v>212</v>
      </c>
      <c r="E82" s="216" t="s">
        <v>283</v>
      </c>
      <c r="F82" s="188"/>
      <c r="G82" s="233" t="s">
        <v>98</v>
      </c>
      <c r="H82" s="235" t="s">
        <v>45</v>
      </c>
      <c r="I82" s="107">
        <v>0</v>
      </c>
      <c r="J82" s="107">
        <v>0</v>
      </c>
      <c r="K82" s="107">
        <v>0</v>
      </c>
      <c r="L82" s="107">
        <v>0</v>
      </c>
      <c r="M82" s="109">
        <v>1</v>
      </c>
      <c r="N82" s="109">
        <v>1</v>
      </c>
      <c r="O82" s="238"/>
      <c r="P82" s="241">
        <f>VLOOKUP(H82,Paramètres!$D$27:$E$29,2,FALSE)</f>
        <v>0.125</v>
      </c>
      <c r="Q82" s="94">
        <f>VLOOKUP(H82,Paramètres!$D$30:$E$32,2,FALSE)</f>
        <v>0.5</v>
      </c>
      <c r="R82" s="126">
        <f t="shared" si="8"/>
        <v>0.125</v>
      </c>
      <c r="S82" s="96">
        <f t="shared" si="9"/>
        <v>0.5</v>
      </c>
      <c r="T82" s="96">
        <f>J82*Paramètres!$E$33+K82*Paramètres!$E$34+L82*Paramètres!$E$35</f>
        <v>0</v>
      </c>
      <c r="U82" s="96">
        <f>IF(TYPE_APPLI=Paramètres!$O$3,I82*Paramètres!$E$36+TFC!J82*Paramètres!$E$37+K82*Paramètres!$E$38+L82*Paramètres!$E$39,TFC!I82*Paramètres!$E$40+J82*Paramètres!$E$41+K82*Paramètres!$E$42+L82*Paramètres!$E$43)</f>
        <v>0</v>
      </c>
      <c r="V82" s="230">
        <f>N82*Paramètres!$E$44</f>
        <v>0.125</v>
      </c>
      <c r="W82" s="96">
        <f>M82*Paramètres!$E$45/2+N82*Paramètres!$E$45</f>
        <v>0.1875</v>
      </c>
      <c r="X82" s="126">
        <f t="shared" si="10"/>
        <v>0.8125</v>
      </c>
      <c r="Y82" s="134">
        <f t="shared" si="11"/>
        <v>0.9375</v>
      </c>
    </row>
    <row r="83" spans="1:27" s="29" customFormat="1" ht="48" customHeight="1" thickBot="1" x14ac:dyDescent="0.3">
      <c r="A83" s="220"/>
      <c r="B83" s="297"/>
      <c r="C83" s="296"/>
      <c r="D83" s="372"/>
      <c r="E83" s="216" t="s">
        <v>284</v>
      </c>
      <c r="F83" s="188"/>
      <c r="G83" s="231" t="s">
        <v>98</v>
      </c>
      <c r="H83" s="235" t="s">
        <v>45</v>
      </c>
      <c r="I83" s="107">
        <v>0</v>
      </c>
      <c r="J83" s="107">
        <v>0</v>
      </c>
      <c r="K83" s="107">
        <v>0</v>
      </c>
      <c r="L83" s="107">
        <v>0</v>
      </c>
      <c r="M83" s="109">
        <v>1</v>
      </c>
      <c r="N83" s="109">
        <v>1</v>
      </c>
      <c r="O83" s="238"/>
      <c r="P83" s="241">
        <f>VLOOKUP(H83,Paramètres!$D$27:$E$29,2,FALSE)</f>
        <v>0.125</v>
      </c>
      <c r="Q83" s="94">
        <f>VLOOKUP(H83,Paramètres!$D$30:$E$32,2,FALSE)</f>
        <v>0.5</v>
      </c>
      <c r="R83" s="126">
        <f t="shared" si="8"/>
        <v>0.125</v>
      </c>
      <c r="S83" s="96">
        <f t="shared" si="9"/>
        <v>0.5</v>
      </c>
      <c r="T83" s="96">
        <f>J83*Paramètres!$E$33+K83*Paramètres!$E$34+L83*Paramètres!$E$35</f>
        <v>0</v>
      </c>
      <c r="U83" s="96">
        <f>IF(TYPE_APPLI=Paramètres!$O$3,I83*Paramètres!$E$36+TFC!J83*Paramètres!$E$37+K83*Paramètres!$E$38+L83*Paramètres!$E$39,TFC!I83*Paramètres!$E$40+J83*Paramètres!$E$41+K83*Paramètres!$E$42+L83*Paramètres!$E$43)</f>
        <v>0</v>
      </c>
      <c r="V83" s="230">
        <f>N83*Paramètres!$E$44</f>
        <v>0.125</v>
      </c>
      <c r="W83" s="96">
        <f>M83*Paramètres!$E$45/2+N83*Paramètres!$E$45</f>
        <v>0.1875</v>
      </c>
      <c r="X83" s="126">
        <f t="shared" si="10"/>
        <v>0.8125</v>
      </c>
      <c r="Y83" s="134">
        <f t="shared" si="11"/>
        <v>0.9375</v>
      </c>
    </row>
    <row r="84" spans="1:27" s="29" customFormat="1" ht="48" customHeight="1" x14ac:dyDescent="0.25">
      <c r="A84" s="220"/>
      <c r="B84" s="297"/>
      <c r="C84" s="296"/>
      <c r="D84" s="372"/>
      <c r="E84" s="216" t="s">
        <v>285</v>
      </c>
      <c r="F84" s="188"/>
      <c r="G84" s="231" t="s">
        <v>98</v>
      </c>
      <c r="H84" s="235" t="s">
        <v>45</v>
      </c>
      <c r="I84" s="107">
        <v>0</v>
      </c>
      <c r="J84" s="107">
        <v>0</v>
      </c>
      <c r="K84" s="107">
        <v>0</v>
      </c>
      <c r="L84" s="107">
        <v>0</v>
      </c>
      <c r="M84" s="109">
        <v>1</v>
      </c>
      <c r="N84" s="109">
        <v>1</v>
      </c>
      <c r="O84" s="238"/>
      <c r="P84" s="241">
        <f>VLOOKUP(H84,Paramètres!$D$27:$E$29,2,FALSE)</f>
        <v>0.125</v>
      </c>
      <c r="Q84" s="94">
        <f>VLOOKUP(H84,Paramètres!$D$30:$E$32,2,FALSE)</f>
        <v>0.5</v>
      </c>
      <c r="R84" s="126">
        <f t="shared" si="8"/>
        <v>0.125</v>
      </c>
      <c r="S84" s="96">
        <f t="shared" si="9"/>
        <v>0.5</v>
      </c>
      <c r="T84" s="96">
        <f>J84*Paramètres!$E$33+K84*Paramètres!$E$34+L84*Paramètres!$E$35</f>
        <v>0</v>
      </c>
      <c r="U84" s="96">
        <f>IF(TYPE_APPLI=Paramètres!$O$3,I84*Paramètres!$E$36+TFC!J84*Paramètres!$E$37+K84*Paramètres!$E$38+L84*Paramètres!$E$39,TFC!I84*Paramètres!$E$40+J84*Paramètres!$E$41+K84*Paramètres!$E$42+L84*Paramètres!$E$43)</f>
        <v>0</v>
      </c>
      <c r="V84" s="230">
        <f>N84*Paramètres!$E$44</f>
        <v>0.125</v>
      </c>
      <c r="W84" s="96">
        <f>M84*Paramètres!$E$45/2+N84*Paramètres!$E$45</f>
        <v>0.1875</v>
      </c>
      <c r="X84" s="126">
        <f t="shared" si="10"/>
        <v>0.8125</v>
      </c>
      <c r="Y84" s="134">
        <f t="shared" si="11"/>
        <v>0.9375</v>
      </c>
    </row>
    <row r="85" spans="1:27" s="29" customFormat="1" ht="69.75" customHeight="1" thickBot="1" x14ac:dyDescent="0.3">
      <c r="A85" s="220"/>
      <c r="B85" s="297"/>
      <c r="C85" s="296"/>
      <c r="D85" s="373"/>
      <c r="E85" s="216" t="s">
        <v>286</v>
      </c>
      <c r="F85" s="188"/>
      <c r="G85" s="233" t="s">
        <v>98</v>
      </c>
      <c r="H85" s="235" t="s">
        <v>45</v>
      </c>
      <c r="I85" s="107">
        <v>0</v>
      </c>
      <c r="J85" s="107">
        <v>0</v>
      </c>
      <c r="K85" s="107">
        <v>0</v>
      </c>
      <c r="L85" s="107">
        <v>0</v>
      </c>
      <c r="M85" s="109">
        <v>1</v>
      </c>
      <c r="N85" s="109">
        <v>1</v>
      </c>
      <c r="O85" s="238"/>
      <c r="P85" s="241">
        <f>VLOOKUP(H85,Paramètres!$D$27:$E$29,2,FALSE)</f>
        <v>0.125</v>
      </c>
      <c r="Q85" s="94">
        <f>VLOOKUP(H85,Paramètres!$D$30:$E$32,2,FALSE)</f>
        <v>0.5</v>
      </c>
      <c r="R85" s="126">
        <f t="shared" si="8"/>
        <v>0.125</v>
      </c>
      <c r="S85" s="96">
        <f t="shared" si="9"/>
        <v>0.5</v>
      </c>
      <c r="T85" s="96">
        <f>J85*Paramètres!$E$33+K85*Paramètres!$E$34+L85*Paramètres!$E$35</f>
        <v>0</v>
      </c>
      <c r="U85" s="96">
        <f>IF(TYPE_APPLI=Paramètres!$O$3,I85*Paramètres!$E$36+TFC!J85*Paramètres!$E$37+K85*Paramètres!$E$38+L85*Paramètres!$E$39,TFC!I85*Paramètres!$E$40+J85*Paramètres!$E$41+K85*Paramètres!$E$42+L85*Paramètres!$E$43)</f>
        <v>0</v>
      </c>
      <c r="V85" s="230">
        <f>N85*Paramètres!$E$44</f>
        <v>0.125</v>
      </c>
      <c r="W85" s="96">
        <f>M85*Paramètres!$E$45/2+N85*Paramètres!$E$45</f>
        <v>0.1875</v>
      </c>
      <c r="X85" s="126">
        <f t="shared" si="10"/>
        <v>0.8125</v>
      </c>
      <c r="Y85" s="134">
        <f t="shared" si="11"/>
        <v>0.9375</v>
      </c>
    </row>
    <row r="86" spans="1:27" s="29" customFormat="1" ht="83.25" customHeight="1" x14ac:dyDescent="0.25">
      <c r="A86" s="220"/>
      <c r="B86" s="297"/>
      <c r="C86" s="296"/>
      <c r="D86" s="374" t="s">
        <v>287</v>
      </c>
      <c r="E86" s="216" t="s">
        <v>288</v>
      </c>
      <c r="F86" s="188"/>
      <c r="G86" s="231" t="s">
        <v>98</v>
      </c>
      <c r="H86" s="235" t="s">
        <v>45</v>
      </c>
      <c r="I86" s="107">
        <v>0</v>
      </c>
      <c r="J86" s="107">
        <v>0</v>
      </c>
      <c r="K86" s="107">
        <v>0</v>
      </c>
      <c r="L86" s="107">
        <v>0</v>
      </c>
      <c r="M86" s="109">
        <v>1</v>
      </c>
      <c r="N86" s="109">
        <v>1</v>
      </c>
      <c r="O86" s="238"/>
      <c r="P86" s="241">
        <f>VLOOKUP(H86,Paramètres!$D$27:$E$29,2,FALSE)</f>
        <v>0.125</v>
      </c>
      <c r="Q86" s="94">
        <f>VLOOKUP(H86,Paramètres!$D$30:$E$32,2,FALSE)</f>
        <v>0.5</v>
      </c>
      <c r="R86" s="126">
        <f t="shared" si="8"/>
        <v>0.125</v>
      </c>
      <c r="S86" s="96">
        <f t="shared" si="9"/>
        <v>0.5</v>
      </c>
      <c r="T86" s="96">
        <f>J86*Paramètres!$E$33+K86*Paramètres!$E$34+L86*Paramètres!$E$35</f>
        <v>0</v>
      </c>
      <c r="U86" s="96">
        <f>IF(TYPE_APPLI=Paramètres!$O$3,I86*Paramètres!$E$36+TFC!J86*Paramètres!$E$37+K86*Paramètres!$E$38+L86*Paramètres!$E$39,TFC!I86*Paramètres!$E$40+J86*Paramètres!$E$41+K86*Paramètres!$E$42+L86*Paramètres!$E$43)</f>
        <v>0</v>
      </c>
      <c r="V86" s="230">
        <f>N86*Paramètres!$E$44</f>
        <v>0.125</v>
      </c>
      <c r="W86" s="96">
        <f>M86*Paramètres!$E$45/2+N86*Paramètres!$E$45</f>
        <v>0.1875</v>
      </c>
      <c r="X86" s="126">
        <f t="shared" si="10"/>
        <v>0.8125</v>
      </c>
      <c r="Y86" s="134">
        <f t="shared" si="11"/>
        <v>0.9375</v>
      </c>
    </row>
    <row r="87" spans="1:27" s="29" customFormat="1" ht="79.5" customHeight="1" thickBot="1" x14ac:dyDescent="0.3">
      <c r="A87" s="220"/>
      <c r="B87" s="297"/>
      <c r="C87" s="296"/>
      <c r="D87" s="372"/>
      <c r="E87" s="216" t="s">
        <v>289</v>
      </c>
      <c r="F87" s="188"/>
      <c r="G87" s="233" t="s">
        <v>98</v>
      </c>
      <c r="H87" s="235" t="s">
        <v>45</v>
      </c>
      <c r="I87" s="107">
        <v>0</v>
      </c>
      <c r="J87" s="107">
        <v>0</v>
      </c>
      <c r="K87" s="107">
        <v>0</v>
      </c>
      <c r="L87" s="107">
        <v>0</v>
      </c>
      <c r="M87" s="109">
        <v>1</v>
      </c>
      <c r="N87" s="109">
        <v>1</v>
      </c>
      <c r="O87" s="238"/>
      <c r="P87" s="241">
        <f>VLOOKUP(H87,Paramètres!$D$27:$E$29,2,FALSE)</f>
        <v>0.125</v>
      </c>
      <c r="Q87" s="94">
        <f>VLOOKUP(H87,Paramètres!$D$30:$E$32,2,FALSE)</f>
        <v>0.5</v>
      </c>
      <c r="R87" s="126">
        <f t="shared" si="8"/>
        <v>0.125</v>
      </c>
      <c r="S87" s="96">
        <f t="shared" si="9"/>
        <v>0.5</v>
      </c>
      <c r="T87" s="96">
        <f>J87*Paramètres!$E$33+K87*Paramètres!$E$34+L87*Paramètres!$E$35</f>
        <v>0</v>
      </c>
      <c r="U87" s="96">
        <f>IF(TYPE_APPLI=Paramètres!$O$3,I87*Paramètres!$E$36+TFC!J87*Paramètres!$E$37+K87*Paramètres!$E$38+L87*Paramètres!$E$39,TFC!I87*Paramètres!$E$40+J87*Paramètres!$E$41+K87*Paramètres!$E$42+L87*Paramètres!$E$43)</f>
        <v>0</v>
      </c>
      <c r="V87" s="230">
        <f>N87*Paramètres!$E$44</f>
        <v>0.125</v>
      </c>
      <c r="W87" s="96">
        <f>M87*Paramètres!$E$45/2+N87*Paramètres!$E$45</f>
        <v>0.1875</v>
      </c>
      <c r="X87" s="126">
        <f t="shared" si="10"/>
        <v>0.8125</v>
      </c>
      <c r="Y87" s="134">
        <f t="shared" si="11"/>
        <v>0.9375</v>
      </c>
    </row>
    <row r="88" spans="1:27" s="29" customFormat="1" ht="63.75" customHeight="1" thickBot="1" x14ac:dyDescent="0.3">
      <c r="A88" s="220"/>
      <c r="B88" s="297"/>
      <c r="C88" s="296"/>
      <c r="D88" s="372"/>
      <c r="E88" s="216" t="s">
        <v>290</v>
      </c>
      <c r="F88" s="188"/>
      <c r="G88" s="231" t="s">
        <v>98</v>
      </c>
      <c r="H88" s="235" t="s">
        <v>45</v>
      </c>
      <c r="I88" s="107">
        <v>0</v>
      </c>
      <c r="J88" s="107">
        <v>0</v>
      </c>
      <c r="K88" s="107">
        <v>0</v>
      </c>
      <c r="L88" s="107">
        <v>0</v>
      </c>
      <c r="M88" s="109">
        <v>1</v>
      </c>
      <c r="N88" s="109">
        <v>1</v>
      </c>
      <c r="O88" s="238"/>
      <c r="P88" s="241">
        <f>VLOOKUP(H88,Paramètres!$D$27:$E$29,2,FALSE)</f>
        <v>0.125</v>
      </c>
      <c r="Q88" s="94">
        <f>VLOOKUP(H88,Paramètres!$D$30:$E$32,2,FALSE)</f>
        <v>0.5</v>
      </c>
      <c r="R88" s="126">
        <f t="shared" si="8"/>
        <v>0.125</v>
      </c>
      <c r="S88" s="96">
        <f t="shared" si="9"/>
        <v>0.5</v>
      </c>
      <c r="T88" s="96">
        <f>J88*Paramètres!$E$33+K88*Paramètres!$E$34+L88*Paramètres!$E$35</f>
        <v>0</v>
      </c>
      <c r="U88" s="96">
        <f>IF(TYPE_APPLI=Paramètres!$O$3,I88*Paramètres!$E$36+TFC!J88*Paramètres!$E$37+K88*Paramètres!$E$38+L88*Paramètres!$E$39,TFC!I88*Paramètres!$E$40+J88*Paramètres!$E$41+K88*Paramètres!$E$42+L88*Paramètres!$E$43)</f>
        <v>0</v>
      </c>
      <c r="V88" s="230">
        <f>N88*Paramètres!$E$44</f>
        <v>0.125</v>
      </c>
      <c r="W88" s="96">
        <f>M88*Paramètres!$E$45/2+N88*Paramètres!$E$45</f>
        <v>0.1875</v>
      </c>
      <c r="X88" s="126">
        <f t="shared" si="10"/>
        <v>0.8125</v>
      </c>
      <c r="Y88" s="134">
        <f t="shared" si="11"/>
        <v>0.9375</v>
      </c>
    </row>
    <row r="89" spans="1:27" s="29" customFormat="1" ht="78" customHeight="1" x14ac:dyDescent="0.25">
      <c r="A89" s="220"/>
      <c r="B89" s="297"/>
      <c r="C89" s="289"/>
      <c r="D89" s="373"/>
      <c r="E89" s="216" t="s">
        <v>291</v>
      </c>
      <c r="F89" s="188"/>
      <c r="G89" s="231" t="s">
        <v>98</v>
      </c>
      <c r="H89" s="235" t="s">
        <v>45</v>
      </c>
      <c r="I89" s="107">
        <v>0</v>
      </c>
      <c r="J89" s="107">
        <v>0</v>
      </c>
      <c r="K89" s="107">
        <v>0</v>
      </c>
      <c r="L89" s="107">
        <v>0</v>
      </c>
      <c r="M89" s="109">
        <v>1</v>
      </c>
      <c r="N89" s="109">
        <v>1</v>
      </c>
      <c r="O89" s="238"/>
      <c r="P89" s="241">
        <f>VLOOKUP(H89,Paramètres!$D$27:$E$29,2,FALSE)</f>
        <v>0.125</v>
      </c>
      <c r="Q89" s="94">
        <f>VLOOKUP(H89,Paramètres!$D$30:$E$32,2,FALSE)</f>
        <v>0.5</v>
      </c>
      <c r="R89" s="126">
        <f t="shared" si="8"/>
        <v>0.125</v>
      </c>
      <c r="S89" s="96">
        <f t="shared" si="9"/>
        <v>0.5</v>
      </c>
      <c r="T89" s="96">
        <f>J89*Paramètres!$E$33+K89*Paramètres!$E$34+L89*Paramètres!$E$35</f>
        <v>0</v>
      </c>
      <c r="U89" s="96">
        <f>IF(TYPE_APPLI=Paramètres!$O$3,I89*Paramètres!$E$36+TFC!J89*Paramètres!$E$37+K89*Paramètres!$E$38+L89*Paramètres!$E$39,TFC!I89*Paramètres!$E$40+J89*Paramètres!$E$41+K89*Paramètres!$E$42+L89*Paramètres!$E$43)</f>
        <v>0</v>
      </c>
      <c r="V89" s="230">
        <f>N89*Paramètres!$E$44</f>
        <v>0.125</v>
      </c>
      <c r="W89" s="96">
        <f>M89*Paramètres!$E$45/2+N89*Paramètres!$E$45</f>
        <v>0.1875</v>
      </c>
      <c r="X89" s="126">
        <f t="shared" si="10"/>
        <v>0.8125</v>
      </c>
      <c r="Y89" s="134">
        <f t="shared" si="11"/>
        <v>0.9375</v>
      </c>
    </row>
    <row r="90" spans="1:27" s="29" customFormat="1" ht="91.5" customHeight="1" thickBot="1" x14ac:dyDescent="0.3">
      <c r="A90" s="218"/>
      <c r="B90" s="301" t="s">
        <v>266</v>
      </c>
      <c r="C90" s="302" t="s">
        <v>267</v>
      </c>
      <c r="D90" s="309" t="s">
        <v>268</v>
      </c>
      <c r="E90" s="189" t="s">
        <v>292</v>
      </c>
      <c r="F90" s="190"/>
      <c r="G90" s="233" t="s">
        <v>98</v>
      </c>
      <c r="H90" s="235" t="s">
        <v>45</v>
      </c>
      <c r="I90" s="107">
        <v>0</v>
      </c>
      <c r="J90" s="107">
        <v>0</v>
      </c>
      <c r="K90" s="107">
        <v>0</v>
      </c>
      <c r="L90" s="107">
        <v>0</v>
      </c>
      <c r="M90" s="109">
        <v>1</v>
      </c>
      <c r="N90" s="109">
        <v>1</v>
      </c>
      <c r="O90" s="238"/>
      <c r="P90" s="241">
        <f>VLOOKUP(H90,Paramètres!$D$27:$E$29,2,FALSE)</f>
        <v>0.125</v>
      </c>
      <c r="Q90" s="94">
        <f>VLOOKUP(H90,Paramètres!$D$30:$E$32,2,FALSE)</f>
        <v>0.5</v>
      </c>
      <c r="R90" s="126">
        <f t="shared" si="8"/>
        <v>0.125</v>
      </c>
      <c r="S90" s="96">
        <f t="shared" si="9"/>
        <v>0.5</v>
      </c>
      <c r="T90" s="96">
        <f>J90*Paramètres!$E$33+K90*Paramètres!$E$34+L90*Paramètres!$E$35</f>
        <v>0</v>
      </c>
      <c r="U90" s="96">
        <f>IF(TYPE_APPLI=Paramètres!$O$3,I90*Paramètres!$E$36+TFC!J90*Paramètres!$E$37+K90*Paramètres!$E$38+L90*Paramètres!$E$39,TFC!I90*Paramètres!$E$40+J90*Paramètres!$E$41+K90*Paramètres!$E$42+L90*Paramètres!$E$43)</f>
        <v>0</v>
      </c>
      <c r="V90" s="230">
        <f>N90*Paramètres!$E$44</f>
        <v>0.125</v>
      </c>
      <c r="W90" s="96">
        <f>M90*Paramètres!$E$45/2+N90*Paramètres!$E$45</f>
        <v>0.1875</v>
      </c>
      <c r="X90" s="126">
        <f t="shared" si="10"/>
        <v>0.8125</v>
      </c>
      <c r="Y90" s="134">
        <f t="shared" si="11"/>
        <v>0.9375</v>
      </c>
    </row>
    <row r="91" spans="1:27" s="29" customFormat="1" ht="91.5" customHeight="1" x14ac:dyDescent="0.25">
      <c r="A91" s="218"/>
      <c r="B91" s="301"/>
      <c r="C91" s="302"/>
      <c r="D91" s="310"/>
      <c r="E91" s="215" t="s">
        <v>293</v>
      </c>
      <c r="F91" s="190"/>
      <c r="G91" s="231" t="s">
        <v>98</v>
      </c>
      <c r="H91" s="235" t="s">
        <v>45</v>
      </c>
      <c r="I91" s="107">
        <v>0</v>
      </c>
      <c r="J91" s="107">
        <v>0</v>
      </c>
      <c r="K91" s="107">
        <v>0</v>
      </c>
      <c r="L91" s="107">
        <v>0</v>
      </c>
      <c r="M91" s="109">
        <v>1</v>
      </c>
      <c r="N91" s="109">
        <v>1</v>
      </c>
      <c r="O91" s="238"/>
      <c r="P91" s="241">
        <f>VLOOKUP(H91,Paramètres!$D$27:$E$29,2,FALSE)</f>
        <v>0.125</v>
      </c>
      <c r="Q91" s="94">
        <f>VLOOKUP(H91,Paramètres!$D$30:$E$32,2,FALSE)</f>
        <v>0.5</v>
      </c>
      <c r="R91" s="126">
        <f t="shared" si="8"/>
        <v>0.125</v>
      </c>
      <c r="S91" s="96">
        <f t="shared" si="9"/>
        <v>0.5</v>
      </c>
      <c r="T91" s="96">
        <f>J91*Paramètres!$E$33+K91*Paramètres!$E$34+L91*Paramètres!$E$35</f>
        <v>0</v>
      </c>
      <c r="U91" s="96">
        <f>IF(TYPE_APPLI=Paramètres!$O$3,I91*Paramètres!$E$36+TFC!J91*Paramètres!$E$37+K91*Paramètres!$E$38+L91*Paramètres!$E$39,TFC!I91*Paramètres!$E$40+J91*Paramètres!$E$41+K91*Paramètres!$E$42+L91*Paramètres!$E$43)</f>
        <v>0</v>
      </c>
      <c r="V91" s="230">
        <f>N91*Paramètres!$E$44</f>
        <v>0.125</v>
      </c>
      <c r="W91" s="96">
        <f>M91*Paramètres!$E$45/2+N91*Paramètres!$E$45</f>
        <v>0.1875</v>
      </c>
      <c r="X91" s="126">
        <f t="shared" si="10"/>
        <v>0.8125</v>
      </c>
      <c r="Y91" s="134">
        <f t="shared" si="11"/>
        <v>0.9375</v>
      </c>
    </row>
    <row r="92" spans="1:27" s="29" customFormat="1" ht="91.5" customHeight="1" thickBot="1" x14ac:dyDescent="0.3">
      <c r="A92" s="218"/>
      <c r="B92" s="301"/>
      <c r="C92" s="302"/>
      <c r="D92" s="310"/>
      <c r="E92" s="215" t="s">
        <v>294</v>
      </c>
      <c r="F92" s="190"/>
      <c r="G92" s="233" t="s">
        <v>98</v>
      </c>
      <c r="H92" s="235" t="s">
        <v>45</v>
      </c>
      <c r="I92" s="107">
        <v>0</v>
      </c>
      <c r="J92" s="107">
        <v>0</v>
      </c>
      <c r="K92" s="107">
        <v>0</v>
      </c>
      <c r="L92" s="107">
        <v>0</v>
      </c>
      <c r="M92" s="109">
        <v>1</v>
      </c>
      <c r="N92" s="109">
        <v>1</v>
      </c>
      <c r="O92" s="238"/>
      <c r="P92" s="241">
        <f>VLOOKUP(H92,Paramètres!$D$27:$E$29,2,FALSE)</f>
        <v>0.125</v>
      </c>
      <c r="Q92" s="94">
        <f>VLOOKUP(H92,Paramètres!$D$30:$E$32,2,FALSE)</f>
        <v>0.5</v>
      </c>
      <c r="R92" s="126">
        <f t="shared" si="8"/>
        <v>0.125</v>
      </c>
      <c r="S92" s="96">
        <f t="shared" si="9"/>
        <v>0.5</v>
      </c>
      <c r="T92" s="96">
        <f>J92*Paramètres!$E$33+K92*Paramètres!$E$34+L92*Paramètres!$E$35</f>
        <v>0</v>
      </c>
      <c r="U92" s="96">
        <f>IF(TYPE_APPLI=Paramètres!$O$3,I92*Paramètres!$E$36+TFC!J92*Paramètres!$E$37+K92*Paramètres!$E$38+L92*Paramètres!$E$39,TFC!I92*Paramètres!$E$40+J92*Paramètres!$E$41+K92*Paramètres!$E$42+L92*Paramètres!$E$43)</f>
        <v>0</v>
      </c>
      <c r="V92" s="230">
        <f>N92*Paramètres!$E$44</f>
        <v>0.125</v>
      </c>
      <c r="W92" s="96">
        <f>M92*Paramètres!$E$45/2+N92*Paramètres!$E$45</f>
        <v>0.1875</v>
      </c>
      <c r="X92" s="126">
        <f t="shared" si="10"/>
        <v>0.8125</v>
      </c>
      <c r="Y92" s="134">
        <f t="shared" si="11"/>
        <v>0.9375</v>
      </c>
    </row>
    <row r="93" spans="1:27" s="29" customFormat="1" ht="54.75" customHeight="1" thickBot="1" x14ac:dyDescent="0.3">
      <c r="A93" s="218"/>
      <c r="B93" s="301"/>
      <c r="C93" s="302"/>
      <c r="D93" s="311"/>
      <c r="E93" s="215" t="s">
        <v>295</v>
      </c>
      <c r="F93" s="190"/>
      <c r="G93" s="231" t="s">
        <v>98</v>
      </c>
      <c r="H93" s="235" t="s">
        <v>45</v>
      </c>
      <c r="I93" s="107">
        <v>0</v>
      </c>
      <c r="J93" s="107">
        <v>0</v>
      </c>
      <c r="K93" s="107">
        <v>0</v>
      </c>
      <c r="L93" s="107">
        <v>0</v>
      </c>
      <c r="M93" s="109">
        <v>1</v>
      </c>
      <c r="N93" s="109">
        <v>1</v>
      </c>
      <c r="O93" s="238"/>
      <c r="P93" s="241">
        <f>VLOOKUP(H93,Paramètres!$D$27:$E$29,2,FALSE)</f>
        <v>0.125</v>
      </c>
      <c r="Q93" s="94">
        <f>VLOOKUP(H93,Paramètres!$D$30:$E$32,2,FALSE)</f>
        <v>0.5</v>
      </c>
      <c r="R93" s="126">
        <f t="shared" si="8"/>
        <v>0.125</v>
      </c>
      <c r="S93" s="96">
        <f t="shared" si="9"/>
        <v>0.5</v>
      </c>
      <c r="T93" s="96">
        <f>J93*Paramètres!$E$33+K93*Paramètres!$E$34+L93*Paramètres!$E$35</f>
        <v>0</v>
      </c>
      <c r="U93" s="96">
        <f>IF(TYPE_APPLI=Paramètres!$O$3,I93*Paramètres!$E$36+TFC!J93*Paramètres!$E$37+K93*Paramètres!$E$38+L93*Paramètres!$E$39,TFC!I93*Paramètres!$E$40+J93*Paramètres!$E$41+K93*Paramètres!$E$42+L93*Paramètres!$E$43)</f>
        <v>0</v>
      </c>
      <c r="V93" s="230">
        <f>N93*Paramètres!$E$44</f>
        <v>0.125</v>
      </c>
      <c r="W93" s="96">
        <f>M93*Paramètres!$E$45/2+N93*Paramètres!$E$45</f>
        <v>0.1875</v>
      </c>
      <c r="X93" s="126">
        <f t="shared" si="10"/>
        <v>0.8125</v>
      </c>
      <c r="Y93" s="134">
        <f t="shared" si="11"/>
        <v>0.9375</v>
      </c>
    </row>
    <row r="94" spans="1:27" s="29" customFormat="1" ht="54.75" customHeight="1" x14ac:dyDescent="0.25">
      <c r="A94" s="218"/>
      <c r="B94" s="301"/>
      <c r="C94" s="302"/>
      <c r="D94" s="309" t="s">
        <v>269</v>
      </c>
      <c r="E94" s="215" t="s">
        <v>296</v>
      </c>
      <c r="F94" s="190"/>
      <c r="G94" s="231" t="s">
        <v>98</v>
      </c>
      <c r="H94" s="235" t="s">
        <v>45</v>
      </c>
      <c r="I94" s="107">
        <v>0</v>
      </c>
      <c r="J94" s="107">
        <v>0</v>
      </c>
      <c r="K94" s="107">
        <v>0</v>
      </c>
      <c r="L94" s="107">
        <v>0</v>
      </c>
      <c r="M94" s="109">
        <v>1</v>
      </c>
      <c r="N94" s="109">
        <v>1</v>
      </c>
      <c r="O94" s="238"/>
      <c r="P94" s="241">
        <f>VLOOKUP(H94,Paramètres!$D$27:$E$29,2,FALSE)</f>
        <v>0.125</v>
      </c>
      <c r="Q94" s="94">
        <f>VLOOKUP(H94,Paramètres!$D$30:$E$32,2,FALSE)</f>
        <v>0.5</v>
      </c>
      <c r="R94" s="126">
        <f t="shared" si="8"/>
        <v>0.125</v>
      </c>
      <c r="S94" s="96">
        <f t="shared" si="9"/>
        <v>0.5</v>
      </c>
      <c r="T94" s="96">
        <f>J94*Paramètres!$E$33+K94*Paramètres!$E$34+L94*Paramètres!$E$35</f>
        <v>0</v>
      </c>
      <c r="U94" s="96">
        <f>IF(TYPE_APPLI=Paramètres!$O$3,I94*Paramètres!$E$36+TFC!J94*Paramètres!$E$37+K94*Paramètres!$E$38+L94*Paramètres!$E$39,TFC!I94*Paramètres!$E$40+J94*Paramètres!$E$41+K94*Paramètres!$E$42+L94*Paramètres!$E$43)</f>
        <v>0</v>
      </c>
      <c r="V94" s="230">
        <f>N94*Paramètres!$E$44</f>
        <v>0.125</v>
      </c>
      <c r="W94" s="96">
        <f>M94*Paramètres!$E$45/2+N94*Paramètres!$E$45</f>
        <v>0.1875</v>
      </c>
      <c r="X94" s="126">
        <f t="shared" si="10"/>
        <v>0.8125</v>
      </c>
      <c r="Y94" s="134">
        <f t="shared" si="11"/>
        <v>0.9375</v>
      </c>
    </row>
    <row r="95" spans="1:27" s="29" customFormat="1" ht="69" customHeight="1" thickBot="1" x14ac:dyDescent="0.3">
      <c r="A95" s="218"/>
      <c r="B95" s="301"/>
      <c r="C95" s="302"/>
      <c r="D95" s="310"/>
      <c r="E95" s="215" t="s">
        <v>297</v>
      </c>
      <c r="F95" s="190"/>
      <c r="G95" s="233" t="s">
        <v>98</v>
      </c>
      <c r="H95" s="235" t="s">
        <v>45</v>
      </c>
      <c r="I95" s="107">
        <v>0</v>
      </c>
      <c r="J95" s="107">
        <v>0</v>
      </c>
      <c r="K95" s="107">
        <v>0</v>
      </c>
      <c r="L95" s="107">
        <v>0</v>
      </c>
      <c r="M95" s="109">
        <v>1</v>
      </c>
      <c r="N95" s="109">
        <v>1</v>
      </c>
      <c r="O95" s="238"/>
      <c r="P95" s="241">
        <f>VLOOKUP(H95,Paramètres!$D$27:$E$29,2,FALSE)</f>
        <v>0.125</v>
      </c>
      <c r="Q95" s="94">
        <f>VLOOKUP(H95,Paramètres!$D$30:$E$32,2,FALSE)</f>
        <v>0.5</v>
      </c>
      <c r="R95" s="126">
        <f t="shared" si="8"/>
        <v>0.125</v>
      </c>
      <c r="S95" s="96">
        <f t="shared" si="9"/>
        <v>0.5</v>
      </c>
      <c r="T95" s="96">
        <f>J95*Paramètres!$E$33+K95*Paramètres!$E$34+L95*Paramètres!$E$35</f>
        <v>0</v>
      </c>
      <c r="U95" s="96">
        <f>IF(TYPE_APPLI=Paramètres!$O$3,I95*Paramètres!$E$36+TFC!J95*Paramètres!$E$37+K95*Paramètres!$E$38+L95*Paramètres!$E$39,TFC!I95*Paramètres!$E$40+J95*Paramètres!$E$41+K95*Paramètres!$E$42+L95*Paramètres!$E$43)</f>
        <v>0</v>
      </c>
      <c r="V95" s="230">
        <f>N95*Paramètres!$E$44</f>
        <v>0.125</v>
      </c>
      <c r="W95" s="96">
        <f>M95*Paramètres!$E$45/2+N95*Paramètres!$E$45</f>
        <v>0.1875</v>
      </c>
      <c r="X95" s="126">
        <f t="shared" si="10"/>
        <v>0.8125</v>
      </c>
      <c r="Y95" s="134">
        <f t="shared" si="11"/>
        <v>0.9375</v>
      </c>
    </row>
    <row r="96" spans="1:27" s="29" customFormat="1" ht="91.5" customHeight="1" x14ac:dyDescent="0.25">
      <c r="A96" s="218"/>
      <c r="B96" s="301"/>
      <c r="C96" s="302"/>
      <c r="D96" s="310"/>
      <c r="E96" s="215" t="s">
        <v>298</v>
      </c>
      <c r="F96" s="190"/>
      <c r="G96" s="231" t="s">
        <v>98</v>
      </c>
      <c r="H96" s="235" t="s">
        <v>45</v>
      </c>
      <c r="I96" s="107">
        <v>0</v>
      </c>
      <c r="J96" s="107">
        <v>0</v>
      </c>
      <c r="K96" s="107">
        <v>0</v>
      </c>
      <c r="L96" s="107">
        <v>0</v>
      </c>
      <c r="M96" s="109">
        <v>1</v>
      </c>
      <c r="N96" s="109">
        <v>1</v>
      </c>
      <c r="O96" s="238"/>
      <c r="P96" s="241">
        <f>VLOOKUP(H96,Paramètres!$D$27:$E$29,2,FALSE)</f>
        <v>0.125</v>
      </c>
      <c r="Q96" s="94">
        <f>VLOOKUP(H96,Paramètres!$D$30:$E$32,2,FALSE)</f>
        <v>0.5</v>
      </c>
      <c r="R96" s="126">
        <f t="shared" si="8"/>
        <v>0.125</v>
      </c>
      <c r="S96" s="96">
        <f t="shared" si="9"/>
        <v>0.5</v>
      </c>
      <c r="T96" s="96">
        <f>J96*Paramètres!$E$33+K96*Paramètres!$E$34+L96*Paramètres!$E$35</f>
        <v>0</v>
      </c>
      <c r="U96" s="96">
        <f>IF(TYPE_APPLI=Paramètres!$O$3,I96*Paramètres!$E$36+TFC!J96*Paramètres!$E$37+K96*Paramètres!$E$38+L96*Paramètres!$E$39,TFC!I96*Paramètres!$E$40+J96*Paramètres!$E$41+K96*Paramètres!$E$42+L96*Paramètres!$E$43)</f>
        <v>0</v>
      </c>
      <c r="V96" s="230">
        <f>N96*Paramètres!$E$44</f>
        <v>0.125</v>
      </c>
      <c r="W96" s="96">
        <f>M96*Paramètres!$E$45/2+N96*Paramètres!$E$45</f>
        <v>0.1875</v>
      </c>
      <c r="X96" s="126">
        <f t="shared" si="10"/>
        <v>0.8125</v>
      </c>
      <c r="Y96" s="134">
        <f t="shared" si="11"/>
        <v>0.9375</v>
      </c>
    </row>
    <row r="97" spans="1:25" s="29" customFormat="1" ht="54.75" customHeight="1" thickBot="1" x14ac:dyDescent="0.3">
      <c r="A97" s="218"/>
      <c r="B97" s="301"/>
      <c r="C97" s="303"/>
      <c r="D97" s="311"/>
      <c r="E97" s="187" t="s">
        <v>299</v>
      </c>
      <c r="F97" s="188"/>
      <c r="G97" s="233" t="s">
        <v>98</v>
      </c>
      <c r="H97" s="235" t="s">
        <v>45</v>
      </c>
      <c r="I97" s="107">
        <v>0</v>
      </c>
      <c r="J97" s="107">
        <v>0</v>
      </c>
      <c r="K97" s="107">
        <v>0</v>
      </c>
      <c r="L97" s="107">
        <v>0</v>
      </c>
      <c r="M97" s="109">
        <v>1</v>
      </c>
      <c r="N97" s="109">
        <v>1</v>
      </c>
      <c r="O97" s="238"/>
      <c r="P97" s="241">
        <f>VLOOKUP(H97,Paramètres!$D$27:$E$29,2,FALSE)</f>
        <v>0.125</v>
      </c>
      <c r="Q97" s="94">
        <f>VLOOKUP(H97,Paramètres!$D$30:$E$32,2,FALSE)</f>
        <v>0.5</v>
      </c>
      <c r="R97" s="126">
        <f t="shared" si="8"/>
        <v>0.125</v>
      </c>
      <c r="S97" s="96">
        <f t="shared" si="9"/>
        <v>0.5</v>
      </c>
      <c r="T97" s="96">
        <f>J97*Paramètres!$E$33+K97*Paramètres!$E$34+L97*Paramètres!$E$35</f>
        <v>0</v>
      </c>
      <c r="U97" s="96">
        <f>IF(TYPE_APPLI=Paramètres!$O$3,I97*Paramètres!$E$36+TFC!J97*Paramètres!$E$37+K97*Paramètres!$E$38+L97*Paramètres!$E$39,TFC!I97*Paramètres!$E$40+J97*Paramètres!$E$41+K97*Paramètres!$E$42+L97*Paramètres!$E$43)</f>
        <v>0</v>
      </c>
      <c r="V97" s="230">
        <f>N97*Paramètres!$E$44</f>
        <v>0.125</v>
      </c>
      <c r="W97" s="96">
        <f>M97*Paramètres!$E$45/2+N97*Paramètres!$E$45</f>
        <v>0.1875</v>
      </c>
      <c r="X97" s="126">
        <f t="shared" si="10"/>
        <v>0.8125</v>
      </c>
      <c r="Y97" s="134">
        <f t="shared" si="11"/>
        <v>0.9375</v>
      </c>
    </row>
    <row r="98" spans="1:25" s="29" customFormat="1" ht="71.25" customHeight="1" thickBot="1" x14ac:dyDescent="0.3">
      <c r="A98" s="218"/>
      <c r="B98" s="301"/>
      <c r="C98" s="295" t="s">
        <v>270</v>
      </c>
      <c r="D98" s="309" t="s">
        <v>271</v>
      </c>
      <c r="E98" s="187" t="s">
        <v>300</v>
      </c>
      <c r="F98" s="188"/>
      <c r="G98" s="231" t="s">
        <v>98</v>
      </c>
      <c r="H98" s="235" t="s">
        <v>45</v>
      </c>
      <c r="I98" s="107">
        <v>0</v>
      </c>
      <c r="J98" s="107">
        <v>0</v>
      </c>
      <c r="K98" s="107">
        <v>0</v>
      </c>
      <c r="L98" s="107">
        <v>0</v>
      </c>
      <c r="M98" s="109">
        <v>1</v>
      </c>
      <c r="N98" s="109">
        <v>1</v>
      </c>
      <c r="O98" s="238"/>
      <c r="P98" s="241">
        <f>VLOOKUP(H98,Paramètres!$D$27:$E$29,2,FALSE)</f>
        <v>0.125</v>
      </c>
      <c r="Q98" s="94">
        <f>VLOOKUP(H98,Paramètres!$D$30:$E$32,2,FALSE)</f>
        <v>0.5</v>
      </c>
      <c r="R98" s="126">
        <f t="shared" si="8"/>
        <v>0.125</v>
      </c>
      <c r="S98" s="96">
        <f t="shared" si="9"/>
        <v>0.5</v>
      </c>
      <c r="T98" s="96">
        <f>J98*Paramètres!$E$33+K98*Paramètres!$E$34+L98*Paramètres!$E$35</f>
        <v>0</v>
      </c>
      <c r="U98" s="96">
        <f>IF(TYPE_APPLI=Paramètres!$O$3,I98*Paramètres!$E$36+TFC!J98*Paramètres!$E$37+K98*Paramètres!$E$38+L98*Paramètres!$E$39,TFC!I98*Paramètres!$E$40+J98*Paramètres!$E$41+K98*Paramètres!$E$42+L98*Paramètres!$E$43)</f>
        <v>0</v>
      </c>
      <c r="V98" s="230">
        <f>N98*Paramètres!$E$44</f>
        <v>0.125</v>
      </c>
      <c r="W98" s="96">
        <f>M98*Paramètres!$E$45/2+N98*Paramètres!$E$45</f>
        <v>0.1875</v>
      </c>
      <c r="X98" s="126">
        <f t="shared" si="10"/>
        <v>0.8125</v>
      </c>
      <c r="Y98" s="134">
        <f t="shared" si="11"/>
        <v>0.9375</v>
      </c>
    </row>
    <row r="99" spans="1:25" s="29" customFormat="1" ht="74.25" customHeight="1" x14ac:dyDescent="0.25">
      <c r="A99" s="218"/>
      <c r="B99" s="301"/>
      <c r="C99" s="296"/>
      <c r="D99" s="310"/>
      <c r="E99" s="216" t="s">
        <v>301</v>
      </c>
      <c r="F99" s="188"/>
      <c r="G99" s="231" t="s">
        <v>98</v>
      </c>
      <c r="H99" s="235" t="s">
        <v>45</v>
      </c>
      <c r="I99" s="107">
        <v>0</v>
      </c>
      <c r="J99" s="107">
        <v>0</v>
      </c>
      <c r="K99" s="107">
        <v>0</v>
      </c>
      <c r="L99" s="107">
        <v>0</v>
      </c>
      <c r="M99" s="109">
        <v>1</v>
      </c>
      <c r="N99" s="109">
        <v>1</v>
      </c>
      <c r="O99" s="238"/>
      <c r="P99" s="241">
        <f>VLOOKUP(H99,Paramètres!$D$27:$E$29,2,FALSE)</f>
        <v>0.125</v>
      </c>
      <c r="Q99" s="94">
        <f>VLOOKUP(H99,Paramètres!$D$30:$E$32,2,FALSE)</f>
        <v>0.5</v>
      </c>
      <c r="R99" s="126">
        <f t="shared" si="8"/>
        <v>0.125</v>
      </c>
      <c r="S99" s="96">
        <f t="shared" si="9"/>
        <v>0.5</v>
      </c>
      <c r="T99" s="96">
        <f>J99*Paramètres!$E$33+K99*Paramètres!$E$34+L99*Paramètres!$E$35</f>
        <v>0</v>
      </c>
      <c r="U99" s="96">
        <f>IF(TYPE_APPLI=Paramètres!$O$3,I99*Paramètres!$E$36+TFC!J99*Paramètres!$E$37+K99*Paramètres!$E$38+L99*Paramètres!$E$39,TFC!I99*Paramètres!$E$40+J99*Paramètres!$E$41+K99*Paramètres!$E$42+L99*Paramètres!$E$43)</f>
        <v>0</v>
      </c>
      <c r="V99" s="230">
        <f>N99*Paramètres!$E$44</f>
        <v>0.125</v>
      </c>
      <c r="W99" s="96">
        <f>M99*Paramètres!$E$45/2+N99*Paramètres!$E$45</f>
        <v>0.1875</v>
      </c>
      <c r="X99" s="126">
        <f t="shared" si="10"/>
        <v>0.8125</v>
      </c>
      <c r="Y99" s="134">
        <f t="shared" si="11"/>
        <v>0.9375</v>
      </c>
    </row>
    <row r="100" spans="1:25" s="29" customFormat="1" ht="72.75" customHeight="1" thickBot="1" x14ac:dyDescent="0.3">
      <c r="A100" s="218"/>
      <c r="B100" s="301"/>
      <c r="C100" s="296"/>
      <c r="D100" s="310"/>
      <c r="E100" s="216" t="s">
        <v>302</v>
      </c>
      <c r="F100" s="188"/>
      <c r="G100" s="233" t="s">
        <v>98</v>
      </c>
      <c r="H100" s="235" t="s">
        <v>45</v>
      </c>
      <c r="I100" s="107">
        <v>0</v>
      </c>
      <c r="J100" s="107">
        <v>0</v>
      </c>
      <c r="K100" s="107">
        <v>0</v>
      </c>
      <c r="L100" s="107">
        <v>0</v>
      </c>
      <c r="M100" s="109">
        <v>1</v>
      </c>
      <c r="N100" s="109">
        <v>1</v>
      </c>
      <c r="O100" s="238"/>
      <c r="P100" s="241">
        <f>VLOOKUP(H100,Paramètres!$D$27:$E$29,2,FALSE)</f>
        <v>0.125</v>
      </c>
      <c r="Q100" s="94">
        <f>VLOOKUP(H100,Paramètres!$D$30:$E$32,2,FALSE)</f>
        <v>0.5</v>
      </c>
      <c r="R100" s="126">
        <f t="shared" si="8"/>
        <v>0.125</v>
      </c>
      <c r="S100" s="96">
        <f t="shared" si="9"/>
        <v>0.5</v>
      </c>
      <c r="T100" s="96">
        <f>J100*Paramètres!$E$33+K100*Paramètres!$E$34+L100*Paramètres!$E$35</f>
        <v>0</v>
      </c>
      <c r="U100" s="96">
        <f>IF(TYPE_APPLI=Paramètres!$O$3,I100*Paramètres!$E$36+TFC!J100*Paramètres!$E$37+K100*Paramètres!$E$38+L100*Paramètres!$E$39,TFC!I100*Paramètres!$E$40+J100*Paramètres!$E$41+K100*Paramètres!$E$42+L100*Paramètres!$E$43)</f>
        <v>0</v>
      </c>
      <c r="V100" s="230">
        <f>N100*Paramètres!$E$44</f>
        <v>0.125</v>
      </c>
      <c r="W100" s="96">
        <f>M100*Paramètres!$E$45/2+N100*Paramètres!$E$45</f>
        <v>0.1875</v>
      </c>
      <c r="X100" s="126">
        <f t="shared" si="10"/>
        <v>0.8125</v>
      </c>
      <c r="Y100" s="134">
        <f t="shared" si="11"/>
        <v>0.9375</v>
      </c>
    </row>
    <row r="101" spans="1:25" s="29" customFormat="1" ht="43.5" customHeight="1" x14ac:dyDescent="0.25">
      <c r="A101" s="218"/>
      <c r="B101" s="301"/>
      <c r="C101" s="296"/>
      <c r="D101" s="311"/>
      <c r="E101" s="216" t="s">
        <v>303</v>
      </c>
      <c r="F101" s="188"/>
      <c r="G101" s="231" t="s">
        <v>98</v>
      </c>
      <c r="H101" s="235" t="s">
        <v>45</v>
      </c>
      <c r="I101" s="107">
        <v>0</v>
      </c>
      <c r="J101" s="107">
        <v>0</v>
      </c>
      <c r="K101" s="107">
        <v>0</v>
      </c>
      <c r="L101" s="107">
        <v>0</v>
      </c>
      <c r="M101" s="109">
        <v>1</v>
      </c>
      <c r="N101" s="109">
        <v>1</v>
      </c>
      <c r="O101" s="238"/>
      <c r="P101" s="241">
        <f>VLOOKUP(H101,Paramètres!$D$27:$E$29,2,FALSE)</f>
        <v>0.125</v>
      </c>
      <c r="Q101" s="94">
        <f>VLOOKUP(H101,Paramètres!$D$30:$E$32,2,FALSE)</f>
        <v>0.5</v>
      </c>
      <c r="R101" s="126">
        <f t="shared" si="8"/>
        <v>0.125</v>
      </c>
      <c r="S101" s="96">
        <f t="shared" si="9"/>
        <v>0.5</v>
      </c>
      <c r="T101" s="96">
        <f>J101*Paramètres!$E$33+K101*Paramètres!$E$34+L101*Paramètres!$E$35</f>
        <v>0</v>
      </c>
      <c r="U101" s="96">
        <f>IF(TYPE_APPLI=Paramètres!$O$3,I101*Paramètres!$E$36+TFC!J101*Paramètres!$E$37+K101*Paramètres!$E$38+L101*Paramètres!$E$39,TFC!I101*Paramètres!$E$40+J101*Paramètres!$E$41+K101*Paramètres!$E$42+L101*Paramètres!$E$43)</f>
        <v>0</v>
      </c>
      <c r="V101" s="230">
        <f>N101*Paramètres!$E$44</f>
        <v>0.125</v>
      </c>
      <c r="W101" s="96">
        <f>M101*Paramètres!$E$45/2+N101*Paramètres!$E$45</f>
        <v>0.1875</v>
      </c>
      <c r="X101" s="126">
        <f t="shared" si="10"/>
        <v>0.8125</v>
      </c>
      <c r="Y101" s="134">
        <f t="shared" si="11"/>
        <v>0.9375</v>
      </c>
    </row>
    <row r="102" spans="1:25" s="29" customFormat="1" ht="52.5" customHeight="1" thickBot="1" x14ac:dyDescent="0.3">
      <c r="A102" s="218"/>
      <c r="B102" s="301"/>
      <c r="C102" s="296"/>
      <c r="D102" s="309" t="s">
        <v>272</v>
      </c>
      <c r="E102" s="187" t="s">
        <v>304</v>
      </c>
      <c r="F102" s="188"/>
      <c r="G102" s="233" t="s">
        <v>98</v>
      </c>
      <c r="H102" s="235" t="s">
        <v>45</v>
      </c>
      <c r="I102" s="107">
        <v>0</v>
      </c>
      <c r="J102" s="107">
        <v>0</v>
      </c>
      <c r="K102" s="107">
        <v>0</v>
      </c>
      <c r="L102" s="107">
        <v>0</v>
      </c>
      <c r="M102" s="109">
        <v>1</v>
      </c>
      <c r="N102" s="109">
        <v>1</v>
      </c>
      <c r="O102" s="238"/>
      <c r="P102" s="241">
        <f>VLOOKUP(H102,Paramètres!$D$27:$E$29,2,FALSE)</f>
        <v>0.125</v>
      </c>
      <c r="Q102" s="94">
        <f>VLOOKUP(H102,Paramètres!$D$30:$E$32,2,FALSE)</f>
        <v>0.5</v>
      </c>
      <c r="R102" s="126">
        <f t="shared" si="8"/>
        <v>0.125</v>
      </c>
      <c r="S102" s="96">
        <f t="shared" si="9"/>
        <v>0.5</v>
      </c>
      <c r="T102" s="96">
        <f>J102*Paramètres!$E$33+K102*Paramètres!$E$34+L102*Paramètres!$E$35</f>
        <v>0</v>
      </c>
      <c r="U102" s="96">
        <f>IF(TYPE_APPLI=Paramètres!$O$3,I102*Paramètres!$E$36+TFC!J102*Paramètres!$E$37+K102*Paramètres!$E$38+L102*Paramètres!$E$39,TFC!I102*Paramètres!$E$40+J102*Paramètres!$E$41+K102*Paramètres!$E$42+L102*Paramètres!$E$43)</f>
        <v>0</v>
      </c>
      <c r="V102" s="230">
        <f>N102*Paramètres!$E$44</f>
        <v>0.125</v>
      </c>
      <c r="W102" s="96">
        <f>M102*Paramètres!$E$45/2+N102*Paramètres!$E$45</f>
        <v>0.1875</v>
      </c>
      <c r="X102" s="126">
        <f t="shared" si="10"/>
        <v>0.8125</v>
      </c>
      <c r="Y102" s="134">
        <f t="shared" si="11"/>
        <v>0.9375</v>
      </c>
    </row>
    <row r="103" spans="1:25" s="29" customFormat="1" ht="52.5" customHeight="1" thickBot="1" x14ac:dyDescent="0.3">
      <c r="A103" s="218"/>
      <c r="B103" s="301"/>
      <c r="C103" s="296"/>
      <c r="D103" s="310"/>
      <c r="E103" s="216" t="s">
        <v>305</v>
      </c>
      <c r="F103" s="188"/>
      <c r="G103" s="231" t="s">
        <v>98</v>
      </c>
      <c r="H103" s="235" t="s">
        <v>45</v>
      </c>
      <c r="I103" s="107">
        <v>0</v>
      </c>
      <c r="J103" s="107">
        <v>0</v>
      </c>
      <c r="K103" s="107">
        <v>0</v>
      </c>
      <c r="L103" s="107">
        <v>0</v>
      </c>
      <c r="M103" s="109">
        <v>1</v>
      </c>
      <c r="N103" s="109">
        <v>1</v>
      </c>
      <c r="O103" s="238"/>
      <c r="P103" s="241">
        <f>VLOOKUP(H103,Paramètres!$D$27:$E$29,2,FALSE)</f>
        <v>0.125</v>
      </c>
      <c r="Q103" s="94">
        <f>VLOOKUP(H103,Paramètres!$D$30:$E$32,2,FALSE)</f>
        <v>0.5</v>
      </c>
      <c r="R103" s="126">
        <f t="shared" si="8"/>
        <v>0.125</v>
      </c>
      <c r="S103" s="96">
        <f t="shared" si="9"/>
        <v>0.5</v>
      </c>
      <c r="T103" s="96">
        <f>J103*Paramètres!$E$33+K103*Paramètres!$E$34+L103*Paramètres!$E$35</f>
        <v>0</v>
      </c>
      <c r="U103" s="96">
        <f>IF(TYPE_APPLI=Paramètres!$O$3,I103*Paramètres!$E$36+TFC!J103*Paramètres!$E$37+K103*Paramètres!$E$38+L103*Paramètres!$E$39,TFC!I103*Paramètres!$E$40+J103*Paramètres!$E$41+K103*Paramètres!$E$42+L103*Paramètres!$E$43)</f>
        <v>0</v>
      </c>
      <c r="V103" s="230">
        <f>N103*Paramètres!$E$44</f>
        <v>0.125</v>
      </c>
      <c r="W103" s="96">
        <f>M103*Paramètres!$E$45/2+N103*Paramètres!$E$45</f>
        <v>0.1875</v>
      </c>
      <c r="X103" s="126">
        <f t="shared" si="10"/>
        <v>0.8125</v>
      </c>
      <c r="Y103" s="134">
        <f t="shared" si="11"/>
        <v>0.9375</v>
      </c>
    </row>
    <row r="104" spans="1:25" s="29" customFormat="1" ht="52.5" customHeight="1" x14ac:dyDescent="0.25">
      <c r="A104" s="218"/>
      <c r="B104" s="301"/>
      <c r="C104" s="296"/>
      <c r="D104" s="310"/>
      <c r="E104" s="216" t="s">
        <v>306</v>
      </c>
      <c r="F104" s="188"/>
      <c r="G104" s="231" t="s">
        <v>98</v>
      </c>
      <c r="H104" s="235" t="s">
        <v>45</v>
      </c>
      <c r="I104" s="107">
        <v>0</v>
      </c>
      <c r="J104" s="107">
        <v>0</v>
      </c>
      <c r="K104" s="107">
        <v>0</v>
      </c>
      <c r="L104" s="107">
        <v>0</v>
      </c>
      <c r="M104" s="109">
        <v>1</v>
      </c>
      <c r="N104" s="109">
        <v>1</v>
      </c>
      <c r="O104" s="238"/>
      <c r="P104" s="241">
        <f>VLOOKUP(H104,Paramètres!$D$27:$E$29,2,FALSE)</f>
        <v>0.125</v>
      </c>
      <c r="Q104" s="94">
        <f>VLOOKUP(H104,Paramètres!$D$30:$E$32,2,FALSE)</f>
        <v>0.5</v>
      </c>
      <c r="R104" s="126">
        <f t="shared" si="8"/>
        <v>0.125</v>
      </c>
      <c r="S104" s="96">
        <f t="shared" si="9"/>
        <v>0.5</v>
      </c>
      <c r="T104" s="96">
        <f>J104*Paramètres!$E$33+K104*Paramètres!$E$34+L104*Paramètres!$E$35</f>
        <v>0</v>
      </c>
      <c r="U104" s="96">
        <f>IF(TYPE_APPLI=Paramètres!$O$3,I104*Paramètres!$E$36+TFC!J104*Paramètres!$E$37+K104*Paramètres!$E$38+L104*Paramètres!$E$39,TFC!I104*Paramètres!$E$40+J104*Paramètres!$E$41+K104*Paramètres!$E$42+L104*Paramètres!$E$43)</f>
        <v>0</v>
      </c>
      <c r="V104" s="230">
        <f>N104*Paramètres!$E$44</f>
        <v>0.125</v>
      </c>
      <c r="W104" s="96">
        <f>M104*Paramètres!$E$45/2+N104*Paramètres!$E$45</f>
        <v>0.1875</v>
      </c>
      <c r="X104" s="126">
        <f t="shared" si="10"/>
        <v>0.8125</v>
      </c>
      <c r="Y104" s="134">
        <f t="shared" si="11"/>
        <v>0.9375</v>
      </c>
    </row>
    <row r="105" spans="1:25" s="29" customFormat="1" ht="52.5" customHeight="1" thickBot="1" x14ac:dyDescent="0.3">
      <c r="A105" s="218"/>
      <c r="B105" s="301"/>
      <c r="C105" s="289"/>
      <c r="D105" s="311"/>
      <c r="E105" s="216" t="s">
        <v>307</v>
      </c>
      <c r="F105" s="188"/>
      <c r="G105" s="233" t="s">
        <v>98</v>
      </c>
      <c r="H105" s="235" t="s">
        <v>45</v>
      </c>
      <c r="I105" s="107">
        <v>0</v>
      </c>
      <c r="J105" s="107">
        <v>0</v>
      </c>
      <c r="K105" s="107">
        <v>0</v>
      </c>
      <c r="L105" s="107">
        <v>0</v>
      </c>
      <c r="M105" s="109">
        <v>1</v>
      </c>
      <c r="N105" s="109">
        <v>1</v>
      </c>
      <c r="O105" s="238"/>
      <c r="P105" s="241">
        <f>VLOOKUP(H105,Paramètres!$D$27:$E$29,2,FALSE)</f>
        <v>0.125</v>
      </c>
      <c r="Q105" s="94">
        <f>VLOOKUP(H105,Paramètres!$D$30:$E$32,2,FALSE)</f>
        <v>0.5</v>
      </c>
      <c r="R105" s="126">
        <f t="shared" si="8"/>
        <v>0.125</v>
      </c>
      <c r="S105" s="96">
        <f t="shared" si="9"/>
        <v>0.5</v>
      </c>
      <c r="T105" s="96">
        <f>J105*Paramètres!$E$33+K105*Paramètres!$E$34+L105*Paramètres!$E$35</f>
        <v>0</v>
      </c>
      <c r="U105" s="96">
        <f>IF(TYPE_APPLI=Paramètres!$O$3,I105*Paramètres!$E$36+TFC!J105*Paramètres!$E$37+K105*Paramètres!$E$38+L105*Paramètres!$E$39,TFC!I105*Paramètres!$E$40+J105*Paramètres!$E$41+K105*Paramètres!$E$42+L105*Paramètres!$E$43)</f>
        <v>0</v>
      </c>
      <c r="V105" s="230">
        <f>N105*Paramètres!$E$44</f>
        <v>0.125</v>
      </c>
      <c r="W105" s="96">
        <f>M105*Paramètres!$E$45/2+N105*Paramètres!$E$45</f>
        <v>0.1875</v>
      </c>
      <c r="X105" s="126">
        <f t="shared" si="10"/>
        <v>0.8125</v>
      </c>
      <c r="Y105" s="134">
        <f t="shared" si="11"/>
        <v>0.9375</v>
      </c>
    </row>
    <row r="106" spans="1:25" s="29" customFormat="1" ht="75.75" customHeight="1" thickBot="1" x14ac:dyDescent="0.3">
      <c r="A106" s="218"/>
      <c r="B106" s="301"/>
      <c r="C106" s="219" t="s">
        <v>273</v>
      </c>
      <c r="D106" s="375" t="s">
        <v>274</v>
      </c>
      <c r="E106" s="187"/>
      <c r="F106" s="188"/>
      <c r="G106" s="231" t="s">
        <v>98</v>
      </c>
      <c r="H106" s="235" t="s">
        <v>45</v>
      </c>
      <c r="I106" s="107">
        <v>0</v>
      </c>
      <c r="J106" s="107">
        <v>0</v>
      </c>
      <c r="K106" s="107">
        <v>0</v>
      </c>
      <c r="L106" s="107">
        <v>0</v>
      </c>
      <c r="M106" s="109">
        <v>1</v>
      </c>
      <c r="N106" s="109">
        <v>1</v>
      </c>
      <c r="O106" s="238"/>
      <c r="P106" s="241">
        <f>VLOOKUP(H106,Paramètres!$D$27:$E$29,2,FALSE)</f>
        <v>0.125</v>
      </c>
      <c r="Q106" s="94">
        <f>VLOOKUP(H106,Paramètres!$D$30:$E$32,2,FALSE)</f>
        <v>0.5</v>
      </c>
      <c r="R106" s="126">
        <f t="shared" si="8"/>
        <v>0.125</v>
      </c>
      <c r="S106" s="96">
        <f t="shared" si="9"/>
        <v>0.5</v>
      </c>
      <c r="T106" s="96">
        <f>J106*Paramètres!$E$33+K106*Paramètres!$E$34+L106*Paramètres!$E$35</f>
        <v>0</v>
      </c>
      <c r="U106" s="96">
        <f>IF(TYPE_APPLI=Paramètres!$O$3,I106*Paramètres!$E$36+TFC!J106*Paramètres!$E$37+K106*Paramètres!$E$38+L106*Paramètres!$E$39,TFC!I106*Paramètres!$E$40+J106*Paramètres!$E$41+K106*Paramètres!$E$42+L106*Paramètres!$E$43)</f>
        <v>0</v>
      </c>
      <c r="V106" s="230">
        <f>N106*Paramètres!$E$44</f>
        <v>0.125</v>
      </c>
      <c r="W106" s="96">
        <f>M106*Paramètres!$E$45/2+N106*Paramètres!$E$45</f>
        <v>0.1875</v>
      </c>
      <c r="X106" s="126">
        <f t="shared" si="10"/>
        <v>0.8125</v>
      </c>
      <c r="Y106" s="134">
        <f t="shared" si="11"/>
        <v>0.9375</v>
      </c>
    </row>
    <row r="107" spans="1:25" s="29" customFormat="1" ht="45.75" customHeight="1" thickBot="1" x14ac:dyDescent="0.3">
      <c r="A107" s="218"/>
      <c r="B107" s="314" t="s">
        <v>313</v>
      </c>
      <c r="C107" s="300" t="s">
        <v>312</v>
      </c>
      <c r="D107" s="376" t="s">
        <v>308</v>
      </c>
      <c r="E107" s="185"/>
      <c r="F107" s="185"/>
      <c r="G107" s="233" t="s">
        <v>98</v>
      </c>
      <c r="H107" s="235" t="s">
        <v>45</v>
      </c>
      <c r="I107" s="107">
        <v>0</v>
      </c>
      <c r="J107" s="107">
        <v>0</v>
      </c>
      <c r="K107" s="107">
        <v>0</v>
      </c>
      <c r="L107" s="107">
        <v>0</v>
      </c>
      <c r="M107" s="109">
        <v>1</v>
      </c>
      <c r="N107" s="109">
        <v>1</v>
      </c>
      <c r="O107" s="238"/>
      <c r="P107" s="241">
        <f>VLOOKUP(H107,Paramètres!$D$27:$E$29,2,FALSE)</f>
        <v>0.125</v>
      </c>
      <c r="Q107" s="94">
        <f>VLOOKUP(H107,Paramètres!$D$30:$E$32,2,FALSE)</f>
        <v>0.5</v>
      </c>
      <c r="R107" s="126">
        <f t="shared" si="8"/>
        <v>0.125</v>
      </c>
      <c r="S107" s="96">
        <f t="shared" si="9"/>
        <v>0.5</v>
      </c>
      <c r="T107" s="96">
        <f>J107*Paramètres!$E$33+K107*Paramètres!$E$34+L107*Paramètres!$E$35</f>
        <v>0</v>
      </c>
      <c r="U107" s="96">
        <f>IF(TYPE_APPLI=Paramètres!$O$3,I107*Paramètres!$E$36+TFC!J107*Paramètres!$E$37+K107*Paramètres!$E$38+L107*Paramètres!$E$39,TFC!I107*Paramètres!$E$40+J107*Paramètres!$E$41+K107*Paramètres!$E$42+L107*Paramètres!$E$43)</f>
        <v>0</v>
      </c>
      <c r="V107" s="230">
        <f>N107*Paramètres!$E$44</f>
        <v>0.125</v>
      </c>
      <c r="W107" s="96">
        <f>M107*Paramètres!$E$45/2+N107*Paramètres!$E$45</f>
        <v>0.1875</v>
      </c>
      <c r="X107" s="126">
        <f t="shared" si="10"/>
        <v>0.8125</v>
      </c>
      <c r="Y107" s="134">
        <f t="shared" si="11"/>
        <v>0.9375</v>
      </c>
    </row>
    <row r="108" spans="1:25" s="29" customFormat="1" ht="45.75" customHeight="1" thickBot="1" x14ac:dyDescent="0.3">
      <c r="A108" s="218"/>
      <c r="B108" s="315"/>
      <c r="C108" s="296"/>
      <c r="D108" s="377" t="s">
        <v>309</v>
      </c>
      <c r="E108" s="216"/>
      <c r="F108" s="216"/>
      <c r="G108" s="231" t="s">
        <v>98</v>
      </c>
      <c r="H108" s="235" t="s">
        <v>45</v>
      </c>
      <c r="I108" s="107">
        <v>0</v>
      </c>
      <c r="J108" s="107">
        <v>0</v>
      </c>
      <c r="K108" s="107">
        <v>0</v>
      </c>
      <c r="L108" s="107">
        <v>0</v>
      </c>
      <c r="M108" s="109">
        <v>1</v>
      </c>
      <c r="N108" s="109">
        <v>1</v>
      </c>
      <c r="O108" s="238"/>
      <c r="P108" s="241">
        <f>VLOOKUP(H108,Paramètres!$D$27:$E$29,2,FALSE)</f>
        <v>0.125</v>
      </c>
      <c r="Q108" s="94">
        <f>VLOOKUP(H108,Paramètres!$D$30:$E$32,2,FALSE)</f>
        <v>0.5</v>
      </c>
      <c r="R108" s="126">
        <f t="shared" si="8"/>
        <v>0.125</v>
      </c>
      <c r="S108" s="96">
        <f t="shared" si="9"/>
        <v>0.5</v>
      </c>
      <c r="T108" s="96">
        <f>J108*Paramètres!$E$33+K108*Paramètres!$E$34+L108*Paramètres!$E$35</f>
        <v>0</v>
      </c>
      <c r="U108" s="96">
        <f>IF(TYPE_APPLI=Paramètres!$O$3,I108*Paramètres!$E$36+TFC!J108*Paramètres!$E$37+K108*Paramètres!$E$38+L108*Paramètres!$E$39,TFC!I108*Paramètres!$E$40+J108*Paramètres!$E$41+K108*Paramètres!$E$42+L108*Paramètres!$E$43)</f>
        <v>0</v>
      </c>
      <c r="V108" s="230">
        <f>N108*Paramètres!$E$44</f>
        <v>0.125</v>
      </c>
      <c r="W108" s="96">
        <f>M108*Paramètres!$E$45/2+N108*Paramètres!$E$45</f>
        <v>0.1875</v>
      </c>
      <c r="X108" s="126">
        <f t="shared" si="10"/>
        <v>0.8125</v>
      </c>
      <c r="Y108" s="134">
        <f t="shared" si="11"/>
        <v>0.9375</v>
      </c>
    </row>
    <row r="109" spans="1:25" s="29" customFormat="1" ht="45.75" customHeight="1" x14ac:dyDescent="0.25">
      <c r="A109" s="218"/>
      <c r="B109" s="315"/>
      <c r="C109" s="296"/>
      <c r="D109" s="377" t="s">
        <v>310</v>
      </c>
      <c r="E109" s="216"/>
      <c r="F109" s="216"/>
      <c r="G109" s="231" t="s">
        <v>98</v>
      </c>
      <c r="H109" s="235" t="s">
        <v>45</v>
      </c>
      <c r="I109" s="107">
        <v>0</v>
      </c>
      <c r="J109" s="107">
        <v>0</v>
      </c>
      <c r="K109" s="107">
        <v>0</v>
      </c>
      <c r="L109" s="107">
        <v>0</v>
      </c>
      <c r="M109" s="109">
        <v>1</v>
      </c>
      <c r="N109" s="109">
        <v>1</v>
      </c>
      <c r="O109" s="238"/>
      <c r="P109" s="241">
        <f>VLOOKUP(H109,Paramètres!$D$27:$E$29,2,FALSE)</f>
        <v>0.125</v>
      </c>
      <c r="Q109" s="94">
        <f>VLOOKUP(H109,Paramètres!$D$30:$E$32,2,FALSE)</f>
        <v>0.5</v>
      </c>
      <c r="R109" s="126">
        <f t="shared" si="8"/>
        <v>0.125</v>
      </c>
      <c r="S109" s="96">
        <f t="shared" si="9"/>
        <v>0.5</v>
      </c>
      <c r="T109" s="96">
        <f>J109*Paramètres!$E$33+K109*Paramètres!$E$34+L109*Paramètres!$E$35</f>
        <v>0</v>
      </c>
      <c r="U109" s="96">
        <f>IF(TYPE_APPLI=Paramètres!$O$3,I109*Paramètres!$E$36+TFC!J109*Paramètres!$E$37+K109*Paramètres!$E$38+L109*Paramètres!$E$39,TFC!I109*Paramètres!$E$40+J109*Paramètres!$E$41+K109*Paramètres!$E$42+L109*Paramètres!$E$43)</f>
        <v>0</v>
      </c>
      <c r="V109" s="230">
        <f>N109*Paramètres!$E$44</f>
        <v>0.125</v>
      </c>
      <c r="W109" s="96">
        <f>M109*Paramètres!$E$45/2+N109*Paramètres!$E$45</f>
        <v>0.1875</v>
      </c>
      <c r="X109" s="126">
        <f t="shared" si="10"/>
        <v>0.8125</v>
      </c>
      <c r="Y109" s="134">
        <f t="shared" si="11"/>
        <v>0.9375</v>
      </c>
    </row>
    <row r="110" spans="1:25" s="29" customFormat="1" ht="45.75" customHeight="1" thickBot="1" x14ac:dyDescent="0.3">
      <c r="A110" s="218"/>
      <c r="B110" s="315"/>
      <c r="C110" s="296"/>
      <c r="D110" s="378" t="s">
        <v>311</v>
      </c>
      <c r="E110" s="217"/>
      <c r="F110" s="217"/>
      <c r="G110" s="233" t="s">
        <v>98</v>
      </c>
      <c r="H110" s="235" t="s">
        <v>45</v>
      </c>
      <c r="I110" s="107">
        <v>0</v>
      </c>
      <c r="J110" s="107">
        <v>0</v>
      </c>
      <c r="K110" s="107">
        <v>0</v>
      </c>
      <c r="L110" s="107">
        <v>0</v>
      </c>
      <c r="M110" s="109">
        <v>1</v>
      </c>
      <c r="N110" s="109">
        <v>1</v>
      </c>
      <c r="O110" s="238"/>
      <c r="P110" s="241">
        <f>VLOOKUP(H110,Paramètres!$D$27:$E$29,2,FALSE)</f>
        <v>0.125</v>
      </c>
      <c r="Q110" s="94">
        <f>VLOOKUP(H110,Paramètres!$D$30:$E$32,2,FALSE)</f>
        <v>0.5</v>
      </c>
      <c r="R110" s="126">
        <f t="shared" si="8"/>
        <v>0.125</v>
      </c>
      <c r="S110" s="96">
        <f t="shared" si="9"/>
        <v>0.5</v>
      </c>
      <c r="T110" s="96">
        <f>J110*Paramètres!$E$33+K110*Paramètres!$E$34+L110*Paramètres!$E$35</f>
        <v>0</v>
      </c>
      <c r="U110" s="96">
        <f>IF(TYPE_APPLI=Paramètres!$O$3,I110*Paramètres!$E$36+TFC!J110*Paramètres!$E$37+K110*Paramètres!$E$38+L110*Paramètres!$E$39,TFC!I110*Paramètres!$E$40+J110*Paramètres!$E$41+K110*Paramètres!$E$42+L110*Paramètres!$E$43)</f>
        <v>0</v>
      </c>
      <c r="V110" s="230">
        <f>N110*Paramètres!$E$44</f>
        <v>0.125</v>
      </c>
      <c r="W110" s="96">
        <f>M110*Paramètres!$E$45/2+N110*Paramètres!$E$45</f>
        <v>0.1875</v>
      </c>
      <c r="X110" s="126">
        <f t="shared" si="10"/>
        <v>0.8125</v>
      </c>
      <c r="Y110" s="134">
        <f t="shared" si="11"/>
        <v>0.9375</v>
      </c>
    </row>
    <row r="111" spans="1:25" s="29" customFormat="1" ht="88.5" customHeight="1" x14ac:dyDescent="0.25">
      <c r="A111" s="218"/>
      <c r="B111" s="314" t="s">
        <v>314</v>
      </c>
      <c r="C111" s="300" t="s">
        <v>315</v>
      </c>
      <c r="D111" s="376" t="s">
        <v>316</v>
      </c>
      <c r="E111" s="185"/>
      <c r="F111" s="185"/>
      <c r="G111" s="231"/>
      <c r="H111" s="235" t="s">
        <v>45</v>
      </c>
      <c r="I111" s="107">
        <v>0</v>
      </c>
      <c r="J111" s="107">
        <v>0</v>
      </c>
      <c r="K111" s="107">
        <v>0</v>
      </c>
      <c r="L111" s="107">
        <v>0</v>
      </c>
      <c r="M111" s="109">
        <v>1</v>
      </c>
      <c r="N111" s="109">
        <v>1</v>
      </c>
      <c r="O111" s="238"/>
      <c r="P111" s="241">
        <f>VLOOKUP(H111,Paramètres!$D$27:$E$29,2,FALSE)</f>
        <v>0.125</v>
      </c>
      <c r="Q111" s="94">
        <f>VLOOKUP(H111,Paramètres!$D$30:$E$32,2,FALSE)</f>
        <v>0.5</v>
      </c>
      <c r="R111" s="126">
        <f t="shared" si="8"/>
        <v>0.125</v>
      </c>
      <c r="S111" s="96">
        <f t="shared" si="9"/>
        <v>0.5</v>
      </c>
      <c r="T111" s="96">
        <f>J111*Paramètres!$E$33+K111*Paramètres!$E$34+L111*Paramètres!$E$35</f>
        <v>0</v>
      </c>
      <c r="U111" s="96">
        <f>IF(TYPE_APPLI=Paramètres!$O$3,I111*Paramètres!$E$36+TFC!J111*Paramètres!$E$37+K111*Paramètres!$E$38+L111*Paramètres!$E$39,TFC!I111*Paramètres!$E$40+J111*Paramètres!$E$41+K111*Paramètres!$E$42+L111*Paramètres!$E$43)</f>
        <v>0</v>
      </c>
      <c r="V111" s="230">
        <f>N111*Paramètres!$E$44</f>
        <v>0.125</v>
      </c>
      <c r="W111" s="96">
        <f>M111*Paramètres!$E$45/2+N111*Paramètres!$E$45</f>
        <v>0.1875</v>
      </c>
      <c r="X111" s="126">
        <f t="shared" si="10"/>
        <v>0.8125</v>
      </c>
      <c r="Y111" s="134">
        <f t="shared" si="11"/>
        <v>0.9375</v>
      </c>
    </row>
    <row r="112" spans="1:25" s="29" customFormat="1" ht="45.75" customHeight="1" thickBot="1" x14ac:dyDescent="0.3">
      <c r="A112" s="218"/>
      <c r="B112" s="315"/>
      <c r="C112" s="296"/>
      <c r="D112" s="377" t="s">
        <v>317</v>
      </c>
      <c r="E112" s="216"/>
      <c r="F112" s="216"/>
      <c r="G112" s="233"/>
      <c r="H112" s="235" t="s">
        <v>45</v>
      </c>
      <c r="I112" s="107">
        <v>0</v>
      </c>
      <c r="J112" s="107">
        <v>0</v>
      </c>
      <c r="K112" s="107">
        <v>0</v>
      </c>
      <c r="L112" s="107">
        <v>0</v>
      </c>
      <c r="M112" s="109">
        <v>1</v>
      </c>
      <c r="N112" s="109">
        <v>1</v>
      </c>
      <c r="O112" s="238"/>
      <c r="P112" s="241">
        <f>VLOOKUP(H112,Paramètres!$D$27:$E$29,2,FALSE)</f>
        <v>0.125</v>
      </c>
      <c r="Q112" s="94">
        <f>VLOOKUP(H112,Paramètres!$D$30:$E$32,2,FALSE)</f>
        <v>0.5</v>
      </c>
      <c r="R112" s="126">
        <f t="shared" si="8"/>
        <v>0.125</v>
      </c>
      <c r="S112" s="96">
        <f t="shared" si="9"/>
        <v>0.5</v>
      </c>
      <c r="T112" s="96">
        <f>J112*Paramètres!$E$33+K112*Paramètres!$E$34+L112*Paramètres!$E$35</f>
        <v>0</v>
      </c>
      <c r="U112" s="96">
        <f>IF(TYPE_APPLI=Paramètres!$O$3,I112*Paramètres!$E$36+TFC!J112*Paramètres!$E$37+K112*Paramètres!$E$38+L112*Paramètres!$E$39,TFC!I112*Paramètres!$E$40+J112*Paramètres!$E$41+K112*Paramètres!$E$42+L112*Paramètres!$E$43)</f>
        <v>0</v>
      </c>
      <c r="V112" s="230">
        <f>N112*Paramètres!$E$44</f>
        <v>0.125</v>
      </c>
      <c r="W112" s="96">
        <f>M112*Paramètres!$E$45/2+N112*Paramètres!$E$45</f>
        <v>0.1875</v>
      </c>
      <c r="X112" s="126">
        <f t="shared" si="10"/>
        <v>0.8125</v>
      </c>
      <c r="Y112" s="134">
        <f t="shared" si="11"/>
        <v>0.9375</v>
      </c>
    </row>
    <row r="113" spans="1:25" s="29" customFormat="1" ht="45.75" customHeight="1" thickBot="1" x14ac:dyDescent="0.3">
      <c r="A113" s="218"/>
      <c r="B113" s="315"/>
      <c r="C113" s="289"/>
      <c r="D113" s="377" t="s">
        <v>318</v>
      </c>
      <c r="E113" s="216"/>
      <c r="F113" s="216"/>
      <c r="G113" s="231"/>
      <c r="H113" s="235" t="s">
        <v>45</v>
      </c>
      <c r="I113" s="107">
        <v>0</v>
      </c>
      <c r="J113" s="107">
        <v>0</v>
      </c>
      <c r="K113" s="107">
        <v>0</v>
      </c>
      <c r="L113" s="107">
        <v>0</v>
      </c>
      <c r="M113" s="109">
        <v>1</v>
      </c>
      <c r="N113" s="109">
        <v>1</v>
      </c>
      <c r="O113" s="238"/>
      <c r="P113" s="241">
        <f>VLOOKUP(H113,Paramètres!$D$27:$E$29,2,FALSE)</f>
        <v>0.125</v>
      </c>
      <c r="Q113" s="94">
        <f>VLOOKUP(H113,Paramètres!$D$30:$E$32,2,FALSE)</f>
        <v>0.5</v>
      </c>
      <c r="R113" s="126">
        <f t="shared" si="8"/>
        <v>0.125</v>
      </c>
      <c r="S113" s="96">
        <f t="shared" si="9"/>
        <v>0.5</v>
      </c>
      <c r="T113" s="96">
        <f>J113*Paramètres!$E$33+K113*Paramètres!$E$34+L113*Paramètres!$E$35</f>
        <v>0</v>
      </c>
      <c r="U113" s="96">
        <f>IF(TYPE_APPLI=Paramètres!$O$3,I113*Paramètres!$E$36+TFC!J113*Paramètres!$E$37+K113*Paramètres!$E$38+L113*Paramètres!$E$39,TFC!I113*Paramètres!$E$40+J113*Paramètres!$E$41+K113*Paramètres!$E$42+L113*Paramètres!$E$43)</f>
        <v>0</v>
      </c>
      <c r="V113" s="230">
        <f>N113*Paramètres!$E$44</f>
        <v>0.125</v>
      </c>
      <c r="W113" s="96">
        <f>M113*Paramètres!$E$45/2+N113*Paramètres!$E$45</f>
        <v>0.1875</v>
      </c>
      <c r="X113" s="126">
        <f t="shared" si="10"/>
        <v>0.8125</v>
      </c>
      <c r="Y113" s="134">
        <f t="shared" si="11"/>
        <v>0.9375</v>
      </c>
    </row>
    <row r="114" spans="1:25" s="29" customFormat="1" ht="45.75" customHeight="1" x14ac:dyDescent="0.25">
      <c r="A114" s="218"/>
      <c r="B114" s="315"/>
      <c r="C114" s="295" t="s">
        <v>319</v>
      </c>
      <c r="D114" s="377" t="s">
        <v>320</v>
      </c>
      <c r="E114" s="216"/>
      <c r="F114" s="216"/>
      <c r="G114" s="231"/>
      <c r="H114" s="235" t="s">
        <v>45</v>
      </c>
      <c r="I114" s="107">
        <v>0</v>
      </c>
      <c r="J114" s="107">
        <v>0</v>
      </c>
      <c r="K114" s="107">
        <v>0</v>
      </c>
      <c r="L114" s="107">
        <v>0</v>
      </c>
      <c r="M114" s="109">
        <v>1</v>
      </c>
      <c r="N114" s="109">
        <v>1</v>
      </c>
      <c r="O114" s="238"/>
      <c r="P114" s="241">
        <f>VLOOKUP(H114,Paramètres!$D$27:$E$29,2,FALSE)</f>
        <v>0.125</v>
      </c>
      <c r="Q114" s="94">
        <f>VLOOKUP(H114,Paramètres!$D$30:$E$32,2,FALSE)</f>
        <v>0.5</v>
      </c>
      <c r="R114" s="126">
        <f t="shared" si="8"/>
        <v>0.125</v>
      </c>
      <c r="S114" s="96">
        <f t="shared" si="9"/>
        <v>0.5</v>
      </c>
      <c r="T114" s="96">
        <f>J114*Paramètres!$E$33+K114*Paramètres!$E$34+L114*Paramètres!$E$35</f>
        <v>0</v>
      </c>
      <c r="U114" s="96">
        <f>IF(TYPE_APPLI=Paramètres!$O$3,I114*Paramètres!$E$36+TFC!J114*Paramètres!$E$37+K114*Paramètres!$E$38+L114*Paramètres!$E$39,TFC!I114*Paramètres!$E$40+J114*Paramètres!$E$41+K114*Paramètres!$E$42+L114*Paramètres!$E$43)</f>
        <v>0</v>
      </c>
      <c r="V114" s="230">
        <f>N114*Paramètres!$E$44</f>
        <v>0.125</v>
      </c>
      <c r="W114" s="96">
        <f>M114*Paramètres!$E$45/2+N114*Paramètres!$E$45</f>
        <v>0.1875</v>
      </c>
      <c r="X114" s="126">
        <f t="shared" si="10"/>
        <v>0.8125</v>
      </c>
      <c r="Y114" s="134">
        <f t="shared" si="11"/>
        <v>0.9375</v>
      </c>
    </row>
    <row r="115" spans="1:25" s="29" customFormat="1" ht="45.75" customHeight="1" thickBot="1" x14ac:dyDescent="0.3">
      <c r="A115" s="218"/>
      <c r="B115" s="315"/>
      <c r="C115" s="296"/>
      <c r="D115" s="377" t="s">
        <v>321</v>
      </c>
      <c r="E115" s="216"/>
      <c r="F115" s="216"/>
      <c r="G115" s="233"/>
      <c r="H115" s="235" t="s">
        <v>45</v>
      </c>
      <c r="I115" s="107">
        <v>0</v>
      </c>
      <c r="J115" s="107">
        <v>0</v>
      </c>
      <c r="K115" s="107">
        <v>0</v>
      </c>
      <c r="L115" s="107">
        <v>0</v>
      </c>
      <c r="M115" s="109">
        <v>1</v>
      </c>
      <c r="N115" s="109">
        <v>1</v>
      </c>
      <c r="O115" s="238"/>
      <c r="P115" s="241">
        <f>VLOOKUP(H115,Paramètres!$D$27:$E$29,2,FALSE)</f>
        <v>0.125</v>
      </c>
      <c r="Q115" s="94">
        <f>VLOOKUP(H115,Paramètres!$D$30:$E$32,2,FALSE)</f>
        <v>0.5</v>
      </c>
      <c r="R115" s="126">
        <f t="shared" si="8"/>
        <v>0.125</v>
      </c>
      <c r="S115" s="96">
        <f t="shared" si="9"/>
        <v>0.5</v>
      </c>
      <c r="T115" s="96">
        <f>J115*Paramètres!$E$33+K115*Paramètres!$E$34+L115*Paramètres!$E$35</f>
        <v>0</v>
      </c>
      <c r="U115" s="96">
        <f>IF(TYPE_APPLI=Paramètres!$O$3,I115*Paramètres!$E$36+TFC!J115*Paramètres!$E$37+K115*Paramètres!$E$38+L115*Paramètres!$E$39,TFC!I115*Paramètres!$E$40+J115*Paramètres!$E$41+K115*Paramètres!$E$42+L115*Paramètres!$E$43)</f>
        <v>0</v>
      </c>
      <c r="V115" s="230">
        <f>N115*Paramètres!$E$44</f>
        <v>0.125</v>
      </c>
      <c r="W115" s="96">
        <f>M115*Paramètres!$E$45/2+N115*Paramètres!$E$45</f>
        <v>0.1875</v>
      </c>
      <c r="X115" s="126">
        <f t="shared" si="10"/>
        <v>0.8125</v>
      </c>
      <c r="Y115" s="134">
        <f t="shared" si="11"/>
        <v>0.9375</v>
      </c>
    </row>
    <row r="116" spans="1:25" s="29" customFormat="1" ht="45.75" customHeight="1" thickBot="1" x14ac:dyDescent="0.3">
      <c r="A116" s="218"/>
      <c r="B116" s="316"/>
      <c r="C116" s="313"/>
      <c r="D116" s="379" t="s">
        <v>322</v>
      </c>
      <c r="E116" s="221"/>
      <c r="F116" s="221"/>
      <c r="G116" s="231"/>
      <c r="H116" s="235" t="s">
        <v>45</v>
      </c>
      <c r="I116" s="107">
        <v>0</v>
      </c>
      <c r="J116" s="107">
        <v>0</v>
      </c>
      <c r="K116" s="107">
        <v>0</v>
      </c>
      <c r="L116" s="107">
        <v>0</v>
      </c>
      <c r="M116" s="109">
        <v>1</v>
      </c>
      <c r="N116" s="109">
        <v>1</v>
      </c>
      <c r="O116" s="238"/>
      <c r="P116" s="241">
        <f>VLOOKUP(H116,Paramètres!$D$27:$E$29,2,FALSE)</f>
        <v>0.125</v>
      </c>
      <c r="Q116" s="94">
        <f>VLOOKUP(H116,Paramètres!$D$30:$E$32,2,FALSE)</f>
        <v>0.5</v>
      </c>
      <c r="R116" s="126">
        <f t="shared" si="8"/>
        <v>0.125</v>
      </c>
      <c r="S116" s="96">
        <f t="shared" si="9"/>
        <v>0.5</v>
      </c>
      <c r="T116" s="96">
        <f>J116*Paramètres!$E$33+K116*Paramètres!$E$34+L116*Paramètres!$E$35</f>
        <v>0</v>
      </c>
      <c r="U116" s="96">
        <f>IF(TYPE_APPLI=Paramètres!$O$3,I116*Paramètres!$E$36+TFC!J116*Paramètres!$E$37+K116*Paramètres!$E$38+L116*Paramètres!$E$39,TFC!I116*Paramètres!$E$40+J116*Paramètres!$E$41+K116*Paramètres!$E$42+L116*Paramètres!$E$43)</f>
        <v>0</v>
      </c>
      <c r="V116" s="230">
        <f>N116*Paramètres!$E$44</f>
        <v>0.125</v>
      </c>
      <c r="W116" s="96">
        <f>M116*Paramètres!$E$45/2+N116*Paramètres!$E$45</f>
        <v>0.1875</v>
      </c>
      <c r="X116" s="126">
        <f t="shared" si="10"/>
        <v>0.8125</v>
      </c>
      <c r="Y116" s="134">
        <f t="shared" si="11"/>
        <v>0.9375</v>
      </c>
    </row>
    <row r="117" spans="1:25" s="29" customFormat="1" ht="81" customHeight="1" thickBot="1" x14ac:dyDescent="0.3">
      <c r="A117" s="218"/>
      <c r="B117" s="314" t="s">
        <v>323</v>
      </c>
      <c r="C117" s="300" t="s">
        <v>324</v>
      </c>
      <c r="D117" s="376" t="s">
        <v>325</v>
      </c>
      <c r="E117" s="185"/>
      <c r="F117" s="185"/>
      <c r="G117" s="233"/>
      <c r="H117" s="235" t="s">
        <v>45</v>
      </c>
      <c r="I117" s="107">
        <v>0</v>
      </c>
      <c r="J117" s="107">
        <v>0</v>
      </c>
      <c r="K117" s="107">
        <v>0</v>
      </c>
      <c r="L117" s="107">
        <v>0</v>
      </c>
      <c r="M117" s="109">
        <v>1</v>
      </c>
      <c r="N117" s="109">
        <v>1</v>
      </c>
      <c r="O117" s="238"/>
      <c r="P117" s="241">
        <f>VLOOKUP(H117,Paramètres!$D$27:$E$29,2,FALSE)</f>
        <v>0.125</v>
      </c>
      <c r="Q117" s="94">
        <f>VLOOKUP(H117,Paramètres!$D$30:$E$32,2,FALSE)</f>
        <v>0.5</v>
      </c>
      <c r="R117" s="126">
        <f t="shared" si="8"/>
        <v>0.125</v>
      </c>
      <c r="S117" s="96">
        <f t="shared" si="9"/>
        <v>0.5</v>
      </c>
      <c r="T117" s="96">
        <f>J117*Paramètres!$E$33+K117*Paramètres!$E$34+L117*Paramètres!$E$35</f>
        <v>0</v>
      </c>
      <c r="U117" s="96">
        <f>IF(TYPE_APPLI=Paramètres!$O$3,I117*Paramètres!$E$36+TFC!J117*Paramètres!$E$37+K117*Paramètres!$E$38+L117*Paramètres!$E$39,TFC!I117*Paramètres!$E$40+J117*Paramètres!$E$41+K117*Paramètres!$E$42+L117*Paramètres!$E$43)</f>
        <v>0</v>
      </c>
      <c r="V117" s="230">
        <f>N117*Paramètres!$E$44</f>
        <v>0.125</v>
      </c>
      <c r="W117" s="96">
        <f>M117*Paramètres!$E$45/2+N117*Paramètres!$E$45</f>
        <v>0.1875</v>
      </c>
      <c r="X117" s="126">
        <f t="shared" si="10"/>
        <v>0.8125</v>
      </c>
      <c r="Y117" s="134">
        <f t="shared" si="11"/>
        <v>0.9375</v>
      </c>
    </row>
    <row r="118" spans="1:25" s="29" customFormat="1" ht="45.75" customHeight="1" thickBot="1" x14ac:dyDescent="0.3">
      <c r="A118" s="218"/>
      <c r="B118" s="315"/>
      <c r="C118" s="296"/>
      <c r="D118" s="377" t="s">
        <v>326</v>
      </c>
      <c r="E118" s="216"/>
      <c r="F118" s="216"/>
      <c r="G118" s="231"/>
      <c r="H118" s="235" t="s">
        <v>45</v>
      </c>
      <c r="I118" s="107">
        <v>0</v>
      </c>
      <c r="J118" s="107">
        <v>0</v>
      </c>
      <c r="K118" s="107">
        <v>0</v>
      </c>
      <c r="L118" s="107">
        <v>0</v>
      </c>
      <c r="M118" s="109">
        <v>1</v>
      </c>
      <c r="N118" s="109">
        <v>1</v>
      </c>
      <c r="O118" s="238"/>
      <c r="P118" s="241">
        <f>VLOOKUP(H118,Paramètres!$D$27:$E$29,2,FALSE)</f>
        <v>0.125</v>
      </c>
      <c r="Q118" s="94">
        <f>VLOOKUP(H118,Paramètres!$D$30:$E$32,2,FALSE)</f>
        <v>0.5</v>
      </c>
      <c r="R118" s="126">
        <f t="shared" si="8"/>
        <v>0.125</v>
      </c>
      <c r="S118" s="96">
        <f t="shared" si="9"/>
        <v>0.5</v>
      </c>
      <c r="T118" s="96">
        <f>J118*Paramètres!$E$33+K118*Paramètres!$E$34+L118*Paramètres!$E$35</f>
        <v>0</v>
      </c>
      <c r="U118" s="96">
        <f>IF(TYPE_APPLI=Paramètres!$O$3,I118*Paramètres!$E$36+TFC!J118*Paramètres!$E$37+K118*Paramètres!$E$38+L118*Paramètres!$E$39,TFC!I118*Paramètres!$E$40+J118*Paramètres!$E$41+K118*Paramètres!$E$42+L118*Paramètres!$E$43)</f>
        <v>0</v>
      </c>
      <c r="V118" s="230">
        <f>N118*Paramètres!$E$44</f>
        <v>0.125</v>
      </c>
      <c r="W118" s="96">
        <f>M118*Paramètres!$E$45/2+N118*Paramètres!$E$45</f>
        <v>0.1875</v>
      </c>
      <c r="X118" s="126">
        <f t="shared" si="10"/>
        <v>0.8125</v>
      </c>
      <c r="Y118" s="134">
        <f t="shared" si="11"/>
        <v>0.9375</v>
      </c>
    </row>
    <row r="119" spans="1:25" s="29" customFormat="1" ht="75.75" customHeight="1" x14ac:dyDescent="0.25">
      <c r="A119" s="218"/>
      <c r="B119" s="315"/>
      <c r="C119" s="289"/>
      <c r="D119" s="377" t="s">
        <v>327</v>
      </c>
      <c r="E119" s="216"/>
      <c r="F119" s="216"/>
      <c r="G119" s="231"/>
      <c r="H119" s="235" t="s">
        <v>45</v>
      </c>
      <c r="I119" s="107">
        <v>0</v>
      </c>
      <c r="J119" s="107">
        <v>0</v>
      </c>
      <c r="K119" s="107">
        <v>0</v>
      </c>
      <c r="L119" s="107">
        <v>0</v>
      </c>
      <c r="M119" s="109">
        <v>1</v>
      </c>
      <c r="N119" s="109">
        <v>1</v>
      </c>
      <c r="O119" s="238"/>
      <c r="P119" s="241">
        <f>VLOOKUP(H119,Paramètres!$D$27:$E$29,2,FALSE)</f>
        <v>0.125</v>
      </c>
      <c r="Q119" s="94">
        <f>VLOOKUP(H119,Paramètres!$D$30:$E$32,2,FALSE)</f>
        <v>0.5</v>
      </c>
      <c r="R119" s="126">
        <f t="shared" si="8"/>
        <v>0.125</v>
      </c>
      <c r="S119" s="96">
        <f t="shared" si="9"/>
        <v>0.5</v>
      </c>
      <c r="T119" s="96">
        <f>J119*Paramètres!$E$33+K119*Paramètres!$E$34+L119*Paramètres!$E$35</f>
        <v>0</v>
      </c>
      <c r="U119" s="96">
        <f>IF(TYPE_APPLI=Paramètres!$O$3,I119*Paramètres!$E$36+TFC!J119*Paramètres!$E$37+K119*Paramètres!$E$38+L119*Paramètres!$E$39,TFC!I119*Paramètres!$E$40+J119*Paramètres!$E$41+K119*Paramètres!$E$42+L119*Paramètres!$E$43)</f>
        <v>0</v>
      </c>
      <c r="V119" s="230">
        <f>N119*Paramètres!$E$44</f>
        <v>0.125</v>
      </c>
      <c r="W119" s="96">
        <f>M119*Paramètres!$E$45/2+N119*Paramètres!$E$45</f>
        <v>0.1875</v>
      </c>
      <c r="X119" s="126">
        <f t="shared" si="10"/>
        <v>0.8125</v>
      </c>
      <c r="Y119" s="134">
        <f t="shared" si="11"/>
        <v>0.9375</v>
      </c>
    </row>
    <row r="120" spans="1:25" s="29" customFormat="1" ht="45.75" customHeight="1" thickBot="1" x14ac:dyDescent="0.3">
      <c r="A120" s="218"/>
      <c r="B120" s="315"/>
      <c r="C120" s="295" t="s">
        <v>328</v>
      </c>
      <c r="D120" s="377" t="s">
        <v>329</v>
      </c>
      <c r="E120" s="216"/>
      <c r="F120" s="216"/>
      <c r="G120" s="233"/>
      <c r="H120" s="235" t="s">
        <v>45</v>
      </c>
      <c r="I120" s="107">
        <v>0</v>
      </c>
      <c r="J120" s="107">
        <v>0</v>
      </c>
      <c r="K120" s="107">
        <v>0</v>
      </c>
      <c r="L120" s="107">
        <v>0</v>
      </c>
      <c r="M120" s="109">
        <v>1</v>
      </c>
      <c r="N120" s="109">
        <v>1</v>
      </c>
      <c r="O120" s="238"/>
      <c r="P120" s="241">
        <f>VLOOKUP(H120,Paramètres!$D$27:$E$29,2,FALSE)</f>
        <v>0.125</v>
      </c>
      <c r="Q120" s="94">
        <f>VLOOKUP(H120,Paramètres!$D$30:$E$32,2,FALSE)</f>
        <v>0.5</v>
      </c>
      <c r="R120" s="126">
        <f t="shared" si="8"/>
        <v>0.125</v>
      </c>
      <c r="S120" s="96">
        <f t="shared" si="9"/>
        <v>0.5</v>
      </c>
      <c r="T120" s="96">
        <f>J120*Paramètres!$E$33+K120*Paramètres!$E$34+L120*Paramètres!$E$35</f>
        <v>0</v>
      </c>
      <c r="U120" s="96">
        <f>IF(TYPE_APPLI=Paramètres!$O$3,I120*Paramètres!$E$36+TFC!J120*Paramètres!$E$37+K120*Paramètres!$E$38+L120*Paramètres!$E$39,TFC!I120*Paramètres!$E$40+J120*Paramètres!$E$41+K120*Paramètres!$E$42+L120*Paramètres!$E$43)</f>
        <v>0</v>
      </c>
      <c r="V120" s="230">
        <f>N120*Paramètres!$E$44</f>
        <v>0.125</v>
      </c>
      <c r="W120" s="96">
        <f>M120*Paramètres!$E$45/2+N120*Paramètres!$E$45</f>
        <v>0.1875</v>
      </c>
      <c r="X120" s="126">
        <f t="shared" si="10"/>
        <v>0.8125</v>
      </c>
      <c r="Y120" s="134">
        <f t="shared" si="11"/>
        <v>0.9375</v>
      </c>
    </row>
    <row r="121" spans="1:25" s="29" customFormat="1" ht="45.75" customHeight="1" thickBot="1" x14ac:dyDescent="0.3">
      <c r="A121" s="218"/>
      <c r="B121" s="316"/>
      <c r="C121" s="313"/>
      <c r="D121" s="379" t="s">
        <v>330</v>
      </c>
      <c r="E121" s="221"/>
      <c r="F121" s="221"/>
      <c r="G121" s="231"/>
      <c r="H121" s="237" t="s">
        <v>45</v>
      </c>
      <c r="I121" s="108">
        <v>0</v>
      </c>
      <c r="J121" s="108">
        <v>0</v>
      </c>
      <c r="K121" s="108">
        <v>0</v>
      </c>
      <c r="L121" s="108">
        <v>0</v>
      </c>
      <c r="M121" s="110">
        <v>1</v>
      </c>
      <c r="N121" s="110">
        <v>1</v>
      </c>
      <c r="O121" s="239"/>
      <c r="P121" s="242">
        <f>VLOOKUP(H121,Paramètres!$D$27:$E$29,2,FALSE)</f>
        <v>0.125</v>
      </c>
      <c r="Q121" s="95">
        <f>VLOOKUP(H121,Paramètres!$D$30:$E$32,2,FALSE)</f>
        <v>0.5</v>
      </c>
      <c r="R121" s="136">
        <f t="shared" si="8"/>
        <v>0.125</v>
      </c>
      <c r="S121" s="97">
        <f t="shared" si="9"/>
        <v>0.5</v>
      </c>
      <c r="T121" s="97">
        <f>J121*Paramètres!$E$33+K121*Paramètres!$E$34+L121*Paramètres!$E$35</f>
        <v>0</v>
      </c>
      <c r="U121" s="97">
        <f>IF(TYPE_APPLI=Paramètres!$O$3,I121*Paramètres!$E$36+TFC!J121*Paramètres!$E$37+K121*Paramètres!$E$38+L121*Paramètres!$E$39,TFC!I121*Paramètres!$E$40+J121*Paramètres!$E$41+K121*Paramètres!$E$42+L121*Paramètres!$E$43)</f>
        <v>0</v>
      </c>
      <c r="V121" s="243">
        <f>N121*Paramètres!$E$44</f>
        <v>0.125</v>
      </c>
      <c r="W121" s="97">
        <f>M121*Paramètres!$E$45/2+N121*Paramètres!$E$45</f>
        <v>0.1875</v>
      </c>
      <c r="X121" s="136">
        <f t="shared" si="10"/>
        <v>0.8125</v>
      </c>
      <c r="Y121" s="137">
        <f t="shared" si="11"/>
        <v>0.9375</v>
      </c>
    </row>
    <row r="122" spans="1:25" ht="19.5" thickBot="1" x14ac:dyDescent="0.3">
      <c r="I122" s="124">
        <f>SUM(I6:I121)</f>
        <v>0</v>
      </c>
      <c r="J122" s="125">
        <f>SUM(J6:J121)</f>
        <v>0</v>
      </c>
      <c r="K122" s="125">
        <f>SUM(K6:K121)</f>
        <v>0</v>
      </c>
      <c r="L122" s="125">
        <f>SUM(L6:L121)</f>
        <v>0</v>
      </c>
      <c r="M122" s="125">
        <f>SUM(M6:M121)</f>
        <v>111</v>
      </c>
      <c r="N122" s="146">
        <f>SUM(N6:N121)</f>
        <v>111</v>
      </c>
      <c r="R122" s="124">
        <f>SUM(R6:R121)</f>
        <v>14.25</v>
      </c>
      <c r="S122" s="125">
        <f>SUM(S6:S121)</f>
        <v>56</v>
      </c>
      <c r="T122" s="125">
        <f>SUM(T6:T121)</f>
        <v>0</v>
      </c>
      <c r="U122" s="125">
        <f>SUM(U6:U121)</f>
        <v>0</v>
      </c>
      <c r="V122" s="125">
        <f>SUM(V6:V121)</f>
        <v>13.875</v>
      </c>
      <c r="W122" s="125">
        <f>SUM(W6:W121)</f>
        <v>20.8125</v>
      </c>
      <c r="X122" s="125">
        <f>SUM(X6:X121)</f>
        <v>90.6875</v>
      </c>
      <c r="Y122" s="144">
        <f>SUM(Y6:Y121)</f>
        <v>104.9375</v>
      </c>
    </row>
    <row r="123" spans="1:25" x14ac:dyDescent="0.25">
      <c r="D123" s="304"/>
      <c r="E123" s="305"/>
      <c r="F123" s="305"/>
      <c r="G123" s="305"/>
      <c r="H123" s="305"/>
    </row>
    <row r="124" spans="1:25" x14ac:dyDescent="0.25">
      <c r="D124" s="305"/>
      <c r="E124" s="305"/>
      <c r="F124" s="305"/>
      <c r="G124" s="305"/>
      <c r="H124" s="305"/>
    </row>
    <row r="125" spans="1:25" ht="15.75" thickBot="1" x14ac:dyDescent="0.3">
      <c r="A125" s="15" t="s">
        <v>70</v>
      </c>
    </row>
    <row r="126" spans="1:25" ht="240" thickBot="1" x14ac:dyDescent="0.3">
      <c r="A126" s="104" t="s">
        <v>107</v>
      </c>
      <c r="B126" s="298" t="s">
        <v>172</v>
      </c>
      <c r="C126" s="298"/>
      <c r="D126" s="298"/>
      <c r="E126" s="298"/>
      <c r="F126" s="298"/>
      <c r="G126" s="298"/>
      <c r="H126" s="298"/>
      <c r="I126" s="24"/>
      <c r="J126" s="24"/>
      <c r="K126" s="24"/>
      <c r="L126" s="24"/>
      <c r="M126" s="24"/>
      <c r="N126" s="24"/>
      <c r="O126" s="24"/>
      <c r="P126" s="24"/>
      <c r="Q126" s="127" t="s">
        <v>106</v>
      </c>
      <c r="R126" s="128" t="s">
        <v>83</v>
      </c>
      <c r="S126" s="129" t="s">
        <v>84</v>
      </c>
      <c r="T126" s="130" t="s">
        <v>85</v>
      </c>
      <c r="U126" s="129" t="s">
        <v>86</v>
      </c>
      <c r="V126" s="130" t="s">
        <v>87</v>
      </c>
      <c r="W126" s="129" t="s">
        <v>100</v>
      </c>
      <c r="X126" s="128" t="s">
        <v>88</v>
      </c>
      <c r="Y126" s="131" t="s">
        <v>89</v>
      </c>
    </row>
    <row r="127" spans="1:25" ht="18.75" x14ac:dyDescent="0.25">
      <c r="Q127" s="132" t="s">
        <v>96</v>
      </c>
      <c r="R127" s="138">
        <f>SUMIF($G$6:$G$121,$Q127,R$6:R$121)</f>
        <v>3.5</v>
      </c>
      <c r="S127" s="98">
        <f>SUMIF($G$6:$G$121,$Q127,S$6:S$121)</f>
        <v>13</v>
      </c>
      <c r="T127" s="98">
        <f>SUMIF($G$6:$G$121,$Q127,T$6:T$121)</f>
        <v>0</v>
      </c>
      <c r="U127" s="98">
        <f>SUMIF($G$6:$G$121,$Q127,U$6:U$121)</f>
        <v>0</v>
      </c>
      <c r="V127" s="98">
        <f>SUMIF($G$6:$G$121,$Q127,V$6:V$121)</f>
        <v>3.125</v>
      </c>
      <c r="W127" s="98">
        <f>SUMIF($G$6:$G$121,$Q127,W$6:W$121)</f>
        <v>4.6875</v>
      </c>
      <c r="X127" s="138">
        <f>SUMIF($G$6:$G$121,$Q127,X$6:X$121)</f>
        <v>20.8125</v>
      </c>
      <c r="Y127" s="141">
        <f>SUMIF($G$6:$G$121,$Q127,Y$6:Y$121)</f>
        <v>24.3125</v>
      </c>
    </row>
    <row r="128" spans="1:25" ht="18.75" x14ac:dyDescent="0.25">
      <c r="Q128" s="133" t="s">
        <v>97</v>
      </c>
      <c r="R128" s="139">
        <f>SUMIF($G$6:$G$121,$Q128,R$6:R$121)</f>
        <v>4.75</v>
      </c>
      <c r="S128" s="96">
        <f>SUMIF($G$6:$G$121,$Q128,S$6:S$121)</f>
        <v>19</v>
      </c>
      <c r="T128" s="96">
        <f>SUMIF($G$6:$G$121,$Q128,T$6:T$121)</f>
        <v>0</v>
      </c>
      <c r="U128" s="96">
        <f>SUMIF($G$6:$G$121,$Q128,U$6:U$121)</f>
        <v>0</v>
      </c>
      <c r="V128" s="96">
        <f>SUMIF($G$6:$G$121,$Q128,V$6:V$121)</f>
        <v>4.75</v>
      </c>
      <c r="W128" s="96">
        <f>SUMIF($G$6:$G$121,$Q128,W$6:W$121)</f>
        <v>7.125</v>
      </c>
      <c r="X128" s="139">
        <f>SUMIF($G$6:$G$121,$Q128,X$6:X$121)</f>
        <v>30.875</v>
      </c>
      <c r="Y128" s="142">
        <f>SUMIF($G$6:$G$121,$Q128,Y$6:Y$121)</f>
        <v>35.625</v>
      </c>
    </row>
    <row r="129" spans="6:25" ht="18.75" x14ac:dyDescent="0.25">
      <c r="F129" s="211"/>
      <c r="Q129" s="133" t="s">
        <v>98</v>
      </c>
      <c r="R129" s="139">
        <f>SUMIF($G$6:$G$121,$Q129,R$6:R$121)</f>
        <v>4.625</v>
      </c>
      <c r="S129" s="96">
        <f>SUMIF($G$6:$G$121,$Q129,S$6:S$121)</f>
        <v>18.5</v>
      </c>
      <c r="T129" s="96">
        <f>SUMIF($G$6:$G$121,$Q129,T$6:T$121)</f>
        <v>0</v>
      </c>
      <c r="U129" s="96">
        <f>SUMIF($G$6:$G$121,$Q129,U$6:U$121)</f>
        <v>0</v>
      </c>
      <c r="V129" s="96">
        <f>SUMIF($G$6:$G$121,$Q129,V$6:V$121)</f>
        <v>4.625</v>
      </c>
      <c r="W129" s="96">
        <f>SUMIF($G$6:$G$121,$Q129,W$6:W$121)</f>
        <v>6.9375</v>
      </c>
      <c r="X129" s="139">
        <f>SUMIF($G$6:$G$121,$Q129,X$6:X$121)</f>
        <v>30.0625</v>
      </c>
      <c r="Y129" s="142">
        <f>SUMIF($G$6:$G$121,$Q129,Y$6:Y$121)</f>
        <v>34.6875</v>
      </c>
    </row>
    <row r="130" spans="6:25" ht="18.75" x14ac:dyDescent="0.25">
      <c r="Q130" s="133" t="s">
        <v>103</v>
      </c>
      <c r="R130" s="139">
        <f>SUMIF($G$6:$G$121,$Q130,R$6:R$121)</f>
        <v>0</v>
      </c>
      <c r="S130" s="96">
        <f>SUMIF($G$6:$G$121,$Q130,S$6:S$121)</f>
        <v>0</v>
      </c>
      <c r="T130" s="96">
        <f>SUMIF($G$6:$G$121,$Q130,T$6:T$121)</f>
        <v>0</v>
      </c>
      <c r="U130" s="96">
        <f>SUMIF($G$6:$G$121,$Q130,U$6:U$121)</f>
        <v>0</v>
      </c>
      <c r="V130" s="96">
        <f>SUMIF($G$6:$G$121,$Q130,V$6:V$121)</f>
        <v>0</v>
      </c>
      <c r="W130" s="96">
        <f>SUMIF($G$6:$G$121,$Q130,W$6:W$121)</f>
        <v>0</v>
      </c>
      <c r="X130" s="139">
        <f>SUMIF($G$6:$G$121,$Q130,X$6:X$121)</f>
        <v>0</v>
      </c>
      <c r="Y130" s="142">
        <f>SUMIF($G$6:$G$121,$Q130,Y$6:Y$121)</f>
        <v>0</v>
      </c>
    </row>
    <row r="131" spans="6:25" ht="18.75" x14ac:dyDescent="0.25">
      <c r="Q131" s="133" t="s">
        <v>104</v>
      </c>
      <c r="R131" s="139">
        <f>SUMIF($G$6:$G$121,$Q131,R$6:R$121)</f>
        <v>0</v>
      </c>
      <c r="S131" s="96">
        <f>SUMIF($G$6:$G$121,$Q131,S$6:S$121)</f>
        <v>0</v>
      </c>
      <c r="T131" s="96">
        <f>SUMIF($G$6:$G$121,$Q131,T$6:T$121)</f>
        <v>0</v>
      </c>
      <c r="U131" s="96">
        <f>SUMIF($G$6:$G$121,$Q131,U$6:U$121)</f>
        <v>0</v>
      </c>
      <c r="V131" s="96">
        <f>SUMIF($G$6:$G$121,$Q131,V$6:V$121)</f>
        <v>0</v>
      </c>
      <c r="W131" s="96">
        <f>SUMIF($G$6:$G$121,$Q131,W$6:W$121)</f>
        <v>0</v>
      </c>
      <c r="X131" s="139">
        <f>SUMIF($G$6:$G$121,$Q131,X$6:X$121)</f>
        <v>0</v>
      </c>
      <c r="Y131" s="142">
        <f>SUMIF($G$6:$G$121,$Q131,Y$6:Y$121)</f>
        <v>0</v>
      </c>
    </row>
    <row r="132" spans="6:25" ht="19.5" thickBot="1" x14ac:dyDescent="0.3">
      <c r="Q132" s="135" t="s">
        <v>105</v>
      </c>
      <c r="R132" s="140">
        <f>SUMIF($G$6:$G$121,$Q132,R$6:R$121)</f>
        <v>0</v>
      </c>
      <c r="S132" s="97">
        <f>SUMIF($G$6:$G$121,$Q132,S$6:S$121)</f>
        <v>0</v>
      </c>
      <c r="T132" s="97">
        <f>SUMIF($G$6:$G$121,$Q132,T$6:T$121)</f>
        <v>0</v>
      </c>
      <c r="U132" s="97">
        <f>SUMIF($G$6:$G$121,$Q132,U$6:U$121)</f>
        <v>0</v>
      </c>
      <c r="V132" s="97">
        <f>SUMIF($G$6:$G$121,$Q132,V$6:V$121)</f>
        <v>0</v>
      </c>
      <c r="W132" s="97">
        <f>SUMIF($G$6:$G$121,$Q132,W$6:W$121)</f>
        <v>0</v>
      </c>
      <c r="X132" s="140">
        <f>SUMIF($G$6:$G$121,$Q132,X$6:X$121)</f>
        <v>0</v>
      </c>
      <c r="Y132" s="143">
        <f>SUMIF($G$6:$G$121,$Q132,Y$6:Y$121)</f>
        <v>0</v>
      </c>
    </row>
    <row r="133" spans="6:25" ht="19.5" thickBot="1" x14ac:dyDescent="0.3">
      <c r="R133" s="124">
        <f>SUM(R127:R132)</f>
        <v>12.875</v>
      </c>
      <c r="S133" s="125">
        <f t="shared" ref="S133:Y133" si="12">SUM(S127:S132)</f>
        <v>50.5</v>
      </c>
      <c r="T133" s="125">
        <f t="shared" si="12"/>
        <v>0</v>
      </c>
      <c r="U133" s="125">
        <f t="shared" si="12"/>
        <v>0</v>
      </c>
      <c r="V133" s="125">
        <f t="shared" si="12"/>
        <v>12.5</v>
      </c>
      <c r="W133" s="125">
        <f t="shared" si="12"/>
        <v>18.75</v>
      </c>
      <c r="X133" s="125">
        <f t="shared" si="12"/>
        <v>81.75</v>
      </c>
      <c r="Y133" s="144">
        <f t="shared" si="12"/>
        <v>94.625</v>
      </c>
    </row>
  </sheetData>
  <sheetProtection selectLockedCells="1"/>
  <mergeCells count="54">
    <mergeCell ref="D6:D10"/>
    <mergeCell ref="C117:C119"/>
    <mergeCell ref="C120:C121"/>
    <mergeCell ref="B117:B121"/>
    <mergeCell ref="B107:B110"/>
    <mergeCell ref="C107:C110"/>
    <mergeCell ref="C111:C113"/>
    <mergeCell ref="C114:C116"/>
    <mergeCell ref="B111:B116"/>
    <mergeCell ref="C82:C89"/>
    <mergeCell ref="D74:D77"/>
    <mergeCell ref="D78:D81"/>
    <mergeCell ref="D82:D85"/>
    <mergeCell ref="D86:D89"/>
    <mergeCell ref="D90:D93"/>
    <mergeCell ref="D94:D97"/>
    <mergeCell ref="D98:D101"/>
    <mergeCell ref="D102:D105"/>
    <mergeCell ref="C98:C105"/>
    <mergeCell ref="E59:E61"/>
    <mergeCell ref="E62:E64"/>
    <mergeCell ref="E65:E67"/>
    <mergeCell ref="D59:D73"/>
    <mergeCell ref="E68:E69"/>
    <mergeCell ref="E70:E73"/>
    <mergeCell ref="C48:C73"/>
    <mergeCell ref="B36:B73"/>
    <mergeCell ref="B126:H126"/>
    <mergeCell ref="B74:B89"/>
    <mergeCell ref="C74:C81"/>
    <mergeCell ref="B90:B106"/>
    <mergeCell ref="C90:C97"/>
    <mergeCell ref="D123:H124"/>
    <mergeCell ref="D36:D39"/>
    <mergeCell ref="D40:D43"/>
    <mergeCell ref="D44:D47"/>
    <mergeCell ref="E48:E50"/>
    <mergeCell ref="E51:E53"/>
    <mergeCell ref="E54:E56"/>
    <mergeCell ref="E57:E58"/>
    <mergeCell ref="D48:D58"/>
    <mergeCell ref="I4:L4"/>
    <mergeCell ref="P4:Y4"/>
    <mergeCell ref="M4:O4"/>
    <mergeCell ref="C36:C47"/>
    <mergeCell ref="B6:B35"/>
    <mergeCell ref="D15:D18"/>
    <mergeCell ref="D19:D22"/>
    <mergeCell ref="D23:D26"/>
    <mergeCell ref="D28:D31"/>
    <mergeCell ref="D32:D35"/>
    <mergeCell ref="D11:D14"/>
    <mergeCell ref="C11:C35"/>
    <mergeCell ref="C6:C10"/>
  </mergeCells>
  <dataValidations count="2">
    <dataValidation type="list" allowBlank="1" showInputMessage="1" showErrorMessage="1" sqref="H6:H121">
      <formula1>"AUCUNE,FACILE,MOYENNE,DIFFICILE"</formula1>
    </dataValidation>
    <dataValidation type="list" allowBlank="1" showInputMessage="1" showErrorMessage="1" sqref="G6:G121">
      <formula1>"0.1,0.2,0.3,0.4,0.5,0.6"</formula1>
    </dataValidation>
  </dataValidations>
  <pageMargins left="0.25" right="0.25" top="0.75" bottom="0.75" header="0.3" footer="0.3"/>
  <pageSetup paperSize="9" scale="34" fitToHeight="0" orientation="landscape" r:id="rId1"/>
  <rowBreaks count="1" manualBreakCount="1">
    <brk id="73" max="24"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pageSetUpPr fitToPage="1"/>
  </sheetPr>
  <dimension ref="A1:BG60"/>
  <sheetViews>
    <sheetView zoomScale="85" zoomScaleNormal="85" workbookViewId="0">
      <selection activeCell="R1" sqref="R1"/>
    </sheetView>
  </sheetViews>
  <sheetFormatPr baseColWidth="10" defaultColWidth="9.140625" defaultRowHeight="15" x14ac:dyDescent="0.25"/>
  <cols>
    <col min="1" max="1" width="50.7109375" style="32" customWidth="1"/>
    <col min="2" max="8" width="8.7109375" style="32" customWidth="1"/>
    <col min="9" max="9" width="18" style="32" customWidth="1"/>
    <col min="10" max="10" width="11.42578125" style="32" bestFit="1" customWidth="1"/>
    <col min="11" max="11" width="22.5703125" style="32" bestFit="1" customWidth="1"/>
    <col min="12" max="12" width="28.140625" style="32" bestFit="1" customWidth="1"/>
    <col min="13" max="13" width="22.5703125" style="32" bestFit="1" customWidth="1"/>
    <col min="14" max="15" width="10.7109375" style="32" customWidth="1"/>
    <col min="16" max="16" width="25.42578125" style="32" customWidth="1"/>
    <col min="17" max="17" width="13.28515625" style="32" customWidth="1"/>
    <col min="18" max="19" width="10.7109375" style="32" customWidth="1"/>
    <col min="20" max="20" width="13.140625" style="32" bestFit="1" customWidth="1"/>
    <col min="21" max="21" width="14.85546875" style="32" customWidth="1"/>
    <col min="22" max="16384" width="9.140625" style="32"/>
  </cols>
  <sheetData>
    <row r="1" spans="1:59" ht="30" customHeight="1" x14ac:dyDescent="0.45">
      <c r="A1" s="31"/>
      <c r="B1" s="31"/>
      <c r="C1" s="31"/>
      <c r="F1" s="33" t="s">
        <v>0</v>
      </c>
      <c r="G1" s="33" t="s">
        <v>0</v>
      </c>
      <c r="H1" s="31"/>
      <c r="I1" s="31"/>
      <c r="J1" s="34"/>
      <c r="K1" s="31"/>
      <c r="L1" s="31"/>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row>
    <row r="2" spans="1:59" ht="30" customHeight="1" x14ac:dyDescent="0.45">
      <c r="A2" s="31"/>
      <c r="B2" s="31"/>
      <c r="C2" s="31"/>
      <c r="F2" s="33" t="s">
        <v>49</v>
      </c>
      <c r="G2" s="33"/>
      <c r="H2" s="31"/>
      <c r="I2" s="31"/>
      <c r="J2" s="34"/>
      <c r="K2" s="31"/>
      <c r="L2" s="31"/>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row>
    <row r="3" spans="1:59" x14ac:dyDescent="0.25">
      <c r="A3" s="31"/>
      <c r="B3" s="31"/>
      <c r="C3" s="31"/>
      <c r="D3" s="36"/>
      <c r="E3" s="31"/>
      <c r="F3" s="31"/>
      <c r="G3" s="31"/>
      <c r="H3" s="31"/>
      <c r="I3" s="31"/>
      <c r="J3" s="36"/>
      <c r="K3" s="31"/>
      <c r="L3" s="31"/>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row>
    <row r="4" spans="1:59" ht="15" customHeight="1" x14ac:dyDescent="0.45">
      <c r="A4" s="31"/>
      <c r="I4" s="31"/>
      <c r="J4" s="34"/>
      <c r="K4" s="33"/>
      <c r="L4" s="34"/>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row>
    <row r="5" spans="1:59" s="38" customFormat="1" ht="34.5" customHeight="1" thickBot="1" x14ac:dyDescent="0.3">
      <c r="B5" s="343" t="s">
        <v>51</v>
      </c>
      <c r="C5" s="344"/>
      <c r="D5" s="344"/>
      <c r="E5" s="343" t="s">
        <v>52</v>
      </c>
      <c r="F5" s="344"/>
      <c r="G5" s="344"/>
      <c r="H5" s="344"/>
      <c r="I5" s="341" t="s">
        <v>94</v>
      </c>
      <c r="K5" s="39"/>
    </row>
    <row r="6" spans="1:59" s="38" customFormat="1" ht="116.25" customHeight="1" thickBot="1" x14ac:dyDescent="0.3">
      <c r="A6" s="40" t="s">
        <v>64</v>
      </c>
      <c r="B6" s="112" t="s">
        <v>45</v>
      </c>
      <c r="C6" s="112" t="s">
        <v>46</v>
      </c>
      <c r="D6" s="112" t="s">
        <v>50</v>
      </c>
      <c r="E6" s="112" t="s">
        <v>92</v>
      </c>
      <c r="F6" s="112" t="s">
        <v>45</v>
      </c>
      <c r="G6" s="112" t="s">
        <v>46</v>
      </c>
      <c r="H6" s="112" t="s">
        <v>50</v>
      </c>
      <c r="I6" s="342"/>
      <c r="J6" s="41" t="s">
        <v>54</v>
      </c>
      <c r="K6" s="42" t="s">
        <v>65</v>
      </c>
      <c r="L6" s="42" t="s">
        <v>53</v>
      </c>
      <c r="M6" s="42" t="s">
        <v>68</v>
      </c>
      <c r="N6" s="43" t="s">
        <v>69</v>
      </c>
    </row>
    <row r="7" spans="1:59" ht="35.1" customHeight="1" x14ac:dyDescent="0.25">
      <c r="A7" s="58" t="s">
        <v>74</v>
      </c>
      <c r="B7" s="345">
        <f>COUNTIF(TFC!$H$6:$H$121,B6)</f>
        <v>111</v>
      </c>
      <c r="C7" s="345">
        <f>COUNTIF(TFC!$H$6:$H$121,C6)</f>
        <v>5</v>
      </c>
      <c r="D7" s="345">
        <f>COUNTIF(TFC!$H$6:$H$121,D6)</f>
        <v>0</v>
      </c>
      <c r="E7" s="347"/>
      <c r="F7" s="347"/>
      <c r="G7" s="347"/>
      <c r="H7" s="347"/>
      <c r="I7" s="349"/>
      <c r="J7" s="44">
        <f>MROUND(TFC!$R$122,0.5)</f>
        <v>14.5</v>
      </c>
      <c r="K7" s="66"/>
      <c r="L7" s="67"/>
      <c r="M7" s="45">
        <v>1</v>
      </c>
      <c r="N7" s="65">
        <f>MROUND(J7/M7,0.5)</f>
        <v>14.5</v>
      </c>
    </row>
    <row r="8" spans="1:59" ht="35.1" customHeight="1" thickBot="1" x14ac:dyDescent="0.3">
      <c r="A8" s="60" t="s">
        <v>59</v>
      </c>
      <c r="B8" s="346"/>
      <c r="C8" s="346"/>
      <c r="D8" s="346"/>
      <c r="E8" s="348"/>
      <c r="F8" s="348"/>
      <c r="G8" s="348"/>
      <c r="H8" s="348"/>
      <c r="I8" s="350"/>
      <c r="J8" s="61">
        <f>MROUND(TFC!$S$122,0.5)</f>
        <v>56</v>
      </c>
      <c r="K8" s="68">
        <v>150000</v>
      </c>
      <c r="L8" s="69">
        <f t="shared" ref="L8:L12" si="0">J8*K8</f>
        <v>8400000</v>
      </c>
      <c r="M8" s="59">
        <v>1</v>
      </c>
      <c r="N8" s="64">
        <f>MROUND(J8/M8,0.5)</f>
        <v>56</v>
      </c>
    </row>
    <row r="9" spans="1:59" ht="35.1" customHeight="1" x14ac:dyDescent="0.25">
      <c r="A9" s="46" t="s">
        <v>56</v>
      </c>
      <c r="B9" s="49"/>
      <c r="C9" s="49"/>
      <c r="D9" s="49"/>
      <c r="E9" s="116"/>
      <c r="F9" s="345">
        <f>TFC!$J$122</f>
        <v>0</v>
      </c>
      <c r="G9" s="345">
        <f>TFC!$K$122</f>
        <v>0</v>
      </c>
      <c r="H9" s="345">
        <f>TFC!$L$122</f>
        <v>0</v>
      </c>
      <c r="I9" s="350"/>
      <c r="J9" s="50">
        <f>MROUND(TFC!$T$122,0.5)</f>
        <v>0</v>
      </c>
      <c r="K9" s="68">
        <v>200000</v>
      </c>
      <c r="L9" s="69">
        <f t="shared" si="0"/>
        <v>0</v>
      </c>
      <c r="M9" s="48">
        <v>1</v>
      </c>
      <c r="N9" s="62">
        <f t="shared" ref="N9:N12" si="1">MROUND(J9/M9,0.5)</f>
        <v>0</v>
      </c>
    </row>
    <row r="10" spans="1:59" ht="35.1" customHeight="1" x14ac:dyDescent="0.25">
      <c r="A10" s="46" t="s">
        <v>66</v>
      </c>
      <c r="B10" s="51"/>
      <c r="C10" s="51"/>
      <c r="D10" s="51"/>
      <c r="E10" s="106">
        <f>TFC!$I$122</f>
        <v>0</v>
      </c>
      <c r="F10" s="346"/>
      <c r="G10" s="346"/>
      <c r="H10" s="346"/>
      <c r="I10" s="351"/>
      <c r="J10" s="50">
        <f>MROUND(TFC!$U$122,0.5)</f>
        <v>0</v>
      </c>
      <c r="K10" s="68">
        <v>150000</v>
      </c>
      <c r="L10" s="69">
        <f t="shared" si="0"/>
        <v>0</v>
      </c>
      <c r="M10" s="48">
        <v>1</v>
      </c>
      <c r="N10" s="63">
        <f t="shared" si="1"/>
        <v>0</v>
      </c>
    </row>
    <row r="11" spans="1:59" ht="35.1" customHeight="1" x14ac:dyDescent="0.25">
      <c r="A11" s="46" t="s">
        <v>57</v>
      </c>
      <c r="B11" s="51"/>
      <c r="C11" s="51"/>
      <c r="D11" s="51"/>
      <c r="E11" s="49"/>
      <c r="F11" s="49"/>
      <c r="G11" s="49"/>
      <c r="H11" s="49"/>
      <c r="I11" s="117">
        <f>TFC!$N$122</f>
        <v>111</v>
      </c>
      <c r="J11" s="47">
        <f>MROUND(TFC!$V$122,0.5)</f>
        <v>14</v>
      </c>
      <c r="K11" s="68">
        <v>150000</v>
      </c>
      <c r="L11" s="69">
        <f t="shared" si="0"/>
        <v>2100000</v>
      </c>
      <c r="M11" s="48">
        <v>1</v>
      </c>
      <c r="N11" s="63">
        <f t="shared" si="1"/>
        <v>14</v>
      </c>
    </row>
    <row r="12" spans="1:59" ht="35.1" customHeight="1" thickBot="1" x14ac:dyDescent="0.3">
      <c r="A12" s="52" t="s">
        <v>95</v>
      </c>
      <c r="B12" s="53"/>
      <c r="C12" s="53"/>
      <c r="D12" s="53"/>
      <c r="E12" s="53"/>
      <c r="F12" s="53"/>
      <c r="G12" s="53"/>
      <c r="H12" s="51"/>
      <c r="I12" s="105">
        <f>TFC!$M$122+TFC!$N$122</f>
        <v>222</v>
      </c>
      <c r="J12" s="55">
        <f>MROUND(TFC!$W$122,0.5)</f>
        <v>21</v>
      </c>
      <c r="K12" s="87">
        <v>150000</v>
      </c>
      <c r="L12" s="88">
        <f t="shared" si="0"/>
        <v>3150000</v>
      </c>
      <c r="M12" s="89">
        <v>1</v>
      </c>
      <c r="N12" s="90">
        <f t="shared" si="1"/>
        <v>21</v>
      </c>
    </row>
    <row r="13" spans="1:59" ht="39.950000000000003" customHeight="1" thickBot="1" x14ac:dyDescent="0.3">
      <c r="H13" s="339" t="s">
        <v>99</v>
      </c>
      <c r="I13" s="340"/>
      <c r="J13" s="91">
        <f>SUM(J7:J12)</f>
        <v>105.5</v>
      </c>
      <c r="K13" s="92"/>
      <c r="L13" s="214">
        <f>SUM(L8:L12)</f>
        <v>13650000</v>
      </c>
      <c r="M13" s="92"/>
      <c r="N13" s="93">
        <f>SUM(N7:N12)</f>
        <v>105.5</v>
      </c>
    </row>
    <row r="14" spans="1:59" ht="15.75" thickBot="1" x14ac:dyDescent="0.3">
      <c r="J14" s="54"/>
    </row>
    <row r="15" spans="1:59" ht="35.1" customHeight="1" x14ac:dyDescent="0.25">
      <c r="H15" s="331" t="s">
        <v>159</v>
      </c>
      <c r="I15" s="332"/>
      <c r="J15" s="44">
        <f>MROUND($N$13*90%,0.5)</f>
        <v>95</v>
      </c>
      <c r="K15" s="159">
        <v>275000</v>
      </c>
      <c r="L15" s="70">
        <f t="shared" ref="L15:L18" si="2">J15*K15</f>
        <v>26125000</v>
      </c>
    </row>
    <row r="16" spans="1:59" ht="35.1" customHeight="1" x14ac:dyDescent="0.25">
      <c r="H16" s="337" t="s">
        <v>160</v>
      </c>
      <c r="I16" s="338"/>
      <c r="J16" s="158">
        <f>MROUND($N$13/5*0.5,0.5)</f>
        <v>10.5</v>
      </c>
      <c r="K16" s="68">
        <v>300000</v>
      </c>
      <c r="L16" s="71">
        <f t="shared" si="2"/>
        <v>3150000</v>
      </c>
    </row>
    <row r="17" spans="2:14" ht="35.1" customHeight="1" x14ac:dyDescent="0.25">
      <c r="H17" s="333" t="s">
        <v>101</v>
      </c>
      <c r="I17" s="334"/>
      <c r="J17" s="103">
        <f>MROUND($J$7/3,0.5)</f>
        <v>5</v>
      </c>
      <c r="K17" s="68">
        <v>200000</v>
      </c>
      <c r="L17" s="71">
        <f t="shared" si="2"/>
        <v>1000000</v>
      </c>
    </row>
    <row r="18" spans="2:14" ht="35.1" customHeight="1" thickBot="1" x14ac:dyDescent="0.3">
      <c r="H18" s="333" t="s">
        <v>102</v>
      </c>
      <c r="I18" s="334"/>
      <c r="J18" s="103">
        <f>ROUNDUP($N$13/5,0)</f>
        <v>22</v>
      </c>
      <c r="K18" s="68">
        <v>275000</v>
      </c>
      <c r="L18" s="71">
        <f t="shared" si="2"/>
        <v>6050000</v>
      </c>
    </row>
    <row r="19" spans="2:14" ht="39.950000000000003" customHeight="1" thickBot="1" x14ac:dyDescent="0.3">
      <c r="H19" s="335" t="s">
        <v>67</v>
      </c>
      <c r="I19" s="336"/>
      <c r="J19" s="56">
        <f>J13+SUM(J15:J18)</f>
        <v>238</v>
      </c>
      <c r="K19" s="57"/>
      <c r="L19" s="213">
        <f>L13+SUM(L15:L18)</f>
        <v>49975000</v>
      </c>
    </row>
    <row r="20" spans="2:14" ht="30.75" customHeight="1" x14ac:dyDescent="0.25">
      <c r="H20" s="83"/>
      <c r="I20" s="83"/>
      <c r="J20" s="84"/>
      <c r="K20" s="85"/>
      <c r="L20" s="86"/>
    </row>
    <row r="21" spans="2:14" ht="15.75" thickBot="1" x14ac:dyDescent="0.3"/>
    <row r="22" spans="2:14" ht="30" customHeight="1" thickBot="1" x14ac:dyDescent="0.3">
      <c r="B22" s="328" t="s">
        <v>75</v>
      </c>
      <c r="C22" s="329"/>
      <c r="D22" s="329"/>
      <c r="E22" s="329"/>
      <c r="F22" s="329"/>
      <c r="G22" s="329"/>
      <c r="H22" s="329"/>
      <c r="I22" s="330"/>
      <c r="J22" s="123" t="s">
        <v>79</v>
      </c>
      <c r="K22" s="73" t="s">
        <v>65</v>
      </c>
      <c r="L22" s="74" t="s">
        <v>53</v>
      </c>
      <c r="N22" s="212"/>
    </row>
    <row r="23" spans="2:14" ht="30" customHeight="1" x14ac:dyDescent="0.25">
      <c r="B23" s="178">
        <v>1</v>
      </c>
      <c r="C23" s="322" t="str">
        <f>HLOOKUP(Paramètres!$D$11,Paramètres!$F$49:$S$81,($B23-1)*2+2,FALSE)</f>
        <v>Analyse du CDC ou de l’EDB réalisée en amont</v>
      </c>
      <c r="D23" s="323"/>
      <c r="E23" s="323"/>
      <c r="F23" s="323"/>
      <c r="G23" s="323"/>
      <c r="H23" s="323"/>
      <c r="I23" s="323"/>
      <c r="J23" s="75">
        <f>HLOOKUP(Paramètres!$D$11,Paramètres!$F$49:$S$81,($B23-1)*2+3,FALSE)</f>
        <v>1</v>
      </c>
      <c r="K23" s="78"/>
      <c r="L23" s="101">
        <f t="shared" ref="L23:L29" si="3">J23*K23</f>
        <v>0</v>
      </c>
    </row>
    <row r="24" spans="2:14" ht="30" customHeight="1" x14ac:dyDescent="0.25">
      <c r="B24" s="179">
        <v>2</v>
      </c>
      <c r="C24" s="324" t="str">
        <f>HLOOKUP(Paramètres!$D$11,Paramètres!$F$49:$S$81,($B24-1)*2+2,FALSE)</f>
        <v>Préparation et organisation du projet</v>
      </c>
      <c r="D24" s="325"/>
      <c r="E24" s="325"/>
      <c r="F24" s="325"/>
      <c r="G24" s="325"/>
      <c r="H24" s="325"/>
      <c r="I24" s="325"/>
      <c r="J24" s="76">
        <f>HLOOKUP(Paramètres!$D$11,Paramètres!$F$49:$S$81,($B24-1)*2+3,FALSE)</f>
        <v>3</v>
      </c>
      <c r="K24" s="79"/>
      <c r="L24" s="102">
        <f t="shared" si="3"/>
        <v>0</v>
      </c>
    </row>
    <row r="25" spans="2:14" ht="30" customHeight="1" x14ac:dyDescent="0.25">
      <c r="B25" s="180">
        <v>3</v>
      </c>
      <c r="C25" s="317" t="str">
        <f>HLOOKUP(Paramètres!$D$11,Paramètres!$F$49:$S$81,($B25-1)*2+2,FALSE)</f>
        <v>Réunion de démarrage avec le Client</v>
      </c>
      <c r="D25" s="318"/>
      <c r="E25" s="318"/>
      <c r="F25" s="318"/>
      <c r="G25" s="318"/>
      <c r="H25" s="318"/>
      <c r="I25" s="318"/>
      <c r="J25" s="77">
        <f>HLOOKUP(Paramètres!$D$11,Paramètres!$F$49:$S$81,($B25-1)*2+3,FALSE)</f>
        <v>1</v>
      </c>
      <c r="K25" s="80"/>
      <c r="L25" s="102">
        <f t="shared" si="3"/>
        <v>0</v>
      </c>
    </row>
    <row r="26" spans="2:14" ht="30" customHeight="1" x14ac:dyDescent="0.25">
      <c r="B26" s="179">
        <v>4</v>
      </c>
      <c r="C26" s="324" t="str">
        <f>HLOOKUP(Paramètres!$D$11,Paramètres!$F$49:$S$81,($B26-1)*2+2,FALSE)</f>
        <v>Rédaction des SFG</v>
      </c>
      <c r="D26" s="325"/>
      <c r="E26" s="325"/>
      <c r="F26" s="325"/>
      <c r="G26" s="325"/>
      <c r="H26" s="325"/>
      <c r="I26" s="325"/>
      <c r="J26" s="76">
        <f>HLOOKUP(Paramètres!$D$11,Paramètres!$F$49:$S$81,($B26-1)*2+3,FALSE)</f>
        <v>14.5</v>
      </c>
      <c r="K26" s="81"/>
      <c r="L26" s="102">
        <f t="shared" si="3"/>
        <v>0</v>
      </c>
    </row>
    <row r="27" spans="2:14" ht="30" customHeight="1" x14ac:dyDescent="0.25">
      <c r="B27" s="180">
        <v>5</v>
      </c>
      <c r="C27" s="317" t="str">
        <f>HLOOKUP(Paramètres!$D$11,Paramètres!$F$49:$S$81,($B27-1)*2+2,FALSE)</f>
        <v>Rédaction des SFD ou DDC</v>
      </c>
      <c r="D27" s="318"/>
      <c r="E27" s="318"/>
      <c r="F27" s="318"/>
      <c r="G27" s="318"/>
      <c r="H27" s="318"/>
      <c r="I27" s="318"/>
      <c r="J27" s="77">
        <f>HLOOKUP(Paramètres!$D$11,Paramètres!$F$49:$S$81,($B27-1)*2+3,FALSE)</f>
        <v>7.5</v>
      </c>
      <c r="K27" s="82"/>
      <c r="L27" s="102">
        <f t="shared" si="3"/>
        <v>0</v>
      </c>
    </row>
    <row r="28" spans="2:14" ht="30" customHeight="1" x14ac:dyDescent="0.25">
      <c r="B28" s="179">
        <v>6</v>
      </c>
      <c r="C28" s="324" t="str">
        <f>HLOOKUP(Paramètres!$D$11,Paramètres!$F$49:$S$81,($B28-1)*2+2,FALSE)</f>
        <v>Réalisation et présentation des maquettes</v>
      </c>
      <c r="D28" s="325"/>
      <c r="E28" s="325"/>
      <c r="F28" s="325"/>
      <c r="G28" s="325"/>
      <c r="H28" s="325"/>
      <c r="I28" s="325"/>
      <c r="J28" s="76">
        <f>HLOOKUP(Paramètres!$D$11,Paramètres!$F$49:$S$81,($B28-1)*2+3,FALSE)</f>
        <v>0</v>
      </c>
      <c r="K28" s="79"/>
      <c r="L28" s="102">
        <f t="shared" si="3"/>
        <v>0</v>
      </c>
    </row>
    <row r="29" spans="2:14" ht="30" customHeight="1" x14ac:dyDescent="0.25">
      <c r="B29" s="180">
        <v>7</v>
      </c>
      <c r="C29" s="317" t="str">
        <f>HLOOKUP(Paramètres!$D$11,Paramètres!$F$49:$S$81,($B29-1)*2+2,FALSE)</f>
        <v>Développement des sous-versions Sprints 0.m.s</v>
      </c>
      <c r="D29" s="318"/>
      <c r="E29" s="318"/>
      <c r="F29" s="318"/>
      <c r="G29" s="318"/>
      <c r="H29" s="318"/>
      <c r="I29" s="318"/>
      <c r="J29" s="77">
        <f>HLOOKUP(Paramètres!$D$11,Paramètres!$F$49:$S$81,($B29-1)*2+3,FALSE)</f>
        <v>223.5</v>
      </c>
      <c r="K29" s="82"/>
      <c r="L29" s="102">
        <f t="shared" si="3"/>
        <v>0</v>
      </c>
    </row>
    <row r="30" spans="2:14" ht="30" customHeight="1" x14ac:dyDescent="0.25">
      <c r="B30" s="179">
        <v>8</v>
      </c>
      <c r="C30" s="324" t="str">
        <f>HLOOKUP(Paramètres!$D$11,Paramètres!$F$49:$S$81,($B30-1)*2+2,FALSE)</f>
        <v>Rcette/livraison/installation et présentation des sous-versions</v>
      </c>
      <c r="D30" s="325"/>
      <c r="E30" s="325"/>
      <c r="F30" s="325"/>
      <c r="G30" s="325"/>
      <c r="H30" s="325"/>
      <c r="I30" s="325"/>
      <c r="J30" s="76">
        <f>HLOOKUP(Paramètres!$D$11,Paramètres!$F$49:$S$81,($B30-1)*2+3,FALSE)</f>
        <v>0</v>
      </c>
      <c r="K30" s="79"/>
      <c r="L30" s="102">
        <f t="shared" ref="L30:L38" si="4">J30*K30</f>
        <v>0</v>
      </c>
    </row>
    <row r="31" spans="2:14" ht="30" customHeight="1" x14ac:dyDescent="0.25">
      <c r="B31" s="180">
        <v>9</v>
      </c>
      <c r="C31" s="317" t="str">
        <f>HLOOKUP(Paramètres!$D$11,Paramètres!$F$49:$S$81,($B31-1)*2+2,FALSE)</f>
        <v>Rédaction des documents techniques et fonctionnels</v>
      </c>
      <c r="D31" s="318"/>
      <c r="E31" s="318"/>
      <c r="F31" s="318"/>
      <c r="G31" s="318"/>
      <c r="H31" s="318"/>
      <c r="I31" s="318"/>
      <c r="J31" s="77">
        <f>HLOOKUP(Paramètres!$D$11,Paramètres!$F$49:$S$81,($B31-1)*2+3,FALSE)</f>
        <v>10</v>
      </c>
      <c r="K31" s="80"/>
      <c r="L31" s="102">
        <f t="shared" si="4"/>
        <v>0</v>
      </c>
    </row>
    <row r="32" spans="2:14" ht="30" customHeight="1" x14ac:dyDescent="0.25">
      <c r="B32" s="179">
        <v>10</v>
      </c>
      <c r="C32" s="324" t="str">
        <f>HLOOKUP(Paramètres!$D$11,Paramètres!$F$49:$S$81,($B32-1)*2+2,FALSE)</f>
        <v>Packaging de la version finale 1.0.0 et livraison/installation</v>
      </c>
      <c r="D32" s="325"/>
      <c r="E32" s="325"/>
      <c r="F32" s="325"/>
      <c r="G32" s="325"/>
      <c r="H32" s="325"/>
      <c r="I32" s="325"/>
      <c r="J32" s="76">
        <f>HLOOKUP(Paramètres!$D$11,Paramètres!$F$49:$S$81,($B32-1)*2+3,FALSE)</f>
        <v>1</v>
      </c>
      <c r="K32" s="79"/>
      <c r="L32" s="102">
        <f t="shared" si="4"/>
        <v>0</v>
      </c>
    </row>
    <row r="33" spans="2:12" ht="30" customHeight="1" x14ac:dyDescent="0.25">
      <c r="B33" s="180">
        <v>11</v>
      </c>
      <c r="C33" s="317" t="str">
        <f>HLOOKUP(Paramètres!$D$11,Paramètres!$F$49:$S$81,($B33-1)*2+2,FALSE)</f>
        <v>Assistance à la recette utilisateur</v>
      </c>
      <c r="D33" s="318"/>
      <c r="E33" s="318"/>
      <c r="F33" s="318"/>
      <c r="G33" s="318"/>
      <c r="H33" s="318"/>
      <c r="I33" s="318"/>
      <c r="J33" s="77">
        <f>HLOOKUP(Paramètres!$D$11,Paramètres!$F$49:$S$81,($B33-1)*2+3,FALSE)</f>
        <v>7</v>
      </c>
      <c r="K33" s="80"/>
      <c r="L33" s="102">
        <f t="shared" si="4"/>
        <v>0</v>
      </c>
    </row>
    <row r="34" spans="2:12" ht="30" customHeight="1" x14ac:dyDescent="0.25">
      <c r="B34" s="179">
        <v>12</v>
      </c>
      <c r="C34" s="324" t="str">
        <f>HLOOKUP(Paramètres!$D$11,Paramètres!$F$49:$S$81,($B34-1)*2+2,FALSE)</f>
        <v>Conduite du changement et 2 sessions de formation</v>
      </c>
      <c r="D34" s="325"/>
      <c r="E34" s="325"/>
      <c r="F34" s="325"/>
      <c r="G34" s="325"/>
      <c r="H34" s="325"/>
      <c r="I34" s="325"/>
      <c r="J34" s="76">
        <f>HLOOKUP(Paramètres!$D$11,Paramètres!$F$49:$S$81,($B34-1)*2+3,FALSE)</f>
        <v>2.5</v>
      </c>
      <c r="K34" s="79"/>
      <c r="L34" s="102">
        <f t="shared" si="4"/>
        <v>0</v>
      </c>
    </row>
    <row r="35" spans="2:12" ht="30" customHeight="1" x14ac:dyDescent="0.25">
      <c r="B35" s="180">
        <v>13</v>
      </c>
      <c r="C35" s="317" t="str">
        <f>HLOOKUP(Paramètres!$D$11,Paramètres!$F$49:$S$81,($B35-1)*2+2,FALSE)</f>
        <v>Rédaction des documents administratifs</v>
      </c>
      <c r="D35" s="318"/>
      <c r="E35" s="318"/>
      <c r="F35" s="318"/>
      <c r="G35" s="318"/>
      <c r="H35" s="318"/>
      <c r="I35" s="318"/>
      <c r="J35" s="77">
        <f>HLOOKUP(Paramètres!$D$11,Paramètres!$F$49:$S$81,($B35-1)*2+3,FALSE)</f>
        <v>4</v>
      </c>
      <c r="K35" s="80"/>
      <c r="L35" s="102">
        <f t="shared" ref="L35:L36" si="5">J35*K35</f>
        <v>0</v>
      </c>
    </row>
    <row r="36" spans="2:12" ht="30" customHeight="1" x14ac:dyDescent="0.25">
      <c r="B36" s="179">
        <v>14</v>
      </c>
      <c r="C36" s="324" t="str">
        <f>HLOOKUP(Paramètres!$D$11,Paramètres!$F$49:$S$81,($B36-1)*2+2,FALSE)</f>
        <v>Pilotage et suivi commercial</v>
      </c>
      <c r="D36" s="325"/>
      <c r="E36" s="325"/>
      <c r="F36" s="325"/>
      <c r="G36" s="325"/>
      <c r="H36" s="325"/>
      <c r="I36" s="325"/>
      <c r="J36" s="76" t="e">
        <f>HLOOKUP(Paramètres!$D$11,Paramètres!$F$49:$S$81,($B36-1)*2+3,FALSE)</f>
        <v>#VALUE!</v>
      </c>
      <c r="K36" s="79"/>
      <c r="L36" s="102" t="e">
        <f t="shared" si="5"/>
        <v>#VALUE!</v>
      </c>
    </row>
    <row r="37" spans="2:12" ht="30" customHeight="1" x14ac:dyDescent="0.25">
      <c r="B37" s="180">
        <v>15</v>
      </c>
      <c r="C37" s="317" t="str">
        <f>HLOOKUP(Paramètres!$D$11,Paramètres!$F$49:$S$81,($B37-1)*2+2,FALSE)</f>
        <v>Assistance au démarrage</v>
      </c>
      <c r="D37" s="318"/>
      <c r="E37" s="318"/>
      <c r="F37" s="318"/>
      <c r="G37" s="318"/>
      <c r="H37" s="318"/>
      <c r="I37" s="318"/>
      <c r="J37" s="77">
        <f>HLOOKUP(Paramètres!$D$11,Paramètres!$F$49:$S$81,($B37-1)*2+3,FALSE)</f>
        <v>5</v>
      </c>
      <c r="K37" s="80"/>
      <c r="L37" s="102">
        <f t="shared" si="4"/>
        <v>0</v>
      </c>
    </row>
    <row r="38" spans="2:12" ht="30" customHeight="1" thickBot="1" x14ac:dyDescent="0.3">
      <c r="B38" s="181">
        <v>16</v>
      </c>
      <c r="C38" s="326">
        <f>HLOOKUP(Paramètres!$D$11,Paramètres!$F$49:$S$81,($B38-1)*2+2,FALSE)</f>
        <v>0</v>
      </c>
      <c r="D38" s="327"/>
      <c r="E38" s="327"/>
      <c r="F38" s="327"/>
      <c r="G38" s="327"/>
      <c r="H38" s="327"/>
      <c r="I38" s="327"/>
      <c r="J38" s="76">
        <f>HLOOKUP(Paramètres!$D$11,Paramètres!$F$49:$S$81,($B38-1)*2+3,FALSE)</f>
        <v>0</v>
      </c>
      <c r="K38" s="79"/>
      <c r="L38" s="102">
        <f t="shared" si="4"/>
        <v>0</v>
      </c>
    </row>
    <row r="39" spans="2:12" ht="30" customHeight="1" thickBot="1" x14ac:dyDescent="0.3">
      <c r="B39" s="319" t="s">
        <v>80</v>
      </c>
      <c r="C39" s="320"/>
      <c r="D39" s="320"/>
      <c r="E39" s="320"/>
      <c r="F39" s="320"/>
      <c r="G39" s="320"/>
      <c r="H39" s="320"/>
      <c r="I39" s="321"/>
      <c r="J39" s="182" t="e">
        <f>SUM(J23:J38)</f>
        <v>#VALUE!</v>
      </c>
      <c r="K39" s="99" t="e">
        <f>AVERAGE(K23:K38)</f>
        <v>#DIV/0!</v>
      </c>
      <c r="L39" s="100" t="e">
        <f>SUM(L23:L38)</f>
        <v>#VALUE!</v>
      </c>
    </row>
    <row r="49" spans="3:11" x14ac:dyDescent="0.25">
      <c r="C49"/>
      <c r="D49"/>
      <c r="E49"/>
      <c r="F49"/>
      <c r="G49"/>
      <c r="H49"/>
      <c r="I49"/>
      <c r="J49"/>
      <c r="K49"/>
    </row>
    <row r="50" spans="3:11" x14ac:dyDescent="0.25">
      <c r="C50"/>
      <c r="D50"/>
      <c r="E50"/>
      <c r="F50"/>
      <c r="G50"/>
      <c r="H50"/>
      <c r="I50"/>
      <c r="J50"/>
      <c r="K50"/>
    </row>
    <row r="51" spans="3:11" x14ac:dyDescent="0.25">
      <c r="C51"/>
      <c r="D51"/>
      <c r="E51"/>
      <c r="F51"/>
      <c r="G51"/>
      <c r="H51"/>
      <c r="I51"/>
      <c r="J51"/>
      <c r="K51"/>
    </row>
    <row r="52" spans="3:11" x14ac:dyDescent="0.25">
      <c r="C52"/>
      <c r="D52"/>
      <c r="E52"/>
    </row>
    <row r="53" spans="3:11" x14ac:dyDescent="0.25">
      <c r="C53"/>
      <c r="D53"/>
      <c r="E53"/>
    </row>
    <row r="54" spans="3:11" x14ac:dyDescent="0.25">
      <c r="C54"/>
      <c r="D54"/>
      <c r="E54"/>
    </row>
    <row r="55" spans="3:11" x14ac:dyDescent="0.25">
      <c r="C55"/>
      <c r="D55"/>
      <c r="E55"/>
    </row>
    <row r="56" spans="3:11" x14ac:dyDescent="0.25">
      <c r="C56"/>
      <c r="D56"/>
      <c r="E56"/>
    </row>
    <row r="57" spans="3:11" x14ac:dyDescent="0.25">
      <c r="C57"/>
      <c r="D57"/>
      <c r="E57"/>
    </row>
    <row r="58" spans="3:11" x14ac:dyDescent="0.25">
      <c r="C58"/>
      <c r="D58"/>
      <c r="E58"/>
    </row>
    <row r="59" spans="3:11" x14ac:dyDescent="0.25">
      <c r="C59"/>
      <c r="D59"/>
      <c r="E59"/>
    </row>
    <row r="60" spans="3:11" x14ac:dyDescent="0.25">
      <c r="C60"/>
      <c r="D60"/>
      <c r="E60"/>
    </row>
  </sheetData>
  <sheetProtection selectLockedCells="1"/>
  <mergeCells count="38">
    <mergeCell ref="H13:I13"/>
    <mergeCell ref="I5:I6"/>
    <mergeCell ref="B5:D5"/>
    <mergeCell ref="E5:H5"/>
    <mergeCell ref="H9:H10"/>
    <mergeCell ref="G9:G10"/>
    <mergeCell ref="B7:B8"/>
    <mergeCell ref="C7:C8"/>
    <mergeCell ref="D7:D8"/>
    <mergeCell ref="E7:E8"/>
    <mergeCell ref="G7:G8"/>
    <mergeCell ref="H7:H8"/>
    <mergeCell ref="I7:I10"/>
    <mergeCell ref="F7:F8"/>
    <mergeCell ref="F9:F10"/>
    <mergeCell ref="C30:I30"/>
    <mergeCell ref="B22:I22"/>
    <mergeCell ref="H15:I15"/>
    <mergeCell ref="H17:I17"/>
    <mergeCell ref="H19:I19"/>
    <mergeCell ref="H18:I18"/>
    <mergeCell ref="H16:I16"/>
    <mergeCell ref="C31:I31"/>
    <mergeCell ref="B39:I39"/>
    <mergeCell ref="C23:I23"/>
    <mergeCell ref="C24:I24"/>
    <mergeCell ref="C25:I25"/>
    <mergeCell ref="C26:I26"/>
    <mergeCell ref="C32:I32"/>
    <mergeCell ref="C33:I33"/>
    <mergeCell ref="C34:I34"/>
    <mergeCell ref="C37:I37"/>
    <mergeCell ref="C38:I38"/>
    <mergeCell ref="C35:I35"/>
    <mergeCell ref="C36:I36"/>
    <mergeCell ref="C27:I27"/>
    <mergeCell ref="C28:I28"/>
    <mergeCell ref="C29:I29"/>
  </mergeCells>
  <pageMargins left="0.17" right="0.17" top="0.37" bottom="0.4" header="0.3" footer="0.3"/>
  <pageSetup paperSize="9" scale="64"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19</vt:i4>
      </vt:variant>
    </vt:vector>
  </HeadingPairs>
  <TitlesOfParts>
    <vt:vector size="22" baseType="lpstr">
      <vt:lpstr>Paramètres</vt:lpstr>
      <vt:lpstr>TFC</vt:lpstr>
      <vt:lpstr>Charges et couts</vt:lpstr>
      <vt:lpstr>CDC_QUALITE</vt:lpstr>
      <vt:lpstr>CLIENT</vt:lpstr>
      <vt:lpstr>DATE_DEB</vt:lpstr>
      <vt:lpstr>DATE_FIN</vt:lpstr>
      <vt:lpstr>ENV_PROD</vt:lpstr>
      <vt:lpstr>ENV_RECETTE</vt:lpstr>
      <vt:lpstr>LANGAGE</vt:lpstr>
      <vt:lpstr>LANGAGES</vt:lpstr>
      <vt:lpstr>PRODUITS_DESC</vt:lpstr>
      <vt:lpstr>PRODUITS_TRIGRAMMES</vt:lpstr>
      <vt:lpstr>PROJET</vt:lpstr>
      <vt:lpstr>TYPE_APPLI</vt:lpstr>
      <vt:lpstr>TYPE_SERVEUR_APPLI</vt:lpstr>
      <vt:lpstr>TYPE_SERVEUR_BDD</vt:lpstr>
      <vt:lpstr>TYPES_APPLI</vt:lpstr>
      <vt:lpstr>TYPES_SERVEUR_APPLI</vt:lpstr>
      <vt:lpstr>TYPES_SERVEUR_BDD</vt:lpstr>
      <vt:lpstr>'Charges et couts'!Zone_d_impression</vt:lpstr>
      <vt:lpstr>TFC!Zone_d_impression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2025-03-18T16:44:00Z</dcterms:modified>
</cp:coreProperties>
</file>