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0" yWindow="0" windowWidth="28800" windowHeight="13020" activeTab="1"/>
  </bookViews>
  <sheets>
    <sheet name="Paramètres" sheetId="2" r:id="rId1"/>
    <sheet name="TFC" sheetId="1" r:id="rId2"/>
    <sheet name="Charges et couts" sheetId="4" r:id="rId3"/>
  </sheets>
  <definedNames>
    <definedName name="CDC_QUALITE">Paramètres!$T$3:$T$9</definedName>
    <definedName name="CLIENT">Paramètres!$D$4</definedName>
    <definedName name="DATE_DEB">Paramètres!$D$6</definedName>
    <definedName name="DATE_FIN">Paramètres!$D$7</definedName>
    <definedName name="ENV_PROD">Paramètres!$D$23</definedName>
    <definedName name="ENV_RECETTE">Paramètres!$D$22</definedName>
    <definedName name="LANGAGE">Paramètres!$D$18</definedName>
    <definedName name="LANGAGES">Paramètres!$N$3:$N$20</definedName>
    <definedName name="PRODUITS_DESC">Paramètres!$S$3:$S$23</definedName>
    <definedName name="PRODUITS_TRIGRAMMES">Paramètres!$R$3:$R$23</definedName>
    <definedName name="PROJET">Paramètres!$D$5</definedName>
    <definedName name="TYPE_APPLI">Paramètres!$D$19</definedName>
    <definedName name="TYPE_SERVEUR_APPLI">Paramètres!$D$20</definedName>
    <definedName name="TYPE_SERVEUR_BDD">Paramètres!$D$21</definedName>
    <definedName name="TYPES_APPLI">Paramètres!$O$3:$O$5</definedName>
    <definedName name="TYPES_SERVEUR_APPLI">Paramètres!$P$3:$P$23</definedName>
    <definedName name="TYPES_SERVEUR_BDD">Paramètres!$Q$3:$Q$22</definedName>
    <definedName name="_xlnm.Print_Area" localSheetId="2">'Charges et couts'!$A$1:$N$20</definedName>
    <definedName name="_xlnm.Print_Area" localSheetId="1">TFC!$A$1:$Y$61</definedName>
  </definedNames>
  <calcPr calcId="152511"/>
</workbook>
</file>

<file path=xl/calcChain.xml><?xml version="1.0" encoding="utf-8"?>
<calcChain xmlns="http://schemas.openxmlformats.org/spreadsheetml/2006/main">
  <c r="P7" i="1" l="1"/>
  <c r="R7" i="1" s="1"/>
  <c r="Y7" i="1" s="1"/>
  <c r="Q7" i="1"/>
  <c r="S7" i="1" s="1"/>
  <c r="X7" i="1" s="1"/>
  <c r="T7" i="1"/>
  <c r="U7" i="1"/>
  <c r="V7" i="1"/>
  <c r="W7" i="1"/>
  <c r="P8" i="1"/>
  <c r="Q8" i="1"/>
  <c r="S8" i="1" s="1"/>
  <c r="X8" i="1" s="1"/>
  <c r="Y8" i="1" s="1"/>
  <c r="R8" i="1"/>
  <c r="T8" i="1"/>
  <c r="U8" i="1"/>
  <c r="V8" i="1"/>
  <c r="W8" i="1"/>
  <c r="P9" i="1"/>
  <c r="R9" i="1" s="1"/>
  <c r="Y9" i="1" s="1"/>
  <c r="Q9" i="1"/>
  <c r="S9" i="1"/>
  <c r="X9" i="1" s="1"/>
  <c r="T9" i="1"/>
  <c r="U9" i="1"/>
  <c r="V9" i="1"/>
  <c r="W9" i="1"/>
  <c r="P10" i="1"/>
  <c r="Q10" i="1"/>
  <c r="S10" i="1" s="1"/>
  <c r="X10" i="1" s="1"/>
  <c r="Y10" i="1" s="1"/>
  <c r="R10" i="1"/>
  <c r="T10" i="1"/>
  <c r="U10" i="1"/>
  <c r="V10" i="1"/>
  <c r="W10" i="1"/>
  <c r="P11" i="1"/>
  <c r="R11" i="1" s="1"/>
  <c r="Q11" i="1"/>
  <c r="S11" i="1" s="1"/>
  <c r="X11" i="1" s="1"/>
  <c r="T11" i="1"/>
  <c r="U11" i="1"/>
  <c r="V11" i="1"/>
  <c r="W11" i="1"/>
  <c r="P12" i="1"/>
  <c r="Q12" i="1"/>
  <c r="S12" i="1" s="1"/>
  <c r="X12" i="1" s="1"/>
  <c r="Y12" i="1" s="1"/>
  <c r="R12" i="1"/>
  <c r="T12" i="1"/>
  <c r="U12" i="1"/>
  <c r="V12" i="1"/>
  <c r="W12" i="1"/>
  <c r="P13" i="1"/>
  <c r="R13" i="1" s="1"/>
  <c r="Y13" i="1" s="1"/>
  <c r="Q13" i="1"/>
  <c r="S13" i="1"/>
  <c r="X13" i="1" s="1"/>
  <c r="T13" i="1"/>
  <c r="U13" i="1"/>
  <c r="V13" i="1"/>
  <c r="W13" i="1"/>
  <c r="P14" i="1"/>
  <c r="Q14" i="1"/>
  <c r="S14" i="1" s="1"/>
  <c r="X14" i="1" s="1"/>
  <c r="Y14" i="1" s="1"/>
  <c r="R14" i="1"/>
  <c r="T14" i="1"/>
  <c r="U14" i="1"/>
  <c r="V14" i="1"/>
  <c r="W14" i="1"/>
  <c r="P15" i="1"/>
  <c r="R15" i="1" s="1"/>
  <c r="Y15" i="1" s="1"/>
  <c r="Q15" i="1"/>
  <c r="S15" i="1" s="1"/>
  <c r="X15" i="1" s="1"/>
  <c r="T15" i="1"/>
  <c r="U15" i="1"/>
  <c r="V15" i="1"/>
  <c r="W15" i="1"/>
  <c r="P16" i="1"/>
  <c r="Q16" i="1"/>
  <c r="S16" i="1" s="1"/>
  <c r="X16" i="1" s="1"/>
  <c r="Y16" i="1" s="1"/>
  <c r="R16" i="1"/>
  <c r="T16" i="1"/>
  <c r="U16" i="1"/>
  <c r="V16" i="1"/>
  <c r="W16" i="1"/>
  <c r="P17" i="1"/>
  <c r="R17" i="1" s="1"/>
  <c r="Q17" i="1"/>
  <c r="S17" i="1"/>
  <c r="X17" i="1" s="1"/>
  <c r="T17" i="1"/>
  <c r="U17" i="1"/>
  <c r="V17" i="1"/>
  <c r="W17" i="1"/>
  <c r="P18" i="1"/>
  <c r="R18" i="1" s="1"/>
  <c r="Y18" i="1" s="1"/>
  <c r="Q18" i="1"/>
  <c r="S18" i="1" s="1"/>
  <c r="X18" i="1" s="1"/>
  <c r="T18" i="1"/>
  <c r="U18" i="1"/>
  <c r="V18" i="1"/>
  <c r="W18" i="1"/>
  <c r="P19" i="1"/>
  <c r="R19" i="1" s="1"/>
  <c r="Y19" i="1" s="1"/>
  <c r="Q19" i="1"/>
  <c r="S19" i="1" s="1"/>
  <c r="X19" i="1" s="1"/>
  <c r="T19" i="1"/>
  <c r="U19" i="1"/>
  <c r="V19" i="1"/>
  <c r="W19" i="1"/>
  <c r="P20" i="1"/>
  <c r="Q20" i="1"/>
  <c r="S20" i="1" s="1"/>
  <c r="X20" i="1" s="1"/>
  <c r="Y20" i="1" s="1"/>
  <c r="R20" i="1"/>
  <c r="T20" i="1"/>
  <c r="U20" i="1"/>
  <c r="V20" i="1"/>
  <c r="W20" i="1"/>
  <c r="P21" i="1"/>
  <c r="Q21" i="1"/>
  <c r="R21" i="1"/>
  <c r="S21" i="1"/>
  <c r="X21" i="1" s="1"/>
  <c r="Y21" i="1" s="1"/>
  <c r="T21" i="1"/>
  <c r="U21" i="1"/>
  <c r="V21" i="1"/>
  <c r="W21" i="1"/>
  <c r="P22" i="1"/>
  <c r="R22" i="1" s="1"/>
  <c r="Q22" i="1"/>
  <c r="S22" i="1" s="1"/>
  <c r="X22" i="1" s="1"/>
  <c r="T22" i="1"/>
  <c r="U22" i="1"/>
  <c r="V22" i="1"/>
  <c r="W22" i="1"/>
  <c r="P23" i="1"/>
  <c r="R23" i="1" s="1"/>
  <c r="Q23" i="1"/>
  <c r="S23" i="1" s="1"/>
  <c r="X23" i="1" s="1"/>
  <c r="T23" i="1"/>
  <c r="U23" i="1"/>
  <c r="V23" i="1"/>
  <c r="W23" i="1"/>
  <c r="P24" i="1"/>
  <c r="Q24" i="1"/>
  <c r="S24" i="1" s="1"/>
  <c r="X24" i="1" s="1"/>
  <c r="Y24" i="1" s="1"/>
  <c r="R24" i="1"/>
  <c r="T24" i="1"/>
  <c r="U24" i="1"/>
  <c r="V24" i="1"/>
  <c r="W24" i="1"/>
  <c r="P25" i="1"/>
  <c r="Q25" i="1"/>
  <c r="R25" i="1"/>
  <c r="S25" i="1"/>
  <c r="X25" i="1" s="1"/>
  <c r="Y25" i="1" s="1"/>
  <c r="T25" i="1"/>
  <c r="U25" i="1"/>
  <c r="V25" i="1"/>
  <c r="W25" i="1"/>
  <c r="P26" i="1"/>
  <c r="R26" i="1" s="1"/>
  <c r="Y26" i="1" s="1"/>
  <c r="Q26" i="1"/>
  <c r="S26" i="1" s="1"/>
  <c r="X26" i="1" s="1"/>
  <c r="T26" i="1"/>
  <c r="U26" i="1"/>
  <c r="V26" i="1"/>
  <c r="W26" i="1"/>
  <c r="P27" i="1"/>
  <c r="R27" i="1" s="1"/>
  <c r="Y27" i="1" s="1"/>
  <c r="Q27" i="1"/>
  <c r="S27" i="1" s="1"/>
  <c r="X27" i="1" s="1"/>
  <c r="T27" i="1"/>
  <c r="U27" i="1"/>
  <c r="V27" i="1"/>
  <c r="W27" i="1"/>
  <c r="P28" i="1"/>
  <c r="Q28" i="1"/>
  <c r="S28" i="1" s="1"/>
  <c r="X28" i="1" s="1"/>
  <c r="Y28" i="1" s="1"/>
  <c r="R28" i="1"/>
  <c r="T28" i="1"/>
  <c r="U28" i="1"/>
  <c r="V28" i="1"/>
  <c r="W28" i="1"/>
  <c r="P29" i="1"/>
  <c r="Q29" i="1"/>
  <c r="R29" i="1"/>
  <c r="S29" i="1"/>
  <c r="X29" i="1" s="1"/>
  <c r="Y29" i="1" s="1"/>
  <c r="T29" i="1"/>
  <c r="U29" i="1"/>
  <c r="V29" i="1"/>
  <c r="W29" i="1"/>
  <c r="P30" i="1"/>
  <c r="R30" i="1" s="1"/>
  <c r="Y30" i="1" s="1"/>
  <c r="Q30" i="1"/>
  <c r="S30" i="1" s="1"/>
  <c r="X30" i="1" s="1"/>
  <c r="T30" i="1"/>
  <c r="U30" i="1"/>
  <c r="V30" i="1"/>
  <c r="W30" i="1"/>
  <c r="P31" i="1"/>
  <c r="R31" i="1" s="1"/>
  <c r="Q31" i="1"/>
  <c r="S31" i="1" s="1"/>
  <c r="X31" i="1" s="1"/>
  <c r="T31" i="1"/>
  <c r="U31" i="1"/>
  <c r="V31" i="1"/>
  <c r="W31" i="1"/>
  <c r="P32" i="1"/>
  <c r="Q32" i="1"/>
  <c r="S32" i="1" s="1"/>
  <c r="X32" i="1" s="1"/>
  <c r="Y32" i="1" s="1"/>
  <c r="R32" i="1"/>
  <c r="T32" i="1"/>
  <c r="U32" i="1"/>
  <c r="V32" i="1"/>
  <c r="W32" i="1"/>
  <c r="P33" i="1"/>
  <c r="Q33" i="1"/>
  <c r="R33" i="1"/>
  <c r="S33" i="1"/>
  <c r="X33" i="1" s="1"/>
  <c r="Y33" i="1" s="1"/>
  <c r="T33" i="1"/>
  <c r="U33" i="1"/>
  <c r="V33" i="1"/>
  <c r="W33" i="1"/>
  <c r="P34" i="1"/>
  <c r="R34" i="1" s="1"/>
  <c r="Y34" i="1" s="1"/>
  <c r="Q34" i="1"/>
  <c r="S34" i="1" s="1"/>
  <c r="X34" i="1" s="1"/>
  <c r="T34" i="1"/>
  <c r="U34" i="1"/>
  <c r="V34" i="1"/>
  <c r="W34" i="1"/>
  <c r="P35" i="1"/>
  <c r="R35" i="1" s="1"/>
  <c r="Q35" i="1"/>
  <c r="S35" i="1" s="1"/>
  <c r="X35" i="1" s="1"/>
  <c r="T35" i="1"/>
  <c r="U35" i="1"/>
  <c r="V35" i="1"/>
  <c r="W35" i="1"/>
  <c r="P36" i="1"/>
  <c r="R36" i="1" s="1"/>
  <c r="Y36" i="1" s="1"/>
  <c r="Q36" i="1"/>
  <c r="S36" i="1" s="1"/>
  <c r="X36" i="1" s="1"/>
  <c r="T36" i="1"/>
  <c r="U36" i="1"/>
  <c r="V36" i="1"/>
  <c r="W36" i="1"/>
  <c r="P37" i="1"/>
  <c r="Q37" i="1"/>
  <c r="R37" i="1"/>
  <c r="S37" i="1"/>
  <c r="X37" i="1" s="1"/>
  <c r="Y37" i="1" s="1"/>
  <c r="T37" i="1"/>
  <c r="U37" i="1"/>
  <c r="V37" i="1"/>
  <c r="W37" i="1"/>
  <c r="P38" i="1"/>
  <c r="R38" i="1" s="1"/>
  <c r="Y38" i="1" s="1"/>
  <c r="Q38" i="1"/>
  <c r="S38" i="1" s="1"/>
  <c r="X38" i="1" s="1"/>
  <c r="T38" i="1"/>
  <c r="U38" i="1"/>
  <c r="V38" i="1"/>
  <c r="W38" i="1"/>
  <c r="P39" i="1"/>
  <c r="Q39" i="1"/>
  <c r="S39" i="1" s="1"/>
  <c r="X39" i="1" s="1"/>
  <c r="Y39" i="1" s="1"/>
  <c r="R39" i="1"/>
  <c r="T39" i="1"/>
  <c r="U39" i="1"/>
  <c r="V39" i="1"/>
  <c r="W39" i="1"/>
  <c r="P40" i="1"/>
  <c r="R40" i="1" s="1"/>
  <c r="Q40" i="1"/>
  <c r="S40" i="1" s="1"/>
  <c r="X40" i="1" s="1"/>
  <c r="T40" i="1"/>
  <c r="U40" i="1"/>
  <c r="V40" i="1"/>
  <c r="W40" i="1"/>
  <c r="P41" i="1"/>
  <c r="Q41" i="1"/>
  <c r="R41" i="1"/>
  <c r="S41" i="1"/>
  <c r="X41" i="1" s="1"/>
  <c r="Y41" i="1" s="1"/>
  <c r="T41" i="1"/>
  <c r="U41" i="1"/>
  <c r="V41" i="1"/>
  <c r="W41" i="1"/>
  <c r="P42" i="1"/>
  <c r="R42" i="1" s="1"/>
  <c r="Q42" i="1"/>
  <c r="S42" i="1" s="1"/>
  <c r="X42" i="1" s="1"/>
  <c r="T42" i="1"/>
  <c r="U42" i="1"/>
  <c r="V42" i="1"/>
  <c r="W42" i="1"/>
  <c r="P43" i="1"/>
  <c r="Q43" i="1"/>
  <c r="S43" i="1" s="1"/>
  <c r="X43" i="1" s="1"/>
  <c r="Y43" i="1" s="1"/>
  <c r="R43" i="1"/>
  <c r="T43" i="1"/>
  <c r="U43" i="1"/>
  <c r="V43" i="1"/>
  <c r="W43" i="1"/>
  <c r="P44" i="1"/>
  <c r="R44" i="1" s="1"/>
  <c r="Y44" i="1" s="1"/>
  <c r="Q44" i="1"/>
  <c r="S44" i="1" s="1"/>
  <c r="X44" i="1" s="1"/>
  <c r="T44" i="1"/>
  <c r="U44" i="1"/>
  <c r="V44" i="1"/>
  <c r="W44" i="1"/>
  <c r="P45" i="1"/>
  <c r="Q45" i="1"/>
  <c r="R45" i="1"/>
  <c r="S45" i="1"/>
  <c r="X45" i="1" s="1"/>
  <c r="Y45" i="1" s="1"/>
  <c r="T45" i="1"/>
  <c r="U45" i="1"/>
  <c r="V45" i="1"/>
  <c r="W45" i="1"/>
  <c r="P46" i="1"/>
  <c r="R46" i="1" s="1"/>
  <c r="Y46" i="1" s="1"/>
  <c r="Q46" i="1"/>
  <c r="S46" i="1" s="1"/>
  <c r="X46" i="1" s="1"/>
  <c r="T46" i="1"/>
  <c r="U46" i="1"/>
  <c r="V46" i="1"/>
  <c r="W46" i="1"/>
  <c r="P47" i="1"/>
  <c r="Q47" i="1"/>
  <c r="S47" i="1" s="1"/>
  <c r="X47" i="1" s="1"/>
  <c r="Y47" i="1" s="1"/>
  <c r="R47" i="1"/>
  <c r="T47" i="1"/>
  <c r="U47" i="1"/>
  <c r="V47" i="1"/>
  <c r="W47" i="1"/>
  <c r="P48" i="1"/>
  <c r="R48" i="1" s="1"/>
  <c r="Q48" i="1"/>
  <c r="S48" i="1" s="1"/>
  <c r="X48" i="1" s="1"/>
  <c r="T48" i="1"/>
  <c r="U48" i="1"/>
  <c r="V48" i="1"/>
  <c r="W48" i="1"/>
  <c r="P49" i="1"/>
  <c r="Q49" i="1"/>
  <c r="R49" i="1"/>
  <c r="S49" i="1"/>
  <c r="X49" i="1" s="1"/>
  <c r="Y49" i="1" s="1"/>
  <c r="T49" i="1"/>
  <c r="U49" i="1"/>
  <c r="V49" i="1"/>
  <c r="W49" i="1"/>
  <c r="P50" i="1"/>
  <c r="R50" i="1" s="1"/>
  <c r="Q50" i="1"/>
  <c r="S50" i="1" s="1"/>
  <c r="X50" i="1" s="1"/>
  <c r="T50" i="1"/>
  <c r="U50" i="1"/>
  <c r="V50" i="1"/>
  <c r="W50" i="1"/>
  <c r="P51" i="1"/>
  <c r="Q51" i="1"/>
  <c r="S51" i="1" s="1"/>
  <c r="X51" i="1" s="1"/>
  <c r="Y51" i="1" s="1"/>
  <c r="R51" i="1"/>
  <c r="T51" i="1"/>
  <c r="U51" i="1"/>
  <c r="V51" i="1"/>
  <c r="W51" i="1"/>
  <c r="P52" i="1"/>
  <c r="R52" i="1" s="1"/>
  <c r="Y52" i="1" s="1"/>
  <c r="Q52" i="1"/>
  <c r="S52" i="1" s="1"/>
  <c r="X52" i="1" s="1"/>
  <c r="T52" i="1"/>
  <c r="U52" i="1"/>
  <c r="V52" i="1"/>
  <c r="W52" i="1"/>
  <c r="P53" i="1"/>
  <c r="Q53" i="1"/>
  <c r="R53" i="1"/>
  <c r="S53" i="1"/>
  <c r="X53" i="1" s="1"/>
  <c r="Y53" i="1" s="1"/>
  <c r="T53" i="1"/>
  <c r="U53" i="1"/>
  <c r="V53" i="1"/>
  <c r="W53" i="1"/>
  <c r="P54" i="1"/>
  <c r="R54" i="1" s="1"/>
  <c r="Q54" i="1"/>
  <c r="S54" i="1" s="1"/>
  <c r="X54" i="1" s="1"/>
  <c r="T54" i="1"/>
  <c r="U54" i="1"/>
  <c r="V54" i="1"/>
  <c r="W54" i="1"/>
  <c r="P55" i="1"/>
  <c r="Q55" i="1"/>
  <c r="S55" i="1" s="1"/>
  <c r="X55" i="1" s="1"/>
  <c r="Y55" i="1" s="1"/>
  <c r="R55" i="1"/>
  <c r="T55" i="1"/>
  <c r="U55" i="1"/>
  <c r="V55" i="1"/>
  <c r="W55" i="1"/>
  <c r="P56" i="1"/>
  <c r="R56" i="1" s="1"/>
  <c r="Q56" i="1"/>
  <c r="S56" i="1" s="1"/>
  <c r="X56" i="1" s="1"/>
  <c r="T56" i="1"/>
  <c r="U56" i="1"/>
  <c r="V56" i="1"/>
  <c r="W56" i="1"/>
  <c r="P57" i="1"/>
  <c r="Q57" i="1"/>
  <c r="R57" i="1"/>
  <c r="S57" i="1"/>
  <c r="X57" i="1" s="1"/>
  <c r="Y57" i="1" s="1"/>
  <c r="T57" i="1"/>
  <c r="U57" i="1"/>
  <c r="V57" i="1"/>
  <c r="W57" i="1"/>
  <c r="P58" i="1"/>
  <c r="R58" i="1" s="1"/>
  <c r="Q58" i="1"/>
  <c r="S58" i="1" s="1"/>
  <c r="X58" i="1" s="1"/>
  <c r="T58" i="1"/>
  <c r="U58" i="1"/>
  <c r="V58" i="1"/>
  <c r="W58" i="1"/>
  <c r="Y58" i="1" l="1"/>
  <c r="Y54" i="1"/>
  <c r="Y35" i="1"/>
  <c r="Y40" i="1"/>
  <c r="Y48" i="1"/>
  <c r="Y42" i="1"/>
  <c r="Y23" i="1"/>
  <c r="Y17" i="1"/>
  <c r="Y11" i="1"/>
  <c r="Y22" i="1"/>
  <c r="Y56" i="1"/>
  <c r="Y50" i="1"/>
  <c r="Y31" i="1"/>
  <c r="V67" i="1"/>
  <c r="K65" i="2" l="1"/>
  <c r="K71" i="2"/>
  <c r="K51" i="2" l="1"/>
  <c r="J23" i="4" l="1"/>
  <c r="L23" i="4" s="1"/>
  <c r="J38" i="4"/>
  <c r="J37" i="4"/>
  <c r="J35" i="4"/>
  <c r="L35" i="4" s="1"/>
  <c r="J34" i="4"/>
  <c r="J32" i="4"/>
  <c r="J31" i="4"/>
  <c r="J30" i="4"/>
  <c r="J25" i="4"/>
  <c r="J24" i="4"/>
  <c r="C38" i="4"/>
  <c r="C37" i="4"/>
  <c r="C36" i="4"/>
  <c r="C35" i="4"/>
  <c r="C34" i="4"/>
  <c r="C33" i="4"/>
  <c r="C32" i="4"/>
  <c r="C31" i="4"/>
  <c r="C30" i="4"/>
  <c r="C29" i="4"/>
  <c r="C28" i="4"/>
  <c r="C27" i="4"/>
  <c r="C26" i="4"/>
  <c r="C25" i="4"/>
  <c r="C24" i="4"/>
  <c r="C23" i="4"/>
  <c r="K73" i="2"/>
  <c r="E11" i="2"/>
  <c r="S66" i="1" l="1"/>
  <c r="T66" i="1"/>
  <c r="U66" i="1"/>
  <c r="V66" i="1"/>
  <c r="W66" i="1"/>
  <c r="X66" i="1"/>
  <c r="Y66" i="1"/>
  <c r="S68" i="1"/>
  <c r="T68" i="1"/>
  <c r="U68" i="1"/>
  <c r="V68" i="1"/>
  <c r="W68" i="1"/>
  <c r="X68" i="1"/>
  <c r="Y68" i="1"/>
  <c r="S69" i="1"/>
  <c r="T69" i="1"/>
  <c r="U69" i="1"/>
  <c r="V69" i="1"/>
  <c r="W69" i="1"/>
  <c r="X69" i="1"/>
  <c r="Y69" i="1"/>
  <c r="R66" i="1"/>
  <c r="R68" i="1"/>
  <c r="R69" i="1"/>
  <c r="W6" i="1" l="1"/>
  <c r="V6" i="1"/>
  <c r="J59" i="1"/>
  <c r="F9" i="4" s="1"/>
  <c r="K59" i="1"/>
  <c r="G9" i="4" s="1"/>
  <c r="L59" i="1"/>
  <c r="M59" i="1"/>
  <c r="N59" i="1"/>
  <c r="I11" i="4" s="1"/>
  <c r="I59" i="1"/>
  <c r="E10" i="4" s="1"/>
  <c r="U6" i="1"/>
  <c r="V64" i="1" l="1"/>
  <c r="W64" i="1"/>
  <c r="U64" i="1"/>
  <c r="W65" i="1"/>
  <c r="V65" i="1"/>
  <c r="T65" i="1"/>
  <c r="U65" i="1"/>
  <c r="H9" i="4"/>
  <c r="K61" i="2"/>
  <c r="J28" i="4" s="1"/>
  <c r="I12" i="4"/>
  <c r="P6" i="1"/>
  <c r="D7" i="4" l="1"/>
  <c r="C7" i="4"/>
  <c r="B7" i="4"/>
  <c r="L38" i="4" l="1"/>
  <c r="L37" i="4"/>
  <c r="L34" i="4"/>
  <c r="L32" i="4"/>
  <c r="L31" i="4"/>
  <c r="L30" i="4"/>
  <c r="L28" i="4"/>
  <c r="L25" i="4"/>
  <c r="L24" i="4"/>
  <c r="W59" i="1" l="1"/>
  <c r="J12" i="4" s="1"/>
  <c r="V59" i="1"/>
  <c r="J11" i="4" s="1"/>
  <c r="R6" i="1"/>
  <c r="T6" i="1" l="1"/>
  <c r="T64" i="1" s="1"/>
  <c r="Q6" i="1"/>
  <c r="S6" i="1" l="1"/>
  <c r="R64" i="1"/>
  <c r="X6" i="1" l="1"/>
  <c r="S64" i="1"/>
  <c r="S65" i="1"/>
  <c r="R65" i="1" l="1"/>
  <c r="Y6" i="1"/>
  <c r="Y64" i="1" s="1"/>
  <c r="X64" i="1"/>
  <c r="T59" i="1"/>
  <c r="J9" i="4" s="1"/>
  <c r="U59" i="1"/>
  <c r="J10" i="4" s="1"/>
  <c r="R59" i="1"/>
  <c r="J7" i="4" s="1"/>
  <c r="Y65" i="1" l="1"/>
  <c r="X65" i="1"/>
  <c r="J17" i="4"/>
  <c r="K57" i="2"/>
  <c r="S59" i="1"/>
  <c r="J8" i="4" s="1"/>
  <c r="N8" i="4" s="1"/>
  <c r="M4" i="2"/>
  <c r="M3" i="2"/>
  <c r="K59" i="2" l="1"/>
  <c r="J27" i="4" s="1"/>
  <c r="L27" i="4" s="1"/>
  <c r="J26" i="4"/>
  <c r="Y59" i="1"/>
  <c r="X59" i="1"/>
  <c r="J13" i="4"/>
  <c r="N7" i="4"/>
  <c r="L17" i="4"/>
  <c r="L12" i="4"/>
  <c r="N12" i="4"/>
  <c r="L11" i="4"/>
  <c r="N11" i="4"/>
  <c r="L10" i="4"/>
  <c r="N10" i="4"/>
  <c r="L9" i="4"/>
  <c r="N9" i="4"/>
  <c r="L8" i="4"/>
  <c r="L13" i="4" l="1"/>
  <c r="N13" i="4"/>
  <c r="L26" i="4"/>
  <c r="J16" i="4" l="1"/>
  <c r="L16" i="4" s="1"/>
  <c r="J18" i="4"/>
  <c r="L18" i="4" s="1"/>
  <c r="J15" i="4"/>
  <c r="L15" i="4" s="1"/>
  <c r="L19" i="4" l="1"/>
  <c r="J19" i="4"/>
  <c r="K63" i="2" l="1"/>
  <c r="J29" i="4" s="1"/>
  <c r="L29" i="4" s="1"/>
  <c r="K39" i="4" l="1"/>
  <c r="K77" i="2" l="1"/>
  <c r="J36" i="4" s="1"/>
  <c r="L36" i="4" s="1"/>
  <c r="J33" i="4"/>
  <c r="L33" i="4" l="1"/>
  <c r="L39" i="4" s="1"/>
  <c r="J39" i="4"/>
  <c r="Y67" i="1"/>
  <c r="Y70" i="1" s="1"/>
  <c r="R67" i="1"/>
  <c r="R70" i="1" s="1"/>
  <c r="U67" i="1"/>
  <c r="U70" i="1" s="1"/>
  <c r="V70" i="1"/>
  <c r="W67" i="1"/>
  <c r="W70" i="1" s="1"/>
  <c r="X67" i="1"/>
  <c r="X70" i="1" s="1"/>
  <c r="T67" i="1"/>
  <c r="T70" i="1" s="1"/>
  <c r="S67" i="1"/>
  <c r="S70" i="1" s="1"/>
</calcChain>
</file>

<file path=xl/comments1.xml><?xml version="1.0" encoding="utf-8"?>
<comments xmlns="http://schemas.openxmlformats.org/spreadsheetml/2006/main">
  <authors>
    <author>Auteur</author>
  </authors>
  <commentList>
    <comment ref="K7" authorId="0" shapeId="0">
      <text>
        <r>
          <rPr>
            <b/>
            <sz val="9"/>
            <color indexed="81"/>
            <rFont val="Tahoma"/>
            <family val="2"/>
          </rPr>
          <t>Auteur:</t>
        </r>
        <r>
          <rPr>
            <sz val="9"/>
            <color indexed="81"/>
            <rFont val="Tahoma"/>
            <family val="2"/>
          </rPr>
          <t xml:space="preserve">
le TMJ doit être saisi dans les lignes d) et d') du tableau général ci-dessous </t>
        </r>
      </text>
    </comment>
  </commentList>
</comments>
</file>

<file path=xl/sharedStrings.xml><?xml version="1.0" encoding="utf-8"?>
<sst xmlns="http://schemas.openxmlformats.org/spreadsheetml/2006/main" count="492" uniqueCount="287">
  <si>
    <t>Tableau des fonctionnalités &amp; charges (TFC)</t>
  </si>
  <si>
    <t>Sous-domaine</t>
  </si>
  <si>
    <t>Description</t>
  </si>
  <si>
    <t>Client</t>
  </si>
  <si>
    <t>Projet</t>
  </si>
  <si>
    <t>Contraintes Techniques</t>
  </si>
  <si>
    <t>Liste des Langages</t>
  </si>
  <si>
    <t>JAVA</t>
  </si>
  <si>
    <t>PHP</t>
  </si>
  <si>
    <t>C++</t>
  </si>
  <si>
    <t>C#</t>
  </si>
  <si>
    <t>PYTHON</t>
  </si>
  <si>
    <t>.NET</t>
  </si>
  <si>
    <t>Langage</t>
  </si>
  <si>
    <t>client lourd</t>
  </si>
  <si>
    <t>client WEB</t>
  </si>
  <si>
    <t>Serveur de Bases de Données</t>
  </si>
  <si>
    <t>Environnement de recette</t>
  </si>
  <si>
    <t>Environnement de production</t>
  </si>
  <si>
    <t>Tomcat 5</t>
  </si>
  <si>
    <t>Tomcat 6</t>
  </si>
  <si>
    <t>Tomcat 7</t>
  </si>
  <si>
    <t>JBOSS</t>
  </si>
  <si>
    <t>GlassFish</t>
  </si>
  <si>
    <t>WebSphere</t>
  </si>
  <si>
    <t>Types serveur Application</t>
  </si>
  <si>
    <t>Type d'application</t>
  </si>
  <si>
    <t>Types d'application</t>
  </si>
  <si>
    <t>Types serveur BdD</t>
  </si>
  <si>
    <t>Oracle &lt; 10</t>
  </si>
  <si>
    <t>Oracle 10</t>
  </si>
  <si>
    <t>Oracle 11+</t>
  </si>
  <si>
    <t>MySql</t>
  </si>
  <si>
    <t>PostgreSql</t>
  </si>
  <si>
    <t>MS SQL</t>
  </si>
  <si>
    <t>non défini</t>
  </si>
  <si>
    <t>Paramètres</t>
  </si>
  <si>
    <t>Serveur d'application</t>
  </si>
  <si>
    <t>Date de début prévisionnelle</t>
  </si>
  <si>
    <t>Date de fin prévisionnelle</t>
  </si>
  <si>
    <t>Dates limites</t>
  </si>
  <si>
    <t>Domaine fonctionnel</t>
  </si>
  <si>
    <t>Fonctionnalité principale</t>
  </si>
  <si>
    <t>Sous-fonctionnalité / règle à implémenter</t>
  </si>
  <si>
    <t>Tâches</t>
  </si>
  <si>
    <t>FACILE</t>
  </si>
  <si>
    <t>MOYENNE</t>
  </si>
  <si>
    <t>Difficulté</t>
  </si>
  <si>
    <t>Réf</t>
  </si>
  <si>
    <t>Charges et couts</t>
  </si>
  <si>
    <t>DIFFICILE</t>
  </si>
  <si>
    <t>Sous-fonctionnalités / règles par difficulté</t>
  </si>
  <si>
    <t>IHM par difficulté</t>
  </si>
  <si>
    <t>Cout</t>
  </si>
  <si>
    <t>Charge totale en jour / homme</t>
  </si>
  <si>
    <t xml:space="preserve">Spécifier une fonctionnalité /règle </t>
  </si>
  <si>
    <t>Modéliser une IHM</t>
  </si>
  <si>
    <t>Modéliser les structures de données</t>
  </si>
  <si>
    <t>Construire les structures de données</t>
  </si>
  <si>
    <t>Implémenter une fonctionnalité /règle (tests unitaires + tests d'intégration inclus)</t>
  </si>
  <si>
    <t>Réaliser une IHM en client lourd (tests unitaires + tests d'intégration inclus)</t>
  </si>
  <si>
    <t>Réaliser une IHM en client WEB (tests unitaires + tests d'intégration inclus)</t>
  </si>
  <si>
    <t>Charges estimées pour réaliser les tâches par une personne confirmée</t>
  </si>
  <si>
    <t>Fonctionnalités</t>
  </si>
  <si>
    <t>Tâches à réaliser</t>
  </si>
  <si>
    <t>TMJ vendu</t>
  </si>
  <si>
    <t>Réaliser une IHM (tests unitaires + tests d'intégration inclus)</t>
  </si>
  <si>
    <t>Totaux généraux</t>
  </si>
  <si>
    <t>Nombre de ressources prévues</t>
  </si>
  <si>
    <t>Durée estimée</t>
  </si>
  <si>
    <t>Aide</t>
  </si>
  <si>
    <t>Structure de données (3)</t>
  </si>
  <si>
    <t>N/A</t>
  </si>
  <si>
    <t>Charges</t>
  </si>
  <si>
    <t>Spécifier une fonctionnalité /règle</t>
  </si>
  <si>
    <t>A REPORTER DANS LA PTFG</t>
  </si>
  <si>
    <t>Calcul intermédiaire</t>
  </si>
  <si>
    <t>autre</t>
  </si>
  <si>
    <t>Charges en j/h</t>
  </si>
  <si>
    <t>Charge en j/h</t>
  </si>
  <si>
    <t>TOTAL GENERAL</t>
  </si>
  <si>
    <t>Apache</t>
  </si>
  <si>
    <t>Sous-Versions</t>
  </si>
  <si>
    <t xml:space="preserve">(A) Spécifier une fonctionnalité /règle </t>
  </si>
  <si>
    <t>(B) Implémenter une fonctionnalité /règle (tests unitaires + tests d'intégration inclus)</t>
  </si>
  <si>
    <t>(C) Modéliser une IHM</t>
  </si>
  <si>
    <t>(D) Réaliser une IHM (tests unitaires + tests d'intégration inclus)</t>
  </si>
  <si>
    <t>(E) Modéliser les structures de données</t>
  </si>
  <si>
    <t>(G) TOTAL charge de DEV (B+C+D+E+F)</t>
  </si>
  <si>
    <t>TOTAL Général (A+G)</t>
  </si>
  <si>
    <t>EVOL</t>
  </si>
  <si>
    <t>nombre de MODIFICATIONS</t>
  </si>
  <si>
    <t>MODIFICATIONS</t>
  </si>
  <si>
    <t>nombre de CREATIONS</t>
  </si>
  <si>
    <t>Nombre de Structures de données</t>
  </si>
  <si>
    <t>Construire / modifier les structures de données</t>
  </si>
  <si>
    <t>0.1</t>
  </si>
  <si>
    <t>0.2</t>
  </si>
  <si>
    <t>0.3</t>
  </si>
  <si>
    <t>sous-totaux intermédiaires</t>
  </si>
  <si>
    <t>(F) Construire / modifier les structures de données</t>
  </si>
  <si>
    <t>Architecte 
(1/3 des Spécifications)</t>
  </si>
  <si>
    <t>Controleur Qualité
(1 j/semaine sur la durée)</t>
  </si>
  <si>
    <t>0.4</t>
  </si>
  <si>
    <t>0.5</t>
  </si>
  <si>
    <t>0.6</t>
  </si>
  <si>
    <t>Sous-versions</t>
  </si>
  <si>
    <t>(1)
(2)
(3)</t>
  </si>
  <si>
    <t>DEV</t>
  </si>
  <si>
    <t>AMOA</t>
  </si>
  <si>
    <t>AMO</t>
  </si>
  <si>
    <t>Audit</t>
  </si>
  <si>
    <t>AUD</t>
  </si>
  <si>
    <t>CRM</t>
  </si>
  <si>
    <t>Conseil</t>
  </si>
  <si>
    <t>CSL</t>
  </si>
  <si>
    <t>Décisionnel</t>
  </si>
  <si>
    <t>DEC</t>
  </si>
  <si>
    <t>Développement applicatif</t>
  </si>
  <si>
    <t>ERP</t>
  </si>
  <si>
    <t>ESB/SOA</t>
  </si>
  <si>
    <t>ESB</t>
  </si>
  <si>
    <t>ETL</t>
  </si>
  <si>
    <t>Formation</t>
  </si>
  <si>
    <t>FOR</t>
  </si>
  <si>
    <t>GED</t>
  </si>
  <si>
    <t>Infrastructure</t>
  </si>
  <si>
    <t>IFT</t>
  </si>
  <si>
    <t>Schéma Directeur</t>
  </si>
  <si>
    <t>SDI</t>
  </si>
  <si>
    <t>Plateforme SMS (ASSMS)</t>
  </si>
  <si>
    <t>SMS</t>
  </si>
  <si>
    <t>Produits</t>
  </si>
  <si>
    <t>Trigrammes</t>
  </si>
  <si>
    <t xml:space="preserve">Description </t>
  </si>
  <si>
    <t>Type de projet</t>
  </si>
  <si>
    <t>Archivage/GED</t>
  </si>
  <si>
    <t>Informations sur le Projet</t>
  </si>
  <si>
    <t>Type du projet</t>
  </si>
  <si>
    <t>Charges estimées pour les autres tâches par une personne confirmée</t>
  </si>
  <si>
    <t>ZZZZZ</t>
  </si>
  <si>
    <t>libellé</t>
  </si>
  <si>
    <t>charge en j/h</t>
  </si>
  <si>
    <t>Analyse du CDC ou de l’EDB réalisée en amont</t>
  </si>
  <si>
    <t>Préparation et organisation du projet</t>
  </si>
  <si>
    <t>Réunion de démarrage avec le Client</t>
  </si>
  <si>
    <t>Nombre de sous-versions</t>
  </si>
  <si>
    <t>Rédaction des documents techniques et fonctionnels</t>
  </si>
  <si>
    <t>Packaging de la version finale 1.0.0 et livraison/installation</t>
  </si>
  <si>
    <t>Assistance à la recette utilisateur</t>
  </si>
  <si>
    <t>Conduite du changement et 2 sessions de formation</t>
  </si>
  <si>
    <t>Rédaction des SFG</t>
  </si>
  <si>
    <t>Rédaction des SFD ou DDC</t>
  </si>
  <si>
    <t>Réalisation et présentation des maquettes</t>
  </si>
  <si>
    <t>Rédaction des documents administratifs</t>
  </si>
  <si>
    <t>Développement des sous-versions Sprints 0.m.s</t>
  </si>
  <si>
    <t>Pilotage et suivi commercial</t>
  </si>
  <si>
    <t>Nombre d'IHM ou
reporting/livrables
selon la difficulté (2)</t>
  </si>
  <si>
    <t>Fonctionnalités ou Actions/périmètre</t>
  </si>
  <si>
    <t>Chef de projet 
(90% durée estimée )</t>
  </si>
  <si>
    <t>Directeur de projet 
(0,5 j/semaine sur la durée)</t>
  </si>
  <si>
    <t>Assistance au démarrage</t>
  </si>
  <si>
    <t>Qualité du CDC</t>
  </si>
  <si>
    <t>Nombre de pages du CDC</t>
  </si>
  <si>
    <t>Qualité CDC</t>
  </si>
  <si>
    <t>CDC très détaillé, clair</t>
  </si>
  <si>
    <t>CDC détaillé, assez clair</t>
  </si>
  <si>
    <t>CDC pas trop détaillé, assez clair</t>
  </si>
  <si>
    <t>CDC pas trop détaillé, peu clair</t>
  </si>
  <si>
    <t>CDC peu détaillé, peu clair</t>
  </si>
  <si>
    <t>CDC flou</t>
  </si>
  <si>
    <t>Difficulté à spécifier / implémenter / réaliser (1)</t>
  </si>
  <si>
    <t>Une fonctionnalité / action est :
- facile à spécifier / implémenter / réaliser si elle utilise des algorithmes / règles simples, manipule peu de données
- relativement facile à spécifier / implémenter / réaliser si elle utilise des algorithmes / règles assez simples et manipule beaucoup de données
- difficile à spécifier / implémenter / réaliser si elle utilise des algorithmes / règles complexes
Si la difficulté est AUCUNE, pas de charge calculée pour cette fonctionnalité / action, soit parce qu'elle est très simple, soit parce que sa charge est déjà calculée dans une autre fonctionnalité / action.
Un(e) IHM / reporting / livrable est :
- facile à modéliser / réaliser si elle/il utilise des objects graphiques simples sur peu de données ou réutilise un modèle déjà existant avec peu de modifications
- relativement facile à modéliser / réaliser si elle/il utilise quelques objets graphiques compliqués et manipule beaucoup de données ou réutilise un modèle déjà existant avec beaucoup de modifications
- difficile à modéliser / réaliser si elle/il utilise beaucoup objets graphiques compliqués et manipule beaucoup de données ou pas de modèle existant utilisable
S'il s'agit de modifier simplement des IHM / reporting / livrables existants, mettre le nombre d'IHM / reporting / livrables  concernés dans la colonne MODIFICATIONS. Aucune charge de modélisation n'est alors calculée
Les structures de données correspondent aux tables de données (vecteurs), vues dynamiques ou statiques importantes/complexes, PL/SQL…
S'il s'agit de créer des structures, mettre le nombre de structures concernées dans la colonne CREATION.
S'il s'agit de modifier simplement des structures existantes,  mettre le nombre de structures concernées dans la colonne MODIFICATIONS. Aucune charge de modélisation n'est alors calculée</t>
  </si>
  <si>
    <t>Rcette/livraison/installation et présentation des sous-versions</t>
  </si>
  <si>
    <t>SIG</t>
  </si>
  <si>
    <t>Éclairage Public</t>
  </si>
  <si>
    <t>Affichage des états de traitement</t>
  </si>
  <si>
    <t>Ajouter un jeu de couleurs distinctes au niveau du formulaire des réclamations pour visualiser rapidement l'état d'avancement de leur traitement (ex: en cours, traité, en attente).</t>
  </si>
  <si>
    <t>Sanitaire</t>
  </si>
  <si>
    <t>Terminologie des établissements</t>
  </si>
  <si>
    <t>Automatisation de la localisation</t>
  </si>
  <si>
    <t>Génération de cartes de maladie</t>
  </si>
  <si>
    <t>Enregistrement étendu</t>
  </si>
  <si>
    <t>Recherche facilitée</t>
  </si>
  <si>
    <t>Libellé du formulaire</t>
  </si>
  <si>
    <t>Catégorisation des consommables</t>
  </si>
  <si>
    <t>Revoir la terminologie de l'état des établissements sanitaires (ex: "fonctionnel Oui" / "Non") pour des termes plus clairs et standards.</t>
  </si>
  <si>
    <t>Lors de l'ajout d'un établissement sanitaire, permettre la sélection automatique de l'aire et du district de santé associés.</t>
  </si>
  <si>
    <t>Développer la capacité de générer des cartes thématiques pour la visualisation spatiale des maladies</t>
  </si>
  <si>
    <t>Permettre l'enregistrement de plusieurs photos et observations pour un même formulaire de besoins collectés lors des descentes sur le terrain, et élargir les champs pour plus de détails</t>
  </si>
  <si>
    <t>Ajouter une barre de recherche sur le formulaire de gestion des états d'interventions pour retrouver plus facilement les informations.</t>
  </si>
  <si>
    <t>Remplacer le "code" par l'intitulé "l'objet" sur le formulaire de gestion des états d'interventions pour une meilleure compréhension.</t>
  </si>
  <si>
    <t>Créer un champ spécifique pour catégoriser les consommables utilisés.</t>
  </si>
  <si>
    <t>Voirie</t>
  </si>
  <si>
    <t>Styles cartographiques</t>
  </si>
  <si>
    <t>Rapport d'échelle</t>
  </si>
  <si>
    <t>Types de dégradation</t>
  </si>
  <si>
    <t>Qualité rédactionnelle</t>
  </si>
  <si>
    <t>Informations formulaire</t>
  </si>
  <si>
    <t>Détail des dégradations</t>
  </si>
  <si>
    <t>Ordre de superposition des couches</t>
  </si>
  <si>
    <t>Exportation des statistiques</t>
  </si>
  <si>
    <t>Fonctionnalité de tableau</t>
  </si>
  <si>
    <t>Affichage de la couche de données des adresses</t>
  </si>
  <si>
    <t>Imagerie des dégradations</t>
  </si>
  <si>
    <t>Ajout d’un Champ matériaux</t>
  </si>
  <si>
    <t>Ajout de la couche Caniveau</t>
  </si>
  <si>
    <t>Terminologie des champs de la table drains</t>
  </si>
  <si>
    <t>Ajout d’une couche Hydrographie</t>
  </si>
  <si>
    <t>Traçabilité</t>
  </si>
  <si>
    <t>Ajout d’un champ rugosité</t>
  </si>
  <si>
    <t>Géométrie des obstructions</t>
  </si>
  <si>
    <t>Utiliser des styles graphiques plus lisibles pour les couches de données sur la carte.</t>
  </si>
  <si>
    <t>Améliorer le rapport d'échelle pour un affichage plus précis des données sur la carte.</t>
  </si>
  <si>
    <t>Élargir la liste des types de dégradation de la signalisation en ajoutant une option "Autres" pour couvrir tous les cas non prévus.</t>
  </si>
  <si>
    <t>Être très méticuleux sur l'orthographe et la grammaire dans toute l'application.</t>
  </si>
  <si>
    <t>Privilégier l'utilisation du nom du quartier et du numéro de la rue dans les formulaires pour une meilleure localisation.</t>
  </si>
  <si>
    <t>Ajouter l'état de la dégradation sur la page de détail des dégradations.</t>
  </si>
  <si>
    <t>Revoir et optimiser l'ordre de superposition des couches lors de la sélection d'éléments sur la carte.</t>
  </si>
  <si>
    <t>Permettre l'exportation des pages de statistiques générées.</t>
  </si>
  <si>
    <t>Ajouter l'option "Tout sélectionner" dans la vue de tableau des données.</t>
  </si>
  <si>
    <t>Permettre l'affichage de la couche de données des adresses.</t>
  </si>
  <si>
    <t>Ajouter la possibilité d'insérer des images pour illustrer un point de dégradation de la voirie.</t>
  </si>
  <si>
    <t>Ajouter un champ pour les "matériaux (granulats)" sur la fiche d'expression des besoins.</t>
  </si>
  <si>
    <t>Intégrer la couche de données des caniveaux.</t>
  </si>
  <si>
    <t>Utiliser le terme "Obstruction de drain" au lieu de "Blocage de drain".</t>
  </si>
  <si>
    <t>Ajouter la couche de données hydrographiques.</t>
  </si>
  <si>
    <t>Ajouter une fonctionnalité de suivi (un "mouchard") pour l'audit et la traçabilité des actions.</t>
  </si>
  <si>
    <t>Ajouter d’un champ lié à la rugosité de la route.</t>
  </si>
  <si>
    <t>Utiliser une géométrie ponctuelle pour matérialiser les obstructions déclarées sur les drains.</t>
  </si>
  <si>
    <t>Collecte des Déchets</t>
  </si>
  <si>
    <t>Couche des décharges</t>
  </si>
  <si>
    <t>Hiérarchie des sous-modules</t>
  </si>
  <si>
    <t>Terme "point sauvage"</t>
  </si>
  <si>
    <t>Accessibilité des centres de transfert</t>
  </si>
  <si>
    <t>Catégorisation des entreprises</t>
  </si>
  <si>
    <t>Contrôle des formulaires</t>
  </si>
  <si>
    <t>Contrats de collecte</t>
  </si>
  <si>
    <t>Ajouter la couche de données des décharges, en précisant qu'elles ne se chevauchent pas entre les limites administratives.</t>
  </si>
  <si>
    <t>Revoir la hiérarchie des sous-modules (Point de collecte, Centre de transfert, Décharges) pour une organisation logique.</t>
  </si>
  <si>
    <t>Retirer le terme "point sauvage" et le remplacer par une description appropriée accompagnée de photos illustratives.</t>
  </si>
  <si>
    <t>Ajouter la couche sur l'accessibilité des centres de transfert.</t>
  </si>
  <si>
    <t>Changer le terme "Entreprise de pré-collecte" par "Entreprise "  et les catégoriser par type (collecte ou pré-collecte).</t>
  </si>
  <si>
    <t>Mettre un accent particulier sur le contrôle des champs dans les formulaires pour garantir la qualité des données.</t>
  </si>
  <si>
    <t>Ajouter les informations relatives aux avenants et aux délais d'exécution des collectes et pré-collectes dans les contrats.</t>
  </si>
  <si>
    <t>Urbanisme</t>
  </si>
  <si>
    <t>Affichage des certificats d’urbanisme (POS)</t>
  </si>
  <si>
    <t>Afficher le certificat d'urbanisme sur la page de détail de chaque zone. (La CUD devra-nous fournir les certificats pour chaque zone dans le POS)</t>
  </si>
  <si>
    <t>Mise à jour du POS</t>
  </si>
  <si>
    <t>Mettre à jour la couche du plan d'occupation du sol.</t>
  </si>
  <si>
    <t>Mise en surbrillance</t>
  </si>
  <si>
    <t>Revoir la mise en surbrillance des zones d'occupation du sol pour une meilleure visibilité.</t>
  </si>
  <si>
    <t>Exportation des filtres</t>
  </si>
  <si>
    <t>Permettre l'exportation des résultats des filtres au format PDF et KML.</t>
  </si>
  <si>
    <t>Équipements socio-économiques</t>
  </si>
  <si>
    <t>Affiner la classification des équipements socio-économiques en les regroupant en sous-groupes thématiques (ex: Santé, Éducation, Culture).</t>
  </si>
  <si>
    <t>Ajout d’un sous-module "Grands Projets"</t>
  </si>
  <si>
    <t>Créer un sous-module "Grands Projets" pour regrouper les équipements socio-économiques par thématique.</t>
  </si>
  <si>
    <t>Permettre l'exportation des statistiques sous forme d'images.</t>
  </si>
  <si>
    <t>Affichage des choix de filtres</t>
  </si>
  <si>
    <t>Afficher tous les choix disponibles dans les champs lors de la sélection dans les filtres avancés.</t>
  </si>
  <si>
    <t>Mise à jour des espaces récréatifs</t>
  </si>
  <si>
    <t>Mettre à jour la couche de données sur les espaces récréatifs.</t>
  </si>
  <si>
    <t>Zoom sur élément sélectionné</t>
  </si>
  <si>
    <t>Effectuer un zoom automatique sur l'élément sélectionné lorsque celui-ci est coché dans le tableau.</t>
  </si>
  <si>
    <t>Etablissements scolaire</t>
  </si>
  <si>
    <t>Ajouter des informations supplémentaires sur les établissements scolaires (ex: nombre d'élèves, nombre de salles de classes, nombre d'enseignants)</t>
  </si>
  <si>
    <t>ouvrages d'art</t>
  </si>
  <si>
    <t>Ajouter des informations supplémentaires sur les ouvrages d'art (superficie et longueur).</t>
  </si>
  <si>
    <t>Catégorisation des bouches d'incendie</t>
  </si>
  <si>
    <t>Catégoriser les bouches d'incendie selon leur type.</t>
  </si>
  <si>
    <t>Exportation SHP</t>
  </si>
  <si>
    <t>Mettre à disposition l'exportation au format Shapefile (.SHP).</t>
  </si>
  <si>
    <t>Plateforme IDG</t>
  </si>
  <si>
    <t>Nettoyage des données</t>
  </si>
  <si>
    <t>Retirer toutes les données affichées qui ne concernent pas la CUD.</t>
  </si>
  <si>
    <t>Navigation</t>
  </si>
  <si>
    <t>Ajouter une barre de menu pour faciliter le retour à la page précédente ou principale, et une navigation au pied de page.</t>
  </si>
  <si>
    <t>Module Réclamation IDG</t>
  </si>
  <si>
    <t>Indicateurs des champs obligatoires</t>
  </si>
  <si>
    <t>Ajouter des étoiles ou autres indicateurs visuels sur les champs obligatoires des formulaires.</t>
  </si>
  <si>
    <t>Types de réclamations</t>
  </si>
  <si>
    <t>Étendre les types de réclamations pour inclure celles concernant la collecte des déchets.</t>
  </si>
  <si>
    <t>Redirection des réclamations</t>
  </si>
  <si>
    <t>Assurer que les utilisateurs internes peuvent rediriger les réclamations non SIG vers les directions concernées (aspect procédural/organisationnel).</t>
  </si>
  <si>
    <t>Validation des numéros de téléphones</t>
  </si>
  <si>
    <t>Mettre en place une vérification des numéros de téléphone saisis dans les formulaires.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</si>
</sst>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0.00\ &quot;€&quot;_-;\-* #,##0.00\ &quot;€&quot;_-;_-* &quot;-&quot;??\ &quot;€&quot;_-;_-@_-"/>
    <numFmt numFmtId="43" formatCode="_-* #,##0.00\ _€_-;\-* #,##0.00\ _€_-;_-* &quot;-&quot;??\ _€_-;_-@_-"/>
    <numFmt numFmtId="164" formatCode="#,##0.00\ &quot;€&quot;"/>
    <numFmt numFmtId="165" formatCode="0.000"/>
    <numFmt numFmtId="166" formatCode="#,##0.00\ [$XAF]"/>
    <numFmt numFmtId="167" formatCode="_-* #,##0.00\ [$XAF]_-;\-* #,##0.00\ [$XAF]_-;_-* &quot;-&quot;??\ [$XAF]_-;_-@_-"/>
  </numFmts>
  <fonts count="25" x14ac:knownFonts="1">
    <font>
      <sz val="11"/>
      <color theme="1"/>
      <name val="Calibri"/>
      <family val="2"/>
      <scheme val="minor"/>
    </font>
    <font>
      <sz val="11"/>
      <color theme="1"/>
      <name val="Times New Roman"/>
      <family val="1"/>
    </font>
    <font>
      <b/>
      <sz val="20"/>
      <color theme="1"/>
      <name val="Times New Roman"/>
      <family val="1"/>
    </font>
    <font>
      <b/>
      <sz val="28"/>
      <color theme="1"/>
      <name val="Times New Roman"/>
      <family val="1"/>
    </font>
    <font>
      <b/>
      <sz val="11"/>
      <color theme="0"/>
      <name val="Times New Roman"/>
      <family val="1"/>
    </font>
    <font>
      <b/>
      <sz val="10"/>
      <color theme="0" tint="-0.34998626667073579"/>
      <name val="Times New Roman"/>
      <family val="1"/>
    </font>
    <font>
      <sz val="10"/>
      <color theme="0" tint="-0.34998626667073579"/>
      <name val="Times New Roman"/>
      <family val="1"/>
    </font>
    <font>
      <b/>
      <sz val="12"/>
      <color theme="1"/>
      <name val="Times New Roman"/>
      <family val="1"/>
    </font>
    <font>
      <sz val="12"/>
      <color theme="1"/>
      <name val="Times New Roman"/>
      <family val="1"/>
    </font>
    <font>
      <b/>
      <sz val="11"/>
      <color theme="1"/>
      <name val="Times New Roman"/>
      <family val="1"/>
    </font>
    <font>
      <b/>
      <sz val="12"/>
      <color theme="0"/>
      <name val="Times New Roman"/>
      <family val="1"/>
    </font>
    <font>
      <b/>
      <sz val="14"/>
      <color theme="0"/>
      <name val="Times New Roman"/>
      <family val="1"/>
    </font>
    <font>
      <sz val="14"/>
      <color theme="1"/>
      <name val="Times New Roman"/>
      <family val="1"/>
    </font>
    <font>
      <sz val="11"/>
      <color theme="1"/>
      <name val="Calibri"/>
      <family val="2"/>
      <scheme val="minor"/>
    </font>
    <font>
      <b/>
      <sz val="12"/>
      <name val="Times New Roman"/>
      <family val="1"/>
    </font>
    <font>
      <sz val="12"/>
      <name val="Times New Roman"/>
      <family val="1"/>
    </font>
    <font>
      <b/>
      <sz val="11"/>
      <name val="Times New Roman"/>
      <family val="1"/>
    </font>
    <font>
      <sz val="9"/>
      <color indexed="81"/>
      <name val="Tahoma"/>
      <family val="2"/>
    </font>
    <font>
      <b/>
      <sz val="9"/>
      <color indexed="81"/>
      <name val="Tahoma"/>
      <family val="2"/>
    </font>
    <font>
      <b/>
      <sz val="16"/>
      <name val="Times New Roman"/>
      <family val="1"/>
    </font>
    <font>
      <b/>
      <sz val="16"/>
      <color theme="0"/>
      <name val="Times New Roman"/>
      <family val="1"/>
    </font>
    <font>
      <sz val="11"/>
      <color rgb="FF006100"/>
      <name val="Calibri"/>
      <family val="2"/>
      <scheme val="minor"/>
    </font>
    <font>
      <sz val="12"/>
      <color theme="1"/>
      <name val="Candara"/>
      <family val="2"/>
    </font>
    <font>
      <b/>
      <sz val="36"/>
      <color theme="1"/>
      <name val="Times New Roman"/>
      <family val="1"/>
    </font>
    <font>
      <b/>
      <sz val="16"/>
      <color theme="1"/>
      <name val="Candara"/>
      <family val="2"/>
    </font>
  </fonts>
  <fills count="31">
    <fill>
      <patternFill patternType="none"/>
    </fill>
    <fill>
      <patternFill patternType="gray125"/>
    </fill>
    <fill>
      <patternFill patternType="solid">
        <fgColor theme="2" tint="-0.249977111117893"/>
        <bgColor indexed="64"/>
      </patternFill>
    </fill>
    <fill>
      <patternFill patternType="solid">
        <fgColor theme="4"/>
        <bgColor theme="4"/>
      </patternFill>
    </fill>
    <fill>
      <patternFill patternType="solid">
        <fgColor theme="4"/>
        <bgColor theme="4" tint="0.59999389629810485"/>
      </patternFill>
    </fill>
    <fill>
      <patternFill patternType="solid">
        <fgColor theme="5"/>
        <bgColor theme="5"/>
      </patternFill>
    </fill>
    <fill>
      <patternFill patternType="solid">
        <fgColor theme="5" tint="0.59999389629810485"/>
        <bgColor theme="5" tint="0.59999389629810485"/>
      </patternFill>
    </fill>
    <fill>
      <patternFill patternType="solid">
        <fgColor theme="5"/>
        <bgColor indexed="64"/>
      </patternFill>
    </fill>
    <fill>
      <patternFill patternType="solid">
        <fgColor theme="5" tint="-0.499984740745262"/>
        <bgColor theme="5" tint="0.59999389629810485"/>
      </patternFill>
    </fill>
    <fill>
      <patternFill patternType="solid">
        <fgColor theme="5" tint="0.59999389629810485"/>
        <bgColor theme="5" tint="0.79998168889431442"/>
      </patternFill>
    </fill>
    <fill>
      <patternFill patternType="solid">
        <fgColor theme="5" tint="-0.499984740745262"/>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5" tint="0.79998168889431442"/>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3" tint="0.39997558519241921"/>
        <bgColor theme="4" tint="0.59999389629810485"/>
      </patternFill>
    </fill>
    <fill>
      <patternFill patternType="solid">
        <fgColor theme="3" tint="0.39997558519241921"/>
        <bgColor theme="4"/>
      </patternFill>
    </fill>
    <fill>
      <patternFill patternType="solid">
        <fgColor theme="3" tint="0.59999389629810485"/>
        <bgColor theme="4"/>
      </patternFill>
    </fill>
    <fill>
      <patternFill patternType="solid">
        <fgColor theme="3" tint="0.79998168889431442"/>
        <bgColor theme="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theme="4"/>
      </patternFill>
    </fill>
    <fill>
      <patternFill patternType="solid">
        <fgColor theme="7" tint="0.79998168889431442"/>
        <bgColor indexed="64"/>
      </patternFill>
    </fill>
    <fill>
      <patternFill patternType="solid">
        <fgColor theme="6" tint="0.59999389629810485"/>
        <bgColor theme="4"/>
      </patternFill>
    </fill>
    <fill>
      <patternFill patternType="solid">
        <fgColor theme="7" tint="0.59999389629810485"/>
        <bgColor theme="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9" tint="0.59999389629810485"/>
        <bgColor theme="4" tint="0.59999389629810485"/>
      </patternFill>
    </fill>
    <fill>
      <patternFill patternType="solid">
        <fgColor theme="9" tint="0.59999389629810485"/>
        <bgColor indexed="64"/>
      </patternFill>
    </fill>
    <fill>
      <patternFill patternType="solid">
        <fgColor rgb="FFC6EFCE"/>
      </patternFill>
    </fill>
  </fills>
  <borders count="74">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theme="0"/>
      </left>
      <right/>
      <top/>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right/>
      <top/>
      <bottom style="medium">
        <color indexed="64"/>
      </bottom>
      <diagonal/>
    </border>
    <border>
      <left style="thin">
        <color indexed="64"/>
      </left>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diagonal/>
    </border>
    <border>
      <left/>
      <right style="thin">
        <color indexed="64"/>
      </right>
      <top/>
      <bottom/>
      <diagonal/>
    </border>
    <border>
      <left style="thin">
        <color indexed="64"/>
      </left>
      <right/>
      <top style="medium">
        <color indexed="64"/>
      </top>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bottom style="thin">
        <color indexed="64"/>
      </bottom>
      <diagonal/>
    </border>
    <border>
      <left/>
      <right/>
      <top style="thin">
        <color indexed="64"/>
      </top>
      <bottom style="medium">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thin">
        <color indexed="64"/>
      </bottom>
      <diagonal/>
    </border>
    <border>
      <left style="thin">
        <color indexed="64"/>
      </left>
      <right style="medium">
        <color indexed="64"/>
      </right>
      <top/>
      <bottom style="hair">
        <color indexed="64"/>
      </bottom>
      <diagonal/>
    </border>
    <border>
      <left style="medium">
        <color indexed="64"/>
      </left>
      <right style="thin">
        <color indexed="64"/>
      </right>
      <top/>
      <bottom style="hair">
        <color indexed="64"/>
      </bottom>
      <diagonal/>
    </border>
    <border>
      <left style="thin">
        <color indexed="64"/>
      </left>
      <right style="thin">
        <color indexed="64"/>
      </right>
      <top/>
      <bottom style="hair">
        <color indexed="64"/>
      </bottom>
      <diagonal/>
    </border>
    <border>
      <left/>
      <right style="thin">
        <color indexed="64"/>
      </right>
      <top style="medium">
        <color indexed="64"/>
      </top>
      <bottom/>
      <diagonal/>
    </border>
    <border>
      <left/>
      <right/>
      <top/>
      <bottom style="thin">
        <color indexed="64"/>
      </bottom>
      <diagonal/>
    </border>
  </borders>
  <cellStyleXfs count="4">
    <xf numFmtId="0" fontId="0" fillId="0" borderId="0"/>
    <xf numFmtId="43" fontId="13" fillId="0" borderId="0" applyFont="0" applyFill="0" applyBorder="0" applyAlignment="0" applyProtection="0"/>
    <xf numFmtId="0" fontId="21" fillId="30" borderId="0" applyNumberFormat="0" applyBorder="0" applyAlignment="0" applyProtection="0"/>
    <xf numFmtId="44" fontId="13" fillId="0" borderId="0" applyFont="0" applyFill="0" applyBorder="0" applyAlignment="0" applyProtection="0"/>
  </cellStyleXfs>
  <cellXfs count="292">
    <xf numFmtId="0" fontId="0" fillId="0" borderId="0" xfId="0"/>
    <xf numFmtId="0" fontId="1" fillId="0" borderId="0" xfId="0" applyFont="1" applyProtection="1"/>
    <xf numFmtId="0" fontId="2" fillId="0" borderId="0" xfId="0" applyFont="1" applyAlignment="1" applyProtection="1">
      <alignment horizontal="center" vertical="center"/>
    </xf>
    <xf numFmtId="0" fontId="3" fillId="0" borderId="0" xfId="0" applyFont="1" applyAlignment="1" applyProtection="1"/>
    <xf numFmtId="0" fontId="4" fillId="0" borderId="0" xfId="0" applyFont="1" applyFill="1" applyBorder="1" applyAlignment="1" applyProtection="1">
      <alignment horizontal="center" wrapText="1"/>
    </xf>
    <xf numFmtId="0" fontId="4" fillId="0" borderId="10" xfId="0" applyFont="1" applyFill="1" applyBorder="1" applyAlignment="1" applyProtection="1">
      <alignment horizontal="center" wrapText="1"/>
    </xf>
    <xf numFmtId="0" fontId="1" fillId="0" borderId="0" xfId="0" applyFont="1" applyAlignment="1" applyProtection="1">
      <alignment horizontal="center" wrapText="1"/>
    </xf>
    <xf numFmtId="0" fontId="5" fillId="0" borderId="0" xfId="0" applyFont="1" applyAlignment="1" applyProtection="1">
      <alignment wrapText="1"/>
    </xf>
    <xf numFmtId="14" fontId="6" fillId="0" borderId="0" xfId="0" applyNumberFormat="1" applyFont="1" applyAlignment="1" applyProtection="1"/>
    <xf numFmtId="0" fontId="6" fillId="0" borderId="0" xfId="0" applyFont="1" applyAlignment="1" applyProtection="1"/>
    <xf numFmtId="0" fontId="7" fillId="2" borderId="31" xfId="0" applyFont="1" applyFill="1" applyBorder="1" applyAlignment="1" applyProtection="1">
      <alignment horizontal="center" vertical="center"/>
    </xf>
    <xf numFmtId="0" fontId="8" fillId="0" borderId="0" xfId="0" applyFont="1" applyFill="1" applyBorder="1" applyAlignment="1" applyProtection="1">
      <alignment horizontal="right" vertical="center"/>
    </xf>
    <xf numFmtId="0" fontId="8" fillId="2" borderId="22" xfId="0" applyFont="1" applyFill="1" applyBorder="1" applyAlignment="1" applyProtection="1">
      <alignment horizontal="right" vertical="center"/>
    </xf>
    <xf numFmtId="0" fontId="8" fillId="2" borderId="6" xfId="0" applyFont="1" applyFill="1" applyBorder="1" applyAlignment="1" applyProtection="1">
      <alignment horizontal="right" vertical="center"/>
    </xf>
    <xf numFmtId="0" fontId="8" fillId="2" borderId="7" xfId="0" applyFont="1" applyFill="1" applyBorder="1" applyAlignment="1" applyProtection="1">
      <alignment horizontal="right" vertical="center"/>
    </xf>
    <xf numFmtId="0" fontId="1" fillId="0" borderId="0" xfId="0" applyFont="1" applyAlignment="1" applyProtection="1">
      <alignment horizontal="center" vertical="center"/>
    </xf>
    <xf numFmtId="0" fontId="9" fillId="2" borderId="7" xfId="0" applyFont="1" applyFill="1" applyBorder="1" applyAlignment="1" applyProtection="1">
      <alignment horizontal="center" vertical="center"/>
    </xf>
    <xf numFmtId="0" fontId="9" fillId="2" borderId="21" xfId="0" applyFont="1" applyFill="1" applyBorder="1" applyAlignment="1" applyProtection="1">
      <alignment horizontal="center" vertical="center"/>
    </xf>
    <xf numFmtId="0" fontId="1" fillId="2" borderId="17" xfId="0" applyFont="1" applyFill="1" applyBorder="1" applyAlignment="1" applyProtection="1">
      <alignment horizontal="center" vertical="center"/>
    </xf>
    <xf numFmtId="0" fontId="1" fillId="2" borderId="1" xfId="0" applyFont="1" applyFill="1" applyBorder="1" applyAlignment="1" applyProtection="1">
      <alignment horizontal="center" vertical="center"/>
    </xf>
    <xf numFmtId="0" fontId="1" fillId="2" borderId="21" xfId="0" applyFont="1" applyFill="1" applyBorder="1" applyAlignment="1" applyProtection="1">
      <alignment horizontal="center" vertical="center"/>
    </xf>
    <xf numFmtId="0" fontId="1" fillId="2" borderId="31" xfId="0" applyFont="1" applyFill="1" applyBorder="1" applyAlignment="1" applyProtection="1">
      <alignment vertical="center" wrapText="1"/>
    </xf>
    <xf numFmtId="0" fontId="1" fillId="2" borderId="34" xfId="0" applyFont="1" applyFill="1" applyBorder="1" applyAlignment="1" applyProtection="1">
      <alignment horizontal="center" vertical="center"/>
    </xf>
    <xf numFmtId="0" fontId="3" fillId="0" borderId="0" xfId="0" applyFont="1" applyAlignment="1" applyProtection="1">
      <alignment horizontal="center" vertical="center"/>
    </xf>
    <xf numFmtId="0" fontId="1" fillId="0" borderId="0" xfId="0" applyFont="1" applyAlignment="1" applyProtection="1">
      <alignment horizontal="center" vertical="center" wrapText="1"/>
    </xf>
    <xf numFmtId="0" fontId="4" fillId="0" borderId="0" xfId="0" applyFont="1" applyFill="1" applyBorder="1" applyAlignment="1" applyProtection="1">
      <alignment horizontal="center" vertical="center" wrapText="1"/>
    </xf>
    <xf numFmtId="0" fontId="4" fillId="0" borderId="10" xfId="0" applyFont="1" applyFill="1" applyBorder="1" applyAlignment="1" applyProtection="1">
      <alignment horizontal="center" vertical="center" wrapText="1"/>
    </xf>
    <xf numFmtId="0" fontId="4" fillId="4" borderId="11" xfId="0" applyFont="1" applyFill="1" applyBorder="1" applyAlignment="1" applyProtection="1">
      <alignment horizontal="center" vertical="center" wrapText="1"/>
    </xf>
    <xf numFmtId="0" fontId="1" fillId="0" borderId="0" xfId="0" applyFont="1" applyFill="1" applyAlignment="1" applyProtection="1">
      <alignment horizontal="center" vertical="center"/>
    </xf>
    <xf numFmtId="0" fontId="1" fillId="0" borderId="0" xfId="0" applyFont="1" applyAlignment="1">
      <alignment horizontal="center" vertical="center"/>
    </xf>
    <xf numFmtId="0" fontId="1" fillId="0" borderId="0" xfId="0" applyFont="1"/>
    <xf numFmtId="0" fontId="2"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xf numFmtId="0" fontId="9" fillId="0" borderId="0" xfId="0" applyFont="1" applyAlignment="1">
      <alignment horizontal="center" vertical="center"/>
    </xf>
    <xf numFmtId="0" fontId="9" fillId="0" borderId="0" xfId="0" applyFont="1" applyAlignment="1"/>
    <xf numFmtId="0" fontId="1" fillId="0" borderId="0" xfId="0" applyFont="1" applyAlignment="1">
      <alignment horizontal="center" vertical="center" wrapText="1"/>
    </xf>
    <xf numFmtId="0" fontId="4" fillId="0" borderId="0"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4" fillId="5" borderId="31" xfId="0" applyFont="1" applyFill="1" applyBorder="1" applyAlignment="1">
      <alignment horizontal="center" vertical="center" wrapText="1"/>
    </xf>
    <xf numFmtId="0" fontId="4" fillId="5" borderId="34" xfId="0" applyFont="1" applyFill="1" applyBorder="1" applyAlignment="1">
      <alignment horizontal="center" vertical="center" wrapText="1"/>
    </xf>
    <xf numFmtId="0" fontId="4" fillId="5" borderId="2" xfId="0" applyFont="1" applyFill="1" applyBorder="1" applyAlignment="1">
      <alignment horizontal="center" vertical="center" wrapText="1"/>
    </xf>
    <xf numFmtId="2" fontId="1" fillId="6" borderId="22" xfId="0" applyNumberFormat="1" applyFont="1" applyFill="1" applyBorder="1" applyAlignment="1">
      <alignment horizontal="center" vertical="center"/>
    </xf>
    <xf numFmtId="1" fontId="1" fillId="0" borderId="17" xfId="0" applyNumberFormat="1" applyFont="1" applyFill="1" applyBorder="1" applyAlignment="1" applyProtection="1">
      <alignment horizontal="center" vertical="center"/>
      <protection locked="0"/>
    </xf>
    <xf numFmtId="0" fontId="4" fillId="7" borderId="6" xfId="0" applyFont="1" applyFill="1" applyBorder="1" applyAlignment="1">
      <alignment horizontal="center" vertical="center" wrapText="1"/>
    </xf>
    <xf numFmtId="2" fontId="1" fillId="9" borderId="6" xfId="0" applyNumberFormat="1" applyFont="1" applyFill="1" applyBorder="1" applyAlignment="1">
      <alignment horizontal="center" vertical="center"/>
    </xf>
    <xf numFmtId="1" fontId="1" fillId="0" borderId="1" xfId="0" applyNumberFormat="1" applyFont="1" applyFill="1" applyBorder="1" applyAlignment="1" applyProtection="1">
      <alignment horizontal="center" vertical="center"/>
      <protection locked="0"/>
    </xf>
    <xf numFmtId="0" fontId="1" fillId="8" borderId="11" xfId="0" applyFont="1" applyFill="1" applyBorder="1" applyAlignment="1">
      <alignment vertical="center"/>
    </xf>
    <xf numFmtId="2" fontId="1" fillId="6" borderId="6" xfId="0" applyNumberFormat="1" applyFont="1" applyFill="1" applyBorder="1" applyAlignment="1">
      <alignment horizontal="center" vertical="center"/>
    </xf>
    <xf numFmtId="0" fontId="1" fillId="8" borderId="15" xfId="0" applyFont="1" applyFill="1" applyBorder="1" applyAlignment="1">
      <alignment vertical="center"/>
    </xf>
    <xf numFmtId="0" fontId="4" fillId="7" borderId="7" xfId="0" applyFont="1" applyFill="1" applyBorder="1" applyAlignment="1">
      <alignment horizontal="center" vertical="center" wrapText="1"/>
    </xf>
    <xf numFmtId="0" fontId="1" fillId="8" borderId="23" xfId="0" applyFont="1" applyFill="1" applyBorder="1" applyAlignment="1">
      <alignment vertical="center"/>
    </xf>
    <xf numFmtId="2" fontId="1" fillId="0" borderId="0" xfId="0" applyNumberFormat="1" applyFont="1"/>
    <xf numFmtId="2" fontId="1" fillId="6" borderId="37" xfId="0" applyNumberFormat="1" applyFont="1" applyFill="1" applyBorder="1" applyAlignment="1">
      <alignment horizontal="center" vertical="center"/>
    </xf>
    <xf numFmtId="2" fontId="12" fillId="6" borderId="31" xfId="0" applyNumberFormat="1" applyFont="1" applyFill="1" applyBorder="1" applyAlignment="1">
      <alignment horizontal="center" vertical="center"/>
    </xf>
    <xf numFmtId="0" fontId="1" fillId="8" borderId="38" xfId="0" applyFont="1" applyFill="1" applyBorder="1" applyAlignment="1">
      <alignment horizontal="center" vertical="center"/>
    </xf>
    <xf numFmtId="0" fontId="4" fillId="7" borderId="22" xfId="0" applyFont="1" applyFill="1" applyBorder="1" applyAlignment="1">
      <alignment horizontal="center" vertical="center" wrapText="1"/>
    </xf>
    <xf numFmtId="1" fontId="1" fillId="0" borderId="3" xfId="0" applyNumberFormat="1" applyFont="1" applyFill="1" applyBorder="1" applyAlignment="1" applyProtection="1">
      <alignment horizontal="center" vertical="center"/>
      <protection locked="0"/>
    </xf>
    <xf numFmtId="0" fontId="4" fillId="7" borderId="42" xfId="0" applyFont="1" applyFill="1" applyBorder="1" applyAlignment="1">
      <alignment horizontal="center" vertical="center" wrapText="1"/>
    </xf>
    <xf numFmtId="2" fontId="1" fillId="9" borderId="42" xfId="0" applyNumberFormat="1" applyFont="1" applyFill="1" applyBorder="1" applyAlignment="1">
      <alignment horizontal="center" vertical="center"/>
    </xf>
    <xf numFmtId="2" fontId="1" fillId="6" borderId="8" xfId="0" applyNumberFormat="1" applyFont="1" applyFill="1" applyBorder="1" applyAlignment="1">
      <alignment horizontal="center" vertical="center"/>
    </xf>
    <xf numFmtId="2" fontId="1" fillId="9" borderId="8" xfId="0" applyNumberFormat="1" applyFont="1" applyFill="1" applyBorder="1" applyAlignment="1">
      <alignment horizontal="center" vertical="center"/>
    </xf>
    <xf numFmtId="2" fontId="1" fillId="9" borderId="46" xfId="0" applyNumberFormat="1" applyFont="1" applyFill="1" applyBorder="1" applyAlignment="1">
      <alignment horizontal="center" vertical="center"/>
    </xf>
    <xf numFmtId="2" fontId="1" fillId="6" borderId="18" xfId="0" applyNumberFormat="1" applyFont="1" applyFill="1" applyBorder="1" applyAlignment="1">
      <alignment horizontal="center" vertical="center"/>
    </xf>
    <xf numFmtId="164" fontId="1" fillId="10" borderId="24" xfId="0" applyNumberFormat="1" applyFont="1" applyFill="1" applyBorder="1" applyAlignment="1" applyProtection="1">
      <alignment horizontal="center" vertical="center"/>
    </xf>
    <xf numFmtId="164" fontId="1" fillId="8" borderId="17" xfId="0" applyNumberFormat="1" applyFont="1" applyFill="1" applyBorder="1" applyAlignment="1">
      <alignment horizontal="center" vertical="center"/>
    </xf>
    <xf numFmtId="166" fontId="1" fillId="0" borderId="44" xfId="0" applyNumberFormat="1" applyFont="1" applyFill="1" applyBorder="1" applyAlignment="1" applyProtection="1">
      <alignment horizontal="center" vertical="center"/>
      <protection locked="0"/>
    </xf>
    <xf numFmtId="166" fontId="1" fillId="9" borderId="3" xfId="0" applyNumberFormat="1" applyFont="1" applyFill="1" applyBorder="1" applyAlignment="1">
      <alignment horizontal="center" vertical="center"/>
    </xf>
    <xf numFmtId="166" fontId="1" fillId="9" borderId="18" xfId="0" applyNumberFormat="1" applyFont="1" applyFill="1" applyBorder="1" applyAlignment="1">
      <alignment horizontal="center" vertical="center"/>
    </xf>
    <xf numFmtId="166" fontId="1" fillId="9" borderId="46" xfId="0" applyNumberFormat="1" applyFont="1" applyFill="1" applyBorder="1" applyAlignment="1">
      <alignment horizontal="center" vertical="center"/>
    </xf>
    <xf numFmtId="0" fontId="9" fillId="2" borderId="9" xfId="0" applyFont="1" applyFill="1" applyBorder="1" applyAlignment="1" applyProtection="1">
      <alignment horizontal="center" vertical="center"/>
    </xf>
    <xf numFmtId="0" fontId="4" fillId="3" borderId="48" xfId="0" applyFont="1" applyFill="1" applyBorder="1" applyAlignment="1" applyProtection="1">
      <alignment horizontal="center" vertical="center" wrapText="1"/>
    </xf>
    <xf numFmtId="0" fontId="4" fillId="3" borderId="39" xfId="0" applyFont="1" applyFill="1" applyBorder="1" applyAlignment="1" applyProtection="1">
      <alignment horizontal="center" vertical="center" wrapText="1"/>
    </xf>
    <xf numFmtId="2" fontId="15" fillId="11" borderId="32" xfId="1" applyNumberFormat="1" applyFont="1" applyFill="1" applyBorder="1" applyAlignment="1" applyProtection="1">
      <alignment vertical="center" wrapText="1"/>
      <protection locked="0"/>
    </xf>
    <xf numFmtId="2" fontId="15" fillId="12" borderId="28" xfId="1" applyNumberFormat="1" applyFont="1" applyFill="1" applyBorder="1" applyAlignment="1" applyProtection="1">
      <alignment vertical="center" wrapText="1"/>
      <protection locked="0"/>
    </xf>
    <xf numFmtId="2" fontId="15" fillId="11" borderId="28" xfId="1" applyNumberFormat="1" applyFont="1" applyFill="1" applyBorder="1" applyAlignment="1" applyProtection="1">
      <alignment vertical="center" wrapText="1"/>
      <protection locked="0"/>
    </xf>
    <xf numFmtId="166" fontId="15" fillId="11" borderId="32" xfId="0" applyNumberFormat="1" applyFont="1" applyFill="1" applyBorder="1" applyAlignment="1" applyProtection="1">
      <alignment vertical="center" wrapText="1"/>
      <protection locked="0"/>
    </xf>
    <xf numFmtId="166" fontId="15" fillId="12" borderId="28" xfId="0" applyNumberFormat="1" applyFont="1" applyFill="1" applyBorder="1" applyAlignment="1" applyProtection="1">
      <alignment vertical="center" wrapText="1"/>
      <protection locked="0"/>
    </xf>
    <xf numFmtId="166" fontId="15" fillId="11" borderId="28" xfId="0" applyNumberFormat="1" applyFont="1" applyFill="1" applyBorder="1" applyAlignment="1" applyProtection="1">
      <alignment vertical="center" wrapText="1"/>
      <protection locked="0"/>
    </xf>
    <xf numFmtId="166" fontId="8" fillId="12" borderId="28" xfId="0" applyNumberFormat="1" applyFont="1" applyFill="1" applyBorder="1" applyAlignment="1" applyProtection="1">
      <alignment vertical="center"/>
      <protection locked="0"/>
    </xf>
    <xf numFmtId="166" fontId="8" fillId="11" borderId="28" xfId="0" applyNumberFormat="1" applyFont="1" applyFill="1" applyBorder="1" applyAlignment="1" applyProtection="1">
      <alignment vertical="center"/>
      <protection locked="0"/>
    </xf>
    <xf numFmtId="0" fontId="11" fillId="0" borderId="0" xfId="0" applyFont="1" applyFill="1" applyBorder="1" applyAlignment="1">
      <alignment horizontal="center" vertical="center" wrapText="1"/>
    </xf>
    <xf numFmtId="2" fontId="12" fillId="0" borderId="0" xfId="0" applyNumberFormat="1" applyFont="1" applyFill="1" applyBorder="1" applyAlignment="1">
      <alignment horizontal="center" vertical="center"/>
    </xf>
    <xf numFmtId="0" fontId="1" fillId="0" borderId="0" xfId="0" applyFont="1" applyFill="1" applyBorder="1" applyAlignment="1">
      <alignment horizontal="center" vertical="center"/>
    </xf>
    <xf numFmtId="164" fontId="12" fillId="0" borderId="0" xfId="0" applyNumberFormat="1" applyFont="1" applyFill="1" applyBorder="1" applyAlignment="1">
      <alignment horizontal="center" vertical="center"/>
    </xf>
    <xf numFmtId="166" fontId="1" fillId="0" borderId="50" xfId="0" applyNumberFormat="1" applyFont="1" applyFill="1" applyBorder="1" applyAlignment="1" applyProtection="1">
      <alignment horizontal="center" vertical="center"/>
      <protection locked="0"/>
    </xf>
    <xf numFmtId="166" fontId="1" fillId="9" borderId="15" xfId="0" applyNumberFormat="1" applyFont="1" applyFill="1" applyBorder="1" applyAlignment="1">
      <alignment horizontal="center" vertical="center"/>
    </xf>
    <xf numFmtId="1" fontId="1" fillId="0" borderId="11" xfId="0" applyNumberFormat="1" applyFont="1" applyFill="1" applyBorder="1" applyAlignment="1" applyProtection="1">
      <alignment horizontal="center" vertical="center"/>
      <protection locked="0"/>
    </xf>
    <xf numFmtId="2" fontId="1" fillId="6" borderId="49" xfId="0" applyNumberFormat="1" applyFont="1" applyFill="1" applyBorder="1" applyAlignment="1">
      <alignment horizontal="center" vertical="center"/>
    </xf>
    <xf numFmtId="2" fontId="8" fillId="6" borderId="31" xfId="0" applyNumberFormat="1" applyFont="1" applyFill="1" applyBorder="1" applyAlignment="1">
      <alignment horizontal="center" vertical="center"/>
    </xf>
    <xf numFmtId="0" fontId="8" fillId="8" borderId="38" xfId="0" applyFont="1" applyFill="1" applyBorder="1" applyAlignment="1">
      <alignment horizontal="center" vertical="center"/>
    </xf>
    <xf numFmtId="2" fontId="8" fillId="6" borderId="39" xfId="0" applyNumberFormat="1" applyFont="1" applyFill="1" applyBorder="1" applyAlignment="1">
      <alignment horizontal="center" vertical="center"/>
    </xf>
    <xf numFmtId="0" fontId="1" fillId="15" borderId="1" xfId="0" applyFont="1" applyFill="1" applyBorder="1" applyAlignment="1" applyProtection="1">
      <alignment horizontal="center" vertical="center"/>
    </xf>
    <xf numFmtId="0" fontId="1" fillId="15" borderId="21" xfId="0" applyFont="1" applyFill="1" applyBorder="1" applyAlignment="1" applyProtection="1">
      <alignment horizontal="center" vertical="center"/>
    </xf>
    <xf numFmtId="0" fontId="1" fillId="15" borderId="17" xfId="0" applyFont="1" applyFill="1" applyBorder="1" applyAlignment="1" applyProtection="1">
      <alignment horizontal="center" vertical="center"/>
    </xf>
    <xf numFmtId="166" fontId="19" fillId="16" borderId="5" xfId="1" applyNumberFormat="1" applyFont="1" applyFill="1" applyBorder="1" applyAlignment="1" applyProtection="1">
      <alignment vertical="center" wrapText="1"/>
    </xf>
    <xf numFmtId="166" fontId="20" fillId="17" borderId="47" xfId="0" applyNumberFormat="1" applyFont="1" applyFill="1" applyBorder="1" applyAlignment="1" applyProtection="1">
      <alignment vertical="center" wrapText="1"/>
    </xf>
    <xf numFmtId="166" fontId="11" fillId="17" borderId="45" xfId="0" applyNumberFormat="1" applyFont="1" applyFill="1" applyBorder="1" applyAlignment="1" applyProtection="1">
      <alignment vertical="center" wrapText="1"/>
    </xf>
    <xf numFmtId="166" fontId="11" fillId="17" borderId="49" xfId="0" applyNumberFormat="1" applyFont="1" applyFill="1" applyBorder="1" applyAlignment="1" applyProtection="1">
      <alignment vertical="center" wrapText="1"/>
    </xf>
    <xf numFmtId="2" fontId="1" fillId="9" borderId="6" xfId="0" applyNumberFormat="1" applyFont="1" applyFill="1" applyBorder="1" applyAlignment="1" applyProtection="1">
      <alignment horizontal="center" vertical="center"/>
      <protection locked="0"/>
    </xf>
    <xf numFmtId="0" fontId="1" fillId="0" borderId="0" xfId="0" quotePrefix="1" applyFont="1" applyAlignment="1" applyProtection="1">
      <alignment horizontal="center" vertical="top" wrapText="1"/>
    </xf>
    <xf numFmtId="0" fontId="1" fillId="6" borderId="32" xfId="0" applyFont="1" applyFill="1" applyBorder="1" applyAlignment="1">
      <alignment horizontal="center" vertical="center"/>
    </xf>
    <xf numFmtId="0" fontId="1" fillId="6" borderId="3" xfId="0" applyFont="1" applyFill="1" applyBorder="1" applyAlignment="1">
      <alignment horizontal="center" vertical="center"/>
    </xf>
    <xf numFmtId="0" fontId="1" fillId="21" borderId="1" xfId="0" applyFont="1" applyFill="1" applyBorder="1" applyAlignment="1" applyProtection="1">
      <alignment horizontal="center" vertical="center"/>
      <protection locked="0"/>
    </xf>
    <xf numFmtId="0" fontId="1" fillId="23" borderId="1" xfId="0" applyFont="1" applyFill="1" applyBorder="1" applyAlignment="1" applyProtection="1">
      <alignment horizontal="center" vertical="center"/>
      <protection locked="0"/>
    </xf>
    <xf numFmtId="0" fontId="16" fillId="19" borderId="1" xfId="0" applyFont="1" applyFill="1" applyBorder="1" applyAlignment="1" applyProtection="1">
      <alignment horizontal="center" vertical="center" wrapText="1"/>
    </xf>
    <xf numFmtId="0" fontId="4" fillId="5" borderId="28" xfId="0" applyFont="1" applyFill="1" applyBorder="1" applyAlignment="1">
      <alignment horizontal="center" vertical="center" textRotation="90" wrapText="1"/>
    </xf>
    <xf numFmtId="0" fontId="16" fillId="24" borderId="11" xfId="0" applyFont="1" applyFill="1" applyBorder="1" applyAlignment="1" applyProtection="1">
      <alignment horizontal="center" vertical="center" textRotation="90" wrapText="1"/>
    </xf>
    <xf numFmtId="0" fontId="16" fillId="25" borderId="15" xfId="0" applyFont="1" applyFill="1" applyBorder="1" applyAlignment="1" applyProtection="1">
      <alignment horizontal="center" vertical="center" textRotation="90" wrapText="1"/>
    </xf>
    <xf numFmtId="0" fontId="16" fillId="25" borderId="32" xfId="0" applyFont="1" applyFill="1" applyBorder="1" applyAlignment="1" applyProtection="1">
      <alignment horizontal="center" vertical="center" wrapText="1"/>
    </xf>
    <xf numFmtId="0" fontId="1" fillId="8" borderId="26" xfId="0" applyFont="1" applyFill="1" applyBorder="1" applyAlignment="1">
      <alignment vertical="center"/>
    </xf>
    <xf numFmtId="0" fontId="1" fillId="6" borderId="14" xfId="0" applyFont="1" applyFill="1" applyBorder="1" applyAlignment="1">
      <alignment horizontal="center" vertical="center"/>
    </xf>
    <xf numFmtId="0" fontId="16" fillId="28" borderId="11" xfId="0" applyFont="1" applyFill="1" applyBorder="1" applyAlignment="1" applyProtection="1">
      <alignment horizontal="center" vertical="center" textRotation="90" wrapText="1"/>
    </xf>
    <xf numFmtId="165" fontId="1" fillId="26" borderId="18" xfId="0" applyNumberFormat="1" applyFont="1" applyFill="1" applyBorder="1" applyAlignment="1" applyProtection="1">
      <alignment horizontal="center" vertical="center"/>
    </xf>
    <xf numFmtId="165" fontId="1" fillId="26" borderId="8" xfId="0" applyNumberFormat="1" applyFont="1" applyFill="1" applyBorder="1" applyAlignment="1" applyProtection="1">
      <alignment horizontal="center" vertical="center"/>
    </xf>
    <xf numFmtId="165" fontId="1" fillId="26" borderId="9" xfId="0" applyNumberFormat="1" applyFont="1" applyFill="1" applyBorder="1" applyAlignment="1" applyProtection="1">
      <alignment horizontal="center" vertical="center"/>
    </xf>
    <xf numFmtId="165" fontId="1" fillId="26" borderId="39" xfId="0" applyNumberFormat="1" applyFont="1" applyFill="1" applyBorder="1" applyAlignment="1" applyProtection="1">
      <alignment horizontal="center" vertical="center"/>
    </xf>
    <xf numFmtId="0" fontId="4" fillId="3" borderId="12" xfId="0" applyFont="1" applyFill="1" applyBorder="1" applyAlignment="1" applyProtection="1">
      <alignment horizontal="center" vertical="center" wrapText="1"/>
    </xf>
    <xf numFmtId="0" fontId="10" fillId="14" borderId="20" xfId="0" applyFont="1" applyFill="1" applyBorder="1" applyAlignment="1" applyProtection="1">
      <alignment horizontal="center" vertical="center"/>
    </xf>
    <xf numFmtId="0" fontId="10" fillId="14" borderId="23" xfId="0" applyFont="1" applyFill="1" applyBorder="1" applyAlignment="1" applyProtection="1">
      <alignment horizontal="center" vertical="center"/>
    </xf>
    <xf numFmtId="0" fontId="1" fillId="29" borderId="31" xfId="0" applyFont="1" applyFill="1" applyBorder="1" applyAlignment="1" applyProtection="1">
      <alignment horizontal="center" vertical="center" textRotation="90" wrapText="1"/>
    </xf>
    <xf numFmtId="0" fontId="4" fillId="14" borderId="34" xfId="0" applyFont="1" applyFill="1" applyBorder="1" applyAlignment="1">
      <alignment horizontal="center" vertical="center" textRotation="90" wrapText="1"/>
    </xf>
    <xf numFmtId="0" fontId="16" fillId="15" borderId="34" xfId="0" applyFont="1" applyFill="1" applyBorder="1" applyAlignment="1">
      <alignment horizontal="center" vertical="center" textRotation="90" wrapText="1"/>
    </xf>
    <xf numFmtId="0" fontId="16" fillId="15" borderId="34" xfId="0" quotePrefix="1" applyFont="1" applyFill="1" applyBorder="1" applyAlignment="1">
      <alignment horizontal="center" vertical="center" textRotation="90" wrapText="1"/>
    </xf>
    <xf numFmtId="0" fontId="4" fillId="10" borderId="39" xfId="0" applyFont="1" applyFill="1" applyBorder="1" applyAlignment="1">
      <alignment horizontal="center" vertical="center" textRotation="90" wrapText="1"/>
    </xf>
    <xf numFmtId="0" fontId="1" fillId="27" borderId="22" xfId="0" applyFont="1" applyFill="1" applyBorder="1" applyAlignment="1" applyProtection="1">
      <alignment horizontal="center" vertical="center"/>
    </xf>
    <xf numFmtId="0" fontId="1" fillId="27" borderId="6" xfId="0" applyFont="1" applyFill="1" applyBorder="1" applyAlignment="1" applyProtection="1">
      <alignment horizontal="center" vertical="center"/>
    </xf>
    <xf numFmtId="0" fontId="1" fillId="27" borderId="7" xfId="0" applyFont="1" applyFill="1" applyBorder="1" applyAlignment="1" applyProtection="1">
      <alignment horizontal="center" vertical="center"/>
    </xf>
    <xf numFmtId="0" fontId="10" fillId="14" borderId="17" xfId="0" applyFont="1" applyFill="1" applyBorder="1" applyAlignment="1" applyProtection="1">
      <alignment horizontal="center" vertical="center"/>
    </xf>
    <xf numFmtId="0" fontId="10" fillId="14" borderId="1" xfId="0" applyFont="1" applyFill="1" applyBorder="1" applyAlignment="1" applyProtection="1">
      <alignment horizontal="center" vertical="center"/>
    </xf>
    <xf numFmtId="0" fontId="10" fillId="14" borderId="21" xfId="0" applyFont="1" applyFill="1" applyBorder="1" applyAlignment="1" applyProtection="1">
      <alignment horizontal="center" vertical="center"/>
    </xf>
    <xf numFmtId="0" fontId="11" fillId="10" borderId="18" xfId="0" applyFont="1" applyFill="1" applyBorder="1" applyAlignment="1" applyProtection="1">
      <alignment horizontal="center" vertical="center"/>
    </xf>
    <xf numFmtId="0" fontId="11" fillId="10" borderId="8"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52" xfId="0" applyFont="1" applyFill="1" applyBorder="1" applyAlignment="1" applyProtection="1">
      <alignment horizontal="center" vertical="center"/>
    </xf>
    <xf numFmtId="0" fontId="16" fillId="18" borderId="15" xfId="0" applyFont="1" applyFill="1" applyBorder="1" applyAlignment="1" applyProtection="1">
      <alignment horizontal="center" vertical="center" wrapText="1"/>
    </xf>
    <xf numFmtId="0" fontId="10" fillId="14" borderId="52" xfId="0" applyFont="1" applyFill="1" applyBorder="1" applyAlignment="1" applyProtection="1">
      <alignment horizontal="center" vertical="center"/>
    </xf>
    <xf numFmtId="0" fontId="1" fillId="23" borderId="8" xfId="0" applyFont="1" applyFill="1" applyBorder="1" applyAlignment="1" applyProtection="1">
      <alignment horizontal="center" vertical="center" wrapText="1"/>
      <protection locked="0"/>
    </xf>
    <xf numFmtId="0" fontId="8" fillId="2" borderId="36" xfId="0" applyFont="1" applyFill="1" applyBorder="1" applyAlignment="1" applyProtection="1">
      <alignment horizontal="right" vertical="center"/>
    </xf>
    <xf numFmtId="0" fontId="1" fillId="2" borderId="2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9" fillId="2" borderId="46" xfId="0" applyFont="1" applyFill="1" applyBorder="1" applyAlignment="1" applyProtection="1">
      <alignment horizontal="center" vertical="center" wrapText="1"/>
    </xf>
    <xf numFmtId="165" fontId="1" fillId="26" borderId="42" xfId="0" applyNumberFormat="1" applyFont="1" applyFill="1" applyBorder="1" applyAlignment="1" applyProtection="1">
      <alignment horizontal="center" vertical="center" wrapText="1"/>
    </xf>
    <xf numFmtId="165" fontId="1" fillId="26" borderId="3" xfId="0" applyNumberFormat="1" applyFont="1" applyFill="1" applyBorder="1" applyAlignment="1" applyProtection="1">
      <alignment horizontal="center" vertical="center" wrapText="1"/>
    </xf>
    <xf numFmtId="165" fontId="1" fillId="26" borderId="46" xfId="0" applyNumberFormat="1" applyFont="1" applyFill="1" applyBorder="1" applyAlignment="1" applyProtection="1">
      <alignment horizontal="center" vertical="center" wrapText="1"/>
    </xf>
    <xf numFmtId="0" fontId="8" fillId="2" borderId="59" xfId="0" applyFont="1" applyFill="1" applyBorder="1" applyAlignment="1" applyProtection="1">
      <alignment horizontal="right" vertical="center"/>
    </xf>
    <xf numFmtId="0" fontId="8" fillId="0" borderId="14" xfId="0" applyFont="1" applyFill="1" applyBorder="1" applyAlignment="1" applyProtection="1">
      <alignment vertical="center"/>
      <protection locked="0"/>
    </xf>
    <xf numFmtId="2" fontId="1" fillId="6" borderId="42" xfId="0" applyNumberFormat="1" applyFont="1" applyFill="1" applyBorder="1" applyAlignment="1">
      <alignment horizontal="center" vertical="center"/>
    </xf>
    <xf numFmtId="166" fontId="1" fillId="0" borderId="17" xfId="0" applyNumberFormat="1" applyFont="1" applyFill="1" applyBorder="1" applyAlignment="1" applyProtection="1">
      <alignment horizontal="center" vertical="center"/>
      <protection locked="0"/>
    </xf>
    <xf numFmtId="165" fontId="1" fillId="26" borderId="62" xfId="0" applyNumberFormat="1" applyFont="1" applyFill="1" applyBorder="1" applyAlignment="1" applyProtection="1">
      <alignment horizontal="center" vertical="center" wrapText="1"/>
    </xf>
    <xf numFmtId="165" fontId="1" fillId="26" borderId="63" xfId="0" applyNumberFormat="1" applyFont="1" applyFill="1" applyBorder="1" applyAlignment="1" applyProtection="1">
      <alignment horizontal="center" vertical="center" wrapText="1"/>
    </xf>
    <xf numFmtId="165" fontId="1" fillId="26" borderId="64" xfId="0" applyNumberFormat="1" applyFont="1" applyFill="1" applyBorder="1" applyAlignment="1" applyProtection="1">
      <alignment horizontal="center" vertical="center" wrapText="1"/>
    </xf>
    <xf numFmtId="165" fontId="1" fillId="26" borderId="65" xfId="0" applyNumberFormat="1" applyFont="1" applyFill="1" applyBorder="1" applyAlignment="1" applyProtection="1">
      <alignment horizontal="center" vertical="center" wrapText="1"/>
    </xf>
    <xf numFmtId="165" fontId="1" fillId="26" borderId="66" xfId="0" applyNumberFormat="1" applyFont="1" applyFill="1" applyBorder="1" applyAlignment="1" applyProtection="1">
      <alignment horizontal="center" vertical="center" wrapText="1"/>
    </xf>
    <xf numFmtId="165" fontId="1" fillId="26" borderId="67" xfId="0" applyNumberFormat="1" applyFont="1" applyFill="1" applyBorder="1" applyAlignment="1" applyProtection="1">
      <alignment horizontal="center" vertical="center" wrapText="1"/>
    </xf>
    <xf numFmtId="0" fontId="9" fillId="2" borderId="41" xfId="0" applyFont="1" applyFill="1" applyBorder="1" applyAlignment="1" applyProtection="1">
      <alignment horizontal="center" vertical="center" wrapText="1"/>
    </xf>
    <xf numFmtId="0" fontId="9" fillId="2" borderId="68" xfId="0" applyFont="1" applyFill="1" applyBorder="1" applyAlignment="1" applyProtection="1">
      <alignment horizontal="center" vertical="center" wrapText="1"/>
    </xf>
    <xf numFmtId="0" fontId="9" fillId="2" borderId="49" xfId="0" applyFont="1" applyFill="1" applyBorder="1" applyAlignment="1" applyProtection="1">
      <alignment horizontal="center" vertical="center" wrapText="1"/>
    </xf>
    <xf numFmtId="0" fontId="9" fillId="2" borderId="67" xfId="0" applyFont="1" applyFill="1" applyBorder="1" applyAlignment="1" applyProtection="1">
      <alignment horizontal="center" vertical="center" wrapText="1"/>
    </xf>
    <xf numFmtId="0" fontId="9" fillId="2" borderId="52" xfId="0" applyFont="1" applyFill="1" applyBorder="1" applyAlignment="1" applyProtection="1">
      <alignment horizontal="center" vertical="center" wrapText="1"/>
    </xf>
    <xf numFmtId="165" fontId="1" fillId="26" borderId="20" xfId="0" applyNumberFormat="1" applyFont="1" applyFill="1" applyBorder="1" applyAlignment="1" applyProtection="1">
      <alignment horizontal="center" vertical="center" wrapText="1"/>
    </xf>
    <xf numFmtId="165" fontId="1" fillId="26" borderId="23" xfId="0" applyNumberFormat="1" applyFont="1" applyFill="1" applyBorder="1" applyAlignment="1" applyProtection="1">
      <alignment horizontal="center" vertical="center" wrapText="1"/>
    </xf>
    <xf numFmtId="165" fontId="1" fillId="26" borderId="52" xfId="0" applyNumberFormat="1" applyFont="1" applyFill="1" applyBorder="1" applyAlignment="1" applyProtection="1">
      <alignment horizontal="center" vertical="center" wrapText="1"/>
    </xf>
    <xf numFmtId="0" fontId="9" fillId="2" borderId="69" xfId="0" applyFont="1" applyFill="1" applyBorder="1" applyAlignment="1" applyProtection="1">
      <alignment horizontal="center" vertical="center" wrapText="1"/>
    </xf>
    <xf numFmtId="165" fontId="1" fillId="26" borderId="70" xfId="0" applyNumberFormat="1" applyFont="1" applyFill="1" applyBorder="1" applyAlignment="1" applyProtection="1">
      <alignment horizontal="center" vertical="center" wrapText="1"/>
    </xf>
    <xf numFmtId="165" fontId="1" fillId="26" borderId="71" xfId="0" applyNumberFormat="1" applyFont="1" applyFill="1" applyBorder="1" applyAlignment="1" applyProtection="1">
      <alignment horizontal="center" vertical="center" wrapText="1"/>
    </xf>
    <xf numFmtId="165" fontId="1" fillId="26" borderId="69" xfId="0" applyNumberFormat="1" applyFont="1" applyFill="1" applyBorder="1" applyAlignment="1" applyProtection="1">
      <alignment horizontal="center" vertical="center" wrapText="1"/>
    </xf>
    <xf numFmtId="0" fontId="14" fillId="11" borderId="42" xfId="0" applyFont="1" applyFill="1" applyBorder="1" applyAlignment="1" applyProtection="1">
      <alignment horizontal="center" vertical="center" wrapText="1"/>
    </xf>
    <xf numFmtId="0" fontId="14" fillId="12" borderId="6" xfId="0" applyFont="1" applyFill="1" applyBorder="1" applyAlignment="1" applyProtection="1">
      <alignment horizontal="center" vertical="center" wrapText="1"/>
    </xf>
    <xf numFmtId="0" fontId="14" fillId="11" borderId="6" xfId="0" applyFont="1" applyFill="1" applyBorder="1" applyAlignment="1" applyProtection="1">
      <alignment horizontal="center" vertical="center" wrapText="1"/>
    </xf>
    <xf numFmtId="0" fontId="14" fillId="12" borderId="37" xfId="0" applyFont="1" applyFill="1" applyBorder="1" applyAlignment="1" applyProtection="1">
      <alignment horizontal="center" vertical="center" wrapText="1"/>
    </xf>
    <xf numFmtId="2" fontId="19" fillId="16" borderId="12" xfId="1" applyNumberFormat="1" applyFont="1" applyFill="1" applyBorder="1" applyAlignment="1" applyProtection="1">
      <alignment vertical="center" wrapText="1"/>
    </xf>
    <xf numFmtId="0" fontId="1" fillId="21" borderId="26" xfId="0" applyFont="1" applyFill="1" applyBorder="1" applyAlignment="1" applyProtection="1">
      <alignment horizontal="center" vertical="center"/>
      <protection locked="0"/>
    </xf>
    <xf numFmtId="0" fontId="1" fillId="23" borderId="26" xfId="0" applyFont="1" applyFill="1" applyBorder="1" applyAlignment="1" applyProtection="1">
      <alignment horizontal="center" vertical="center"/>
      <protection locked="0"/>
    </xf>
    <xf numFmtId="0" fontId="1" fillId="23" borderId="41" xfId="0" applyFont="1" applyFill="1" applyBorder="1" applyAlignment="1" applyProtection="1">
      <alignment horizontal="center" vertical="center" wrapText="1"/>
      <protection locked="0"/>
    </xf>
    <xf numFmtId="0" fontId="1" fillId="13" borderId="72" xfId="0" applyFont="1" applyFill="1" applyBorder="1" applyAlignment="1" applyProtection="1">
      <alignment horizontal="center" vertical="center"/>
    </xf>
    <xf numFmtId="0" fontId="1" fillId="13" borderId="26" xfId="0" applyFont="1" applyFill="1" applyBorder="1" applyAlignment="1" applyProtection="1">
      <alignment horizontal="center" vertical="center"/>
    </xf>
    <xf numFmtId="0" fontId="4" fillId="14" borderId="26" xfId="0" applyFont="1" applyFill="1" applyBorder="1" applyAlignment="1" applyProtection="1">
      <alignment horizontal="center" vertical="center"/>
    </xf>
    <xf numFmtId="0" fontId="1" fillId="15" borderId="26" xfId="0" applyFont="1" applyFill="1" applyBorder="1" applyAlignment="1" applyProtection="1">
      <alignment horizontal="center" vertical="center"/>
    </xf>
    <xf numFmtId="0" fontId="4" fillId="10" borderId="41" xfId="0" applyFont="1" applyFill="1" applyBorder="1" applyAlignment="1" applyProtection="1">
      <alignment horizontal="center" vertical="center"/>
    </xf>
    <xf numFmtId="0" fontId="2" fillId="0" borderId="0" xfId="0" applyFont="1" applyAlignment="1" applyProtection="1">
      <alignment horizontal="center" vertical="center" wrapText="1"/>
    </xf>
    <xf numFmtId="0" fontId="9" fillId="0" borderId="0" xfId="0" applyFont="1" applyAlignment="1" applyProtection="1">
      <alignment horizontal="center" vertical="center"/>
    </xf>
    <xf numFmtId="167" fontId="1" fillId="0" borderId="0" xfId="0" applyNumberFormat="1" applyFont="1"/>
    <xf numFmtId="167" fontId="12" fillId="6" borderId="39" xfId="3" applyNumberFormat="1" applyFont="1" applyFill="1" applyBorder="1" applyAlignment="1">
      <alignment horizontal="center" vertical="center"/>
    </xf>
    <xf numFmtId="167" fontId="8" fillId="6" borderId="34" xfId="3" applyNumberFormat="1" applyFont="1" applyFill="1" applyBorder="1" applyAlignment="1">
      <alignment horizontal="center" vertical="center"/>
    </xf>
    <xf numFmtId="0" fontId="22" fillId="0" borderId="1" xfId="0" applyFont="1" applyFill="1" applyBorder="1" applyAlignment="1" applyProtection="1">
      <alignment horizontal="center" vertical="center" wrapText="1"/>
      <protection locked="0"/>
    </xf>
    <xf numFmtId="0" fontId="16" fillId="13" borderId="37" xfId="0" applyFont="1" applyFill="1" applyBorder="1" applyAlignment="1">
      <alignment horizontal="center" vertical="center" textRotation="90" wrapText="1"/>
    </xf>
    <xf numFmtId="0" fontId="16" fillId="13" borderId="11" xfId="0" applyFont="1" applyFill="1" applyBorder="1" applyAlignment="1">
      <alignment horizontal="center" vertical="center" textRotation="90" wrapText="1"/>
    </xf>
    <xf numFmtId="0" fontId="4" fillId="14" borderId="11" xfId="0" applyFont="1" applyFill="1" applyBorder="1" applyAlignment="1">
      <alignment horizontal="center" vertical="center" textRotation="90" wrapText="1"/>
    </xf>
    <xf numFmtId="0" fontId="16" fillId="15" borderId="11" xfId="0" applyFont="1" applyFill="1" applyBorder="1" applyAlignment="1">
      <alignment horizontal="center" vertical="center" textRotation="90" wrapText="1"/>
    </xf>
    <xf numFmtId="0" fontId="16" fillId="15" borderId="11" xfId="0" quotePrefix="1" applyFont="1" applyFill="1" applyBorder="1" applyAlignment="1">
      <alignment horizontal="center" vertical="center" textRotation="90" wrapText="1"/>
    </xf>
    <xf numFmtId="0" fontId="4" fillId="10" borderId="49" xfId="0" applyFont="1" applyFill="1" applyBorder="1" applyAlignment="1">
      <alignment horizontal="center" vertical="center" textRotation="90" wrapText="1"/>
    </xf>
    <xf numFmtId="165" fontId="1" fillId="15" borderId="26" xfId="0" applyNumberFormat="1" applyFont="1" applyFill="1" applyBorder="1" applyAlignment="1" applyProtection="1">
      <alignment horizontal="center" vertical="center"/>
    </xf>
    <xf numFmtId="0" fontId="22" fillId="27" borderId="43" xfId="0" applyFont="1" applyFill="1" applyBorder="1" applyAlignment="1" applyProtection="1">
      <alignment horizontal="center" vertical="center" wrapText="1"/>
      <protection locked="0"/>
    </xf>
    <xf numFmtId="0" fontId="22" fillId="0" borderId="25" xfId="2" applyFont="1" applyFill="1" applyBorder="1" applyAlignment="1" applyProtection="1">
      <alignment horizontal="center" vertical="center" wrapText="1"/>
      <protection locked="0"/>
    </xf>
    <xf numFmtId="0" fontId="22" fillId="0" borderId="1" xfId="2" applyFont="1" applyFill="1" applyBorder="1" applyAlignment="1" applyProtection="1">
      <alignment horizontal="center" vertical="center" wrapText="1"/>
      <protection locked="0"/>
    </xf>
    <xf numFmtId="0" fontId="22" fillId="20" borderId="22"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xf>
    <xf numFmtId="0" fontId="22" fillId="0" borderId="73" xfId="2" applyFont="1" applyFill="1" applyBorder="1" applyAlignment="1" applyProtection="1">
      <alignment horizontal="center" vertical="center" wrapText="1"/>
      <protection locked="0"/>
    </xf>
    <xf numFmtId="0" fontId="1" fillId="0" borderId="35" xfId="0" applyFont="1" applyFill="1" applyBorder="1" applyAlignment="1" applyProtection="1">
      <alignment horizontal="center" vertical="center"/>
    </xf>
    <xf numFmtId="0" fontId="8" fillId="0" borderId="1" xfId="0" applyFont="1" applyFill="1" applyBorder="1" applyAlignment="1" applyProtection="1">
      <alignment horizontal="center" vertical="center"/>
    </xf>
    <xf numFmtId="0" fontId="8" fillId="0" borderId="0" xfId="0" applyFont="1" applyAlignment="1" applyProtection="1">
      <alignment horizontal="center" vertical="center"/>
    </xf>
    <xf numFmtId="0" fontId="24" fillId="0" borderId="1" xfId="2" applyFont="1" applyFill="1" applyBorder="1" applyAlignment="1" applyProtection="1">
      <alignment horizontal="center" vertical="center" wrapText="1"/>
      <protection locked="0"/>
    </xf>
    <xf numFmtId="0" fontId="1" fillId="2" borderId="16" xfId="0" applyFont="1" applyFill="1" applyBorder="1" applyAlignment="1" applyProtection="1">
      <alignment horizontal="center" vertical="center" wrapText="1"/>
    </xf>
    <xf numFmtId="0" fontId="1" fillId="2" borderId="19" xfId="0" applyFont="1" applyFill="1" applyBorder="1" applyAlignment="1" applyProtection="1">
      <alignment horizontal="center" vertical="center" wrapText="1"/>
    </xf>
    <xf numFmtId="0" fontId="1" fillId="2" borderId="20" xfId="0" applyFont="1" applyFill="1" applyBorder="1" applyAlignment="1" applyProtection="1">
      <alignment horizontal="center" vertical="center" wrapText="1"/>
    </xf>
    <xf numFmtId="0" fontId="7" fillId="2" borderId="22"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7" fillId="2" borderId="18" xfId="0" applyFont="1" applyFill="1" applyBorder="1" applyAlignment="1" applyProtection="1">
      <alignment horizontal="center" vertical="center"/>
    </xf>
    <xf numFmtId="0" fontId="8" fillId="0" borderId="12" xfId="0" applyFont="1" applyFill="1" applyBorder="1" applyAlignment="1" applyProtection="1">
      <alignment horizontal="center" vertical="center"/>
      <protection locked="0"/>
    </xf>
    <xf numFmtId="0" fontId="8" fillId="0" borderId="2" xfId="0" applyFont="1" applyFill="1" applyBorder="1" applyAlignment="1" applyProtection="1">
      <alignment horizontal="center" vertical="center"/>
      <protection locked="0"/>
    </xf>
    <xf numFmtId="14" fontId="8" fillId="0" borderId="12" xfId="0" applyNumberFormat="1" applyFont="1" applyFill="1" applyBorder="1" applyAlignment="1" applyProtection="1">
      <alignment horizontal="center" vertical="center"/>
      <protection locked="0"/>
    </xf>
    <xf numFmtId="0" fontId="8" fillId="0" borderId="25" xfId="0" applyFont="1" applyFill="1" applyBorder="1" applyAlignment="1" applyProtection="1">
      <alignment horizontal="center" vertical="center"/>
      <protection locked="0"/>
    </xf>
    <xf numFmtId="0" fontId="8" fillId="0" borderId="29" xfId="0" applyFont="1" applyFill="1" applyBorder="1" applyAlignment="1" applyProtection="1">
      <alignment horizontal="center" vertical="center"/>
      <protection locked="0"/>
    </xf>
    <xf numFmtId="0" fontId="7" fillId="2" borderId="5" xfId="0" applyFont="1" applyFill="1" applyBorder="1" applyAlignment="1" applyProtection="1">
      <alignment horizontal="center" vertical="center"/>
    </xf>
    <xf numFmtId="0" fontId="7" fillId="2" borderId="12" xfId="0" applyFont="1" applyFill="1" applyBorder="1" applyAlignment="1" applyProtection="1">
      <alignment horizontal="center" vertical="center"/>
    </xf>
    <xf numFmtId="0" fontId="7" fillId="2" borderId="2" xfId="0" applyFont="1" applyFill="1" applyBorder="1" applyAlignment="1" applyProtection="1">
      <alignment horizontal="center" vertical="center"/>
    </xf>
    <xf numFmtId="0" fontId="8" fillId="0" borderId="54" xfId="0" applyFont="1" applyFill="1" applyBorder="1" applyAlignment="1" applyProtection="1">
      <alignment horizontal="left" vertical="center" wrapText="1"/>
      <protection locked="0"/>
    </xf>
    <xf numFmtId="0" fontId="8" fillId="0" borderId="55" xfId="0" applyFont="1" applyFill="1" applyBorder="1" applyAlignment="1" applyProtection="1">
      <alignment horizontal="left" vertical="center" wrapText="1"/>
      <protection locked="0"/>
    </xf>
    <xf numFmtId="0" fontId="8" fillId="0" borderId="40" xfId="0" applyFont="1" applyFill="1" applyBorder="1" applyAlignment="1" applyProtection="1">
      <alignment horizontal="center" vertical="center"/>
      <protection locked="0"/>
    </xf>
    <xf numFmtId="0" fontId="8" fillId="0" borderId="60" xfId="0" applyFont="1" applyFill="1" applyBorder="1" applyAlignment="1" applyProtection="1">
      <alignment horizontal="center" vertical="center"/>
      <protection locked="0"/>
    </xf>
    <xf numFmtId="0" fontId="8" fillId="0" borderId="56" xfId="0" applyFont="1" applyFill="1" applyBorder="1" applyAlignment="1" applyProtection="1">
      <alignment horizontal="center" vertical="center"/>
      <protection locked="0"/>
    </xf>
    <xf numFmtId="0" fontId="8" fillId="0" borderId="14" xfId="0" applyFont="1" applyFill="1" applyBorder="1" applyAlignment="1" applyProtection="1">
      <alignment horizontal="center" vertical="center"/>
      <protection locked="0"/>
    </xf>
    <xf numFmtId="0" fontId="8" fillId="0" borderId="13" xfId="0" applyFont="1" applyFill="1" applyBorder="1" applyAlignment="1" applyProtection="1">
      <alignment horizontal="center" vertical="center"/>
      <protection locked="0"/>
    </xf>
    <xf numFmtId="0" fontId="8" fillId="0" borderId="30" xfId="0" applyFont="1" applyFill="1" applyBorder="1" applyAlignment="1" applyProtection="1">
      <alignment horizontal="center" vertical="center"/>
      <protection locked="0"/>
    </xf>
    <xf numFmtId="0" fontId="8" fillId="26" borderId="14" xfId="0" applyFont="1" applyFill="1" applyBorder="1" applyAlignment="1" applyProtection="1">
      <alignment horizontal="center" vertical="center"/>
    </xf>
    <xf numFmtId="0" fontId="8" fillId="26" borderId="30" xfId="0" applyFont="1" applyFill="1" applyBorder="1" applyAlignment="1" applyProtection="1">
      <alignment horizontal="center" vertical="center"/>
    </xf>
    <xf numFmtId="0" fontId="8" fillId="0" borderId="27"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7" fillId="2" borderId="58" xfId="0" applyFont="1" applyFill="1" applyBorder="1" applyAlignment="1" applyProtection="1">
      <alignment horizontal="center" vertical="center"/>
    </xf>
    <xf numFmtId="0" fontId="7" fillId="2" borderId="57" xfId="0" applyFont="1" applyFill="1" applyBorder="1" applyAlignment="1" applyProtection="1">
      <alignment horizontal="center" vertical="center"/>
    </xf>
    <xf numFmtId="0" fontId="7" fillId="2" borderId="53" xfId="0" applyFont="1" applyFill="1" applyBorder="1" applyAlignment="1" applyProtection="1">
      <alignment horizontal="center" vertical="center"/>
    </xf>
    <xf numFmtId="0" fontId="9" fillId="2" borderId="7" xfId="0" applyFont="1" applyFill="1" applyBorder="1" applyAlignment="1" applyProtection="1">
      <alignment horizontal="center" vertical="center"/>
    </xf>
    <xf numFmtId="0" fontId="9" fillId="2" borderId="21" xfId="0" applyFont="1" applyFill="1" applyBorder="1" applyAlignment="1" applyProtection="1">
      <alignment horizontal="center" vertical="center"/>
    </xf>
    <xf numFmtId="0" fontId="7" fillId="2" borderId="1" xfId="0" applyFont="1" applyFill="1" applyBorder="1" applyAlignment="1" applyProtection="1">
      <alignment horizontal="center" vertical="center"/>
    </xf>
    <xf numFmtId="0" fontId="7" fillId="2" borderId="3" xfId="0" applyFont="1" applyFill="1" applyBorder="1" applyAlignment="1" applyProtection="1">
      <alignment horizontal="center" vertical="center"/>
    </xf>
    <xf numFmtId="0" fontId="7" fillId="2" borderId="21" xfId="0" applyFont="1" applyFill="1" applyBorder="1" applyAlignment="1" applyProtection="1">
      <alignment horizontal="center" vertical="center"/>
    </xf>
    <xf numFmtId="0" fontId="7" fillId="2" borderId="54" xfId="0" applyFont="1" applyFill="1" applyBorder="1" applyAlignment="1" applyProtection="1">
      <alignment horizontal="center" vertical="center"/>
    </xf>
    <xf numFmtId="0" fontId="7" fillId="2" borderId="55" xfId="0" applyFont="1" applyFill="1" applyBorder="1" applyAlignment="1" applyProtection="1">
      <alignment horizontal="center" vertical="center"/>
    </xf>
    <xf numFmtId="0" fontId="24" fillId="0" borderId="11" xfId="2" applyFont="1" applyFill="1" applyBorder="1" applyAlignment="1" applyProtection="1">
      <alignment horizontal="center" vertical="center" wrapText="1"/>
      <protection locked="0"/>
    </xf>
    <xf numFmtId="0" fontId="24" fillId="0" borderId="15" xfId="2" applyFont="1" applyFill="1" applyBorder="1" applyAlignment="1" applyProtection="1">
      <alignment horizontal="center" vertical="center" wrapText="1"/>
      <protection locked="0"/>
    </xf>
    <xf numFmtId="0" fontId="24" fillId="0" borderId="3" xfId="2" applyFont="1" applyFill="1" applyBorder="1" applyAlignment="1" applyProtection="1">
      <alignment horizontal="center" vertical="center" wrapText="1"/>
      <protection locked="0"/>
    </xf>
    <xf numFmtId="0" fontId="1" fillId="0" borderId="0" xfId="0" applyFont="1" applyAlignment="1" applyProtection="1">
      <alignment horizontal="left" vertical="top" wrapText="1"/>
    </xf>
    <xf numFmtId="0" fontId="23" fillId="0" borderId="0" xfId="0" applyFont="1" applyAlignment="1" applyProtection="1">
      <alignment horizontal="center" vertical="center" wrapText="1"/>
    </xf>
    <xf numFmtId="0" fontId="9" fillId="0" borderId="0" xfId="0" applyFont="1" applyAlignment="1" applyProtection="1">
      <alignment horizontal="center" vertical="center" wrapText="1"/>
    </xf>
    <xf numFmtId="0" fontId="16" fillId="24" borderId="1" xfId="0" applyFont="1" applyFill="1" applyBorder="1" applyAlignment="1" applyProtection="1">
      <alignment horizontal="center" vertical="center" wrapText="1"/>
    </xf>
    <xf numFmtId="0" fontId="4" fillId="7" borderId="16" xfId="0" applyFont="1" applyFill="1" applyBorder="1" applyAlignment="1">
      <alignment horizontal="center" vertical="center" wrapText="1"/>
    </xf>
    <xf numFmtId="0" fontId="4" fillId="7" borderId="26" xfId="0" applyFont="1" applyFill="1" applyBorder="1" applyAlignment="1">
      <alignment horizontal="center" vertical="center" wrapText="1"/>
    </xf>
    <xf numFmtId="0" fontId="4" fillId="7" borderId="51" xfId="0" applyFont="1" applyFill="1" applyBorder="1" applyAlignment="1">
      <alignment horizontal="center" vertical="center" wrapText="1"/>
    </xf>
    <xf numFmtId="0" fontId="4" fillId="7" borderId="41" xfId="0" applyFont="1" applyFill="1" applyBorder="1" applyAlignment="1">
      <alignment horizontal="center" vertical="center" wrapText="1"/>
    </xf>
    <xf numFmtId="0" fontId="16" fillId="22" borderId="14" xfId="0" applyFont="1" applyFill="1" applyBorder="1" applyAlignment="1" applyProtection="1">
      <alignment horizontal="center" vertical="center" wrapText="1"/>
    </xf>
    <xf numFmtId="0" fontId="16" fillId="22" borderId="13" xfId="0" applyFont="1" applyFill="1" applyBorder="1" applyAlignment="1" applyProtection="1">
      <alignment horizontal="center" vertical="center" wrapText="1"/>
    </xf>
    <xf numFmtId="0" fontId="10" fillId="5" borderId="5"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4" fillId="5" borderId="11" xfId="0" applyFont="1" applyFill="1" applyBorder="1" applyAlignment="1">
      <alignment horizontal="center" vertical="center" wrapText="1"/>
    </xf>
    <xf numFmtId="0" fontId="4" fillId="5" borderId="32"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1" fillId="6" borderId="26" xfId="0" applyFont="1" applyFill="1" applyBorder="1" applyAlignment="1">
      <alignment horizontal="center" vertical="center"/>
    </xf>
    <xf numFmtId="0" fontId="1" fillId="6" borderId="3" xfId="0" applyFont="1" applyFill="1" applyBorder="1" applyAlignment="1">
      <alignment horizontal="center" vertical="center"/>
    </xf>
    <xf numFmtId="0" fontId="1" fillId="8" borderId="26" xfId="0" applyFont="1" applyFill="1" applyBorder="1" applyAlignment="1">
      <alignment horizontal="center" vertical="center"/>
    </xf>
    <xf numFmtId="0" fontId="1" fillId="8" borderId="23" xfId="0" applyFont="1" applyFill="1" applyBorder="1" applyAlignment="1">
      <alignment horizontal="center" vertical="center"/>
    </xf>
    <xf numFmtId="0" fontId="1" fillId="8" borderId="51" xfId="0" applyFont="1" applyFill="1" applyBorder="1" applyAlignment="1">
      <alignment horizontal="center" vertical="center"/>
    </xf>
    <xf numFmtId="0" fontId="1" fillId="8" borderId="32" xfId="0" applyFont="1" applyFill="1" applyBorder="1" applyAlignment="1">
      <alignment horizontal="center" vertical="center"/>
    </xf>
    <xf numFmtId="0" fontId="1" fillId="8" borderId="33" xfId="0" applyFont="1" applyFill="1" applyBorder="1" applyAlignment="1">
      <alignment horizontal="center" vertical="center"/>
    </xf>
    <xf numFmtId="0" fontId="14" fillId="12" borderId="6" xfId="0" applyFont="1" applyFill="1" applyBorder="1" applyAlignment="1" applyProtection="1">
      <alignment vertical="center" wrapText="1"/>
    </xf>
    <xf numFmtId="0" fontId="14" fillId="12" borderId="1" xfId="0" applyFont="1" applyFill="1" applyBorder="1" applyAlignment="1" applyProtection="1">
      <alignment vertical="center" wrapText="1"/>
    </xf>
    <xf numFmtId="0" fontId="4" fillId="3" borderId="5" xfId="0" applyFont="1" applyFill="1" applyBorder="1" applyAlignment="1" applyProtection="1">
      <alignment horizontal="center" vertical="center" wrapText="1"/>
    </xf>
    <xf numFmtId="0" fontId="4" fillId="3" borderId="12" xfId="0" applyFont="1" applyFill="1" applyBorder="1" applyAlignment="1" applyProtection="1">
      <alignment horizontal="center" vertical="center" wrapText="1"/>
    </xf>
    <xf numFmtId="0" fontId="4" fillId="3" borderId="2" xfId="0" applyFont="1" applyFill="1" applyBorder="1" applyAlignment="1" applyProtection="1">
      <alignment horizontal="center" vertical="center" wrapText="1"/>
    </xf>
    <xf numFmtId="0" fontId="4" fillId="7" borderId="35" xfId="0" applyFont="1" applyFill="1" applyBorder="1" applyAlignment="1">
      <alignment horizontal="center" vertical="center" wrapText="1"/>
    </xf>
    <xf numFmtId="0" fontId="4" fillId="7" borderId="29" xfId="0" applyFont="1" applyFill="1" applyBorder="1" applyAlignment="1">
      <alignment horizontal="center" vertical="center" wrapText="1"/>
    </xf>
    <xf numFmtId="0" fontId="4" fillId="7" borderId="36" xfId="0" applyFont="1" applyFill="1" applyBorder="1" applyAlignment="1" applyProtection="1">
      <alignment horizontal="center" vertical="center" wrapText="1"/>
      <protection locked="0"/>
    </xf>
    <xf numFmtId="0" fontId="4" fillId="7" borderId="30" xfId="0" applyFont="1" applyFill="1" applyBorder="1" applyAlignment="1" applyProtection="1">
      <alignment horizontal="center" vertical="center" wrapText="1"/>
      <protection locked="0"/>
    </xf>
    <xf numFmtId="0" fontId="11" fillId="5" borderId="5"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4" fillId="7" borderId="59" xfId="0" applyFont="1" applyFill="1" applyBorder="1" applyAlignment="1">
      <alignment horizontal="center" vertical="center" wrapText="1"/>
    </xf>
    <xf numFmtId="0" fontId="4" fillId="7" borderId="61" xfId="0" applyFont="1" applyFill="1" applyBorder="1" applyAlignment="1">
      <alignment horizontal="center" vertical="center" wrapText="1"/>
    </xf>
    <xf numFmtId="0" fontId="14" fillId="11" borderId="6" xfId="0" applyFont="1" applyFill="1" applyBorder="1" applyAlignment="1" applyProtection="1">
      <alignment vertical="center" wrapText="1"/>
    </xf>
    <xf numFmtId="0" fontId="14" fillId="11" borderId="1" xfId="0" applyFont="1" applyFill="1" applyBorder="1" applyAlignment="1" applyProtection="1">
      <alignment vertical="center" wrapText="1"/>
    </xf>
    <xf numFmtId="0" fontId="19" fillId="16" borderId="5" xfId="0" applyFont="1" applyFill="1" applyBorder="1" applyAlignment="1" applyProtection="1">
      <alignment horizontal="center" vertical="center" wrapText="1"/>
    </xf>
    <xf numFmtId="0" fontId="19" fillId="16" borderId="12" xfId="0" applyFont="1" applyFill="1" applyBorder="1" applyAlignment="1" applyProtection="1">
      <alignment horizontal="center" vertical="center" wrapText="1"/>
    </xf>
    <xf numFmtId="0" fontId="19" fillId="16" borderId="2" xfId="0" applyFont="1" applyFill="1" applyBorder="1" applyAlignment="1" applyProtection="1">
      <alignment horizontal="center" vertical="center" wrapText="1"/>
    </xf>
    <xf numFmtId="0" fontId="14" fillId="11" borderId="42" xfId="0" applyFont="1" applyFill="1" applyBorder="1" applyAlignment="1" applyProtection="1">
      <alignment vertical="center" wrapText="1"/>
    </xf>
    <xf numFmtId="0" fontId="14" fillId="11" borderId="3" xfId="0" applyFont="1" applyFill="1" applyBorder="1" applyAlignment="1" applyProtection="1">
      <alignment vertical="center" wrapText="1"/>
    </xf>
    <xf numFmtId="0" fontId="14" fillId="12" borderId="37" xfId="0" applyFont="1" applyFill="1" applyBorder="1" applyAlignment="1" applyProtection="1">
      <alignment vertical="center" wrapText="1"/>
    </xf>
    <xf numFmtId="0" fontId="14" fillId="12" borderId="11" xfId="0" applyFont="1" applyFill="1" applyBorder="1" applyAlignment="1" applyProtection="1">
      <alignment vertical="center" wrapText="1"/>
    </xf>
    <xf numFmtId="0" fontId="1" fillId="0" borderId="73" xfId="0" applyFont="1" applyFill="1" applyBorder="1" applyAlignment="1" applyProtection="1">
      <alignment horizontal="center" vertical="center"/>
    </xf>
    <xf numFmtId="0" fontId="1" fillId="23" borderId="1" xfId="0" applyFont="1" applyFill="1" applyBorder="1" applyAlignment="1" applyProtection="1">
      <alignment horizontal="center" vertical="center" wrapText="1"/>
      <protection locked="0"/>
    </xf>
    <xf numFmtId="0" fontId="22" fillId="27" borderId="1" xfId="0" applyFont="1" applyFill="1" applyBorder="1" applyAlignment="1" applyProtection="1">
      <alignment horizontal="center" vertical="center" wrapText="1"/>
      <protection locked="0"/>
    </xf>
    <xf numFmtId="0" fontId="22" fillId="20" borderId="1" xfId="0" applyFont="1" applyFill="1" applyBorder="1" applyAlignment="1" applyProtection="1">
      <alignment horizontal="center" vertical="center" wrapText="1"/>
      <protection locked="0"/>
    </xf>
    <xf numFmtId="0" fontId="1" fillId="0" borderId="0" xfId="0" applyFont="1" applyFill="1" applyAlignment="1" applyProtection="1">
      <alignment horizontal="center" vertical="center" wrapText="1"/>
    </xf>
  </cellXfs>
  <cellStyles count="4">
    <cellStyle name="Milliers" xfId="1" builtinId="3"/>
    <cellStyle name="Monétaire" xfId="3" builtinId="4"/>
    <cellStyle name="Normal" xfId="0" builtinId="0"/>
    <cellStyle name="Satisfaisant" xfId="2" builtinId="26"/>
  </cellStyles>
  <dxfs count="0"/>
  <tableStyles count="0" defaultTableStyle="TableStyleMedium2" defaultPivotStyle="PivotStyleMedium9"/>
  <colors>
    <mruColors>
      <color rgb="FFF9F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638175</xdr:colOff>
      <xdr:row>2</xdr:row>
      <xdr:rowOff>2183</xdr:rowOff>
    </xdr:to>
    <xdr:pic>
      <xdr:nvPicPr>
        <xdr:cNvPr id="5" name="Imag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1819275" cy="7641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1</xdr:col>
      <xdr:colOff>1428751</xdr:colOff>
      <xdr:row>1</xdr:row>
      <xdr:rowOff>379182</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1"/>
          <a:ext cx="1809750" cy="7601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1809750</xdr:colOff>
      <xdr:row>1</xdr:row>
      <xdr:rowOff>379181</xdr:rowOff>
    </xdr:to>
    <xdr:pic>
      <xdr:nvPicPr>
        <xdr:cNvPr id="4" name="Imag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809750" cy="760181"/>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AV81"/>
  <sheetViews>
    <sheetView topLeftCell="A28" zoomScale="85" zoomScaleNormal="85" workbookViewId="0">
      <selection activeCell="A46" sqref="A46"/>
    </sheetView>
  </sheetViews>
  <sheetFormatPr baseColWidth="10" defaultColWidth="11.42578125" defaultRowHeight="15" x14ac:dyDescent="0.25"/>
  <cols>
    <col min="1" max="2" width="17.7109375" style="1" customWidth="1"/>
    <col min="3" max="3" width="41.7109375" style="1" customWidth="1"/>
    <col min="4" max="22" width="15.7109375" style="1" customWidth="1"/>
    <col min="23" max="16384" width="11.42578125" style="1"/>
  </cols>
  <sheetData>
    <row r="1" spans="1:48" ht="30" customHeight="1" x14ac:dyDescent="0.45">
      <c r="D1" s="2" t="s">
        <v>0</v>
      </c>
      <c r="E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row>
    <row r="2" spans="1:48" s="6" customFormat="1" ht="30" customHeight="1" x14ac:dyDescent="0.25">
      <c r="A2" s="4"/>
      <c r="B2" s="5"/>
      <c r="C2" s="4"/>
      <c r="D2" s="2" t="s">
        <v>36</v>
      </c>
      <c r="E2" s="5"/>
      <c r="G2" s="1"/>
      <c r="M2" s="7" t="s">
        <v>40</v>
      </c>
      <c r="N2" s="7" t="s">
        <v>6</v>
      </c>
      <c r="O2" s="7" t="s">
        <v>27</v>
      </c>
      <c r="P2" s="7" t="s">
        <v>25</v>
      </c>
      <c r="Q2" s="7" t="s">
        <v>28</v>
      </c>
      <c r="R2" s="7" t="s">
        <v>133</v>
      </c>
      <c r="S2" s="7" t="s">
        <v>132</v>
      </c>
      <c r="T2" s="7" t="s">
        <v>164</v>
      </c>
    </row>
    <row r="3" spans="1:48" ht="35.25" thickBot="1" x14ac:dyDescent="0.5">
      <c r="B3" s="3"/>
      <c r="C3" s="3"/>
      <c r="D3" s="3"/>
      <c r="E3" s="3"/>
      <c r="F3" s="3"/>
      <c r="G3" s="3"/>
      <c r="H3" s="3"/>
      <c r="L3" s="3"/>
      <c r="M3" s="8">
        <f ca="1">TODAY()</f>
        <v>45860</v>
      </c>
      <c r="N3" s="9" t="s">
        <v>7</v>
      </c>
      <c r="O3" s="9" t="s">
        <v>14</v>
      </c>
      <c r="P3" s="9" t="s">
        <v>81</v>
      </c>
      <c r="Q3" s="9" t="s">
        <v>29</v>
      </c>
      <c r="R3" s="9" t="s">
        <v>110</v>
      </c>
      <c r="S3" s="9" t="s">
        <v>109</v>
      </c>
      <c r="T3" s="9" t="s">
        <v>165</v>
      </c>
      <c r="U3" s="9"/>
      <c r="V3" s="3"/>
      <c r="W3" s="3"/>
      <c r="X3" s="3"/>
      <c r="Y3" s="3"/>
      <c r="Z3" s="3"/>
      <c r="AA3" s="3"/>
      <c r="AB3" s="3"/>
      <c r="AC3" s="3"/>
      <c r="AD3" s="3"/>
      <c r="AE3" s="3"/>
      <c r="AF3" s="3"/>
      <c r="AG3" s="3"/>
      <c r="AH3" s="3"/>
      <c r="AI3" s="3"/>
      <c r="AJ3" s="3"/>
      <c r="AK3" s="3"/>
      <c r="AL3" s="3"/>
      <c r="AM3" s="3"/>
      <c r="AN3" s="3"/>
      <c r="AO3" s="3"/>
      <c r="AP3" s="3"/>
      <c r="AQ3" s="3"/>
      <c r="AR3" s="3"/>
      <c r="AS3" s="3"/>
      <c r="AT3" s="3"/>
      <c r="AU3" s="3"/>
      <c r="AV3" s="3"/>
    </row>
    <row r="4" spans="1:48" ht="24.95" customHeight="1" thickBot="1" x14ac:dyDescent="0.3">
      <c r="C4" s="10" t="s">
        <v>3</v>
      </c>
      <c r="D4" s="209"/>
      <c r="E4" s="209"/>
      <c r="F4" s="210"/>
      <c r="M4" s="8">
        <f ca="1">TODAY()+365</f>
        <v>46225</v>
      </c>
      <c r="N4" s="9" t="s">
        <v>8</v>
      </c>
      <c r="O4" s="9" t="s">
        <v>15</v>
      </c>
      <c r="P4" s="9" t="s">
        <v>19</v>
      </c>
      <c r="Q4" s="9" t="s">
        <v>30</v>
      </c>
      <c r="R4" s="9" t="s">
        <v>112</v>
      </c>
      <c r="S4" s="9" t="s">
        <v>111</v>
      </c>
      <c r="T4" s="9" t="s">
        <v>166</v>
      </c>
      <c r="U4" s="9"/>
    </row>
    <row r="5" spans="1:48" ht="24.95" customHeight="1" thickBot="1" x14ac:dyDescent="0.3">
      <c r="C5" s="10" t="s">
        <v>4</v>
      </c>
      <c r="D5" s="209"/>
      <c r="E5" s="209"/>
      <c r="F5" s="210"/>
      <c r="N5" s="9" t="s">
        <v>9</v>
      </c>
      <c r="O5" s="9" t="s">
        <v>35</v>
      </c>
      <c r="P5" s="9" t="s">
        <v>20</v>
      </c>
      <c r="Q5" s="9" t="s">
        <v>31</v>
      </c>
      <c r="R5" s="9" t="s">
        <v>113</v>
      </c>
      <c r="S5" s="9" t="s">
        <v>113</v>
      </c>
      <c r="T5" s="9" t="s">
        <v>167</v>
      </c>
      <c r="U5" s="9"/>
    </row>
    <row r="6" spans="1:48" ht="24.95" customHeight="1" thickBot="1" x14ac:dyDescent="0.3">
      <c r="C6" s="10" t="s">
        <v>38</v>
      </c>
      <c r="D6" s="211"/>
      <c r="E6" s="209"/>
      <c r="F6" s="210"/>
      <c r="N6" s="9" t="s">
        <v>10</v>
      </c>
      <c r="O6" s="9"/>
      <c r="P6" s="9" t="s">
        <v>21</v>
      </c>
      <c r="Q6" s="9" t="s">
        <v>32</v>
      </c>
      <c r="R6" s="9" t="s">
        <v>115</v>
      </c>
      <c r="S6" s="9" t="s">
        <v>114</v>
      </c>
      <c r="T6" s="9" t="s">
        <v>168</v>
      </c>
      <c r="U6" s="9"/>
    </row>
    <row r="7" spans="1:48" ht="24.95" customHeight="1" thickBot="1" x14ac:dyDescent="0.3">
      <c r="C7" s="10" t="s">
        <v>39</v>
      </c>
      <c r="D7" s="209"/>
      <c r="E7" s="209"/>
      <c r="F7" s="210"/>
      <c r="N7" s="9" t="s">
        <v>11</v>
      </c>
      <c r="O7" s="9"/>
      <c r="P7" s="9" t="s">
        <v>22</v>
      </c>
      <c r="Q7" s="9" t="s">
        <v>33</v>
      </c>
      <c r="R7" s="9" t="s">
        <v>117</v>
      </c>
      <c r="S7" s="9" t="s">
        <v>116</v>
      </c>
      <c r="T7" s="9" t="s">
        <v>169</v>
      </c>
      <c r="U7" s="9"/>
    </row>
    <row r="8" spans="1:48" ht="30" customHeight="1" thickBot="1" x14ac:dyDescent="0.3">
      <c r="N8" s="9" t="s">
        <v>12</v>
      </c>
      <c r="P8" s="9" t="s">
        <v>23</v>
      </c>
      <c r="Q8" s="9" t="s">
        <v>34</v>
      </c>
      <c r="R8" s="9" t="s">
        <v>108</v>
      </c>
      <c r="S8" s="9" t="s">
        <v>118</v>
      </c>
      <c r="T8" s="9" t="s">
        <v>170</v>
      </c>
      <c r="U8" s="9"/>
    </row>
    <row r="9" spans="1:48" ht="16.5" thickBot="1" x14ac:dyDescent="0.3">
      <c r="C9" s="214" t="s">
        <v>137</v>
      </c>
      <c r="D9" s="215"/>
      <c r="E9" s="215"/>
      <c r="F9" s="216"/>
      <c r="N9" s="9" t="s">
        <v>77</v>
      </c>
      <c r="P9" s="9" t="s">
        <v>24</v>
      </c>
      <c r="Q9" s="9" t="s">
        <v>77</v>
      </c>
      <c r="R9" s="9" t="s">
        <v>119</v>
      </c>
      <c r="S9" s="9" t="s">
        <v>119</v>
      </c>
      <c r="T9" s="9"/>
    </row>
    <row r="10" spans="1:48" ht="52.5" customHeight="1" x14ac:dyDescent="0.25">
      <c r="B10" s="11"/>
      <c r="C10" s="12" t="s">
        <v>134</v>
      </c>
      <c r="D10" s="217" t="s">
        <v>174</v>
      </c>
      <c r="E10" s="217"/>
      <c r="F10" s="218"/>
      <c r="N10" s="9" t="s">
        <v>35</v>
      </c>
      <c r="P10" s="9" t="s">
        <v>77</v>
      </c>
      <c r="Q10" s="9" t="s">
        <v>35</v>
      </c>
      <c r="R10" s="9" t="s">
        <v>121</v>
      </c>
      <c r="S10" s="9" t="s">
        <v>120</v>
      </c>
      <c r="T10" s="9"/>
    </row>
    <row r="11" spans="1:48" ht="15.75" x14ac:dyDescent="0.25">
      <c r="B11" s="11"/>
      <c r="C11" s="138" t="s">
        <v>135</v>
      </c>
      <c r="D11" s="146" t="s">
        <v>108</v>
      </c>
      <c r="E11" s="225" t="str">
        <f>VLOOKUP(D11,R2:S22,2,FALSE)</f>
        <v>Développement applicatif</v>
      </c>
      <c r="F11" s="226"/>
      <c r="N11" s="9"/>
      <c r="P11" s="9" t="s">
        <v>35</v>
      </c>
      <c r="R11" s="9" t="s">
        <v>122</v>
      </c>
      <c r="S11" s="9" t="s">
        <v>122</v>
      </c>
      <c r="T11" s="9"/>
    </row>
    <row r="12" spans="1:48" ht="15.75" x14ac:dyDescent="0.25">
      <c r="B12" s="11"/>
      <c r="C12" s="145" t="s">
        <v>162</v>
      </c>
      <c r="D12" s="222" t="s">
        <v>166</v>
      </c>
      <c r="E12" s="223"/>
      <c r="F12" s="224"/>
      <c r="N12" s="9"/>
      <c r="P12" s="9"/>
      <c r="R12" s="9" t="s">
        <v>124</v>
      </c>
      <c r="S12" s="9" t="s">
        <v>123</v>
      </c>
      <c r="T12" s="9"/>
    </row>
    <row r="13" spans="1:48" ht="15.6" x14ac:dyDescent="0.25">
      <c r="B13" s="11"/>
      <c r="C13" s="145" t="s">
        <v>163</v>
      </c>
      <c r="D13" s="222">
        <v>116</v>
      </c>
      <c r="E13" s="223"/>
      <c r="F13" s="224"/>
      <c r="N13" s="9"/>
      <c r="P13" s="9"/>
      <c r="R13" s="9" t="s">
        <v>125</v>
      </c>
      <c r="S13" s="9" t="s">
        <v>136</v>
      </c>
      <c r="T13" s="9"/>
    </row>
    <row r="14" spans="1:48" ht="15.6" x14ac:dyDescent="0.25">
      <c r="B14" s="11"/>
      <c r="C14" s="145"/>
      <c r="D14" s="222"/>
      <c r="E14" s="223"/>
      <c r="F14" s="224"/>
      <c r="N14" s="9"/>
      <c r="P14" s="9"/>
      <c r="R14" s="9" t="s">
        <v>127</v>
      </c>
      <c r="S14" s="9" t="s">
        <v>126</v>
      </c>
      <c r="T14" s="9"/>
    </row>
    <row r="15" spans="1:48" ht="16.5" thickBot="1" x14ac:dyDescent="0.3">
      <c r="B15" s="11"/>
      <c r="C15" s="145" t="s">
        <v>146</v>
      </c>
      <c r="D15" s="219"/>
      <c r="E15" s="220"/>
      <c r="F15" s="221"/>
      <c r="N15" s="9"/>
      <c r="R15" s="9" t="s">
        <v>129</v>
      </c>
      <c r="S15" s="9" t="s">
        <v>128</v>
      </c>
      <c r="T15" s="9"/>
    </row>
    <row r="16" spans="1:48" ht="16.149999999999999" thickBot="1" x14ac:dyDescent="0.3">
      <c r="B16" s="11"/>
      <c r="C16" s="15"/>
      <c r="N16" s="9"/>
      <c r="R16" s="9" t="s">
        <v>131</v>
      </c>
      <c r="S16" s="9" t="s">
        <v>130</v>
      </c>
      <c r="T16" s="9"/>
    </row>
    <row r="17" spans="1:20" ht="16.149999999999999" thickBot="1" x14ac:dyDescent="0.3">
      <c r="B17" s="11"/>
      <c r="C17" s="214" t="s">
        <v>5</v>
      </c>
      <c r="D17" s="215"/>
      <c r="E17" s="216"/>
      <c r="T17" s="9"/>
    </row>
    <row r="18" spans="1:20" ht="15.6" x14ac:dyDescent="0.25">
      <c r="B18" s="11"/>
      <c r="C18" s="12" t="s">
        <v>13</v>
      </c>
      <c r="D18" s="212"/>
      <c r="E18" s="213"/>
      <c r="T18" s="9"/>
    </row>
    <row r="19" spans="1:20" ht="15.6" x14ac:dyDescent="0.25">
      <c r="B19" s="11"/>
      <c r="C19" s="13" t="s">
        <v>26</v>
      </c>
      <c r="D19" s="223" t="s">
        <v>15</v>
      </c>
      <c r="E19" s="224"/>
      <c r="T19" s="9"/>
    </row>
    <row r="20" spans="1:20" ht="30" customHeight="1" x14ac:dyDescent="0.25">
      <c r="B20" s="15"/>
      <c r="C20" s="13" t="s">
        <v>37</v>
      </c>
      <c r="D20" s="223"/>
      <c r="E20" s="224"/>
    </row>
    <row r="21" spans="1:20" ht="24.95" customHeight="1" x14ac:dyDescent="0.25">
      <c r="C21" s="13" t="s">
        <v>16</v>
      </c>
      <c r="D21" s="223"/>
      <c r="E21" s="224"/>
      <c r="P21" s="9"/>
      <c r="Q21" s="9"/>
      <c r="R21" s="9"/>
      <c r="S21" s="9"/>
    </row>
    <row r="22" spans="1:20" ht="18.75" customHeight="1" x14ac:dyDescent="0.25">
      <c r="B22" s="11"/>
      <c r="C22" s="13" t="s">
        <v>17</v>
      </c>
      <c r="D22" s="223"/>
      <c r="E22" s="224"/>
      <c r="P22" s="9"/>
      <c r="Q22" s="9"/>
      <c r="R22" s="9"/>
      <c r="S22" s="9"/>
    </row>
    <row r="23" spans="1:20" ht="16.5" thickBot="1" x14ac:dyDescent="0.3">
      <c r="B23" s="11"/>
      <c r="C23" s="14" t="s">
        <v>18</v>
      </c>
      <c r="D23" s="227"/>
      <c r="E23" s="228"/>
      <c r="P23" s="9"/>
      <c r="R23" s="9"/>
      <c r="S23" s="9"/>
    </row>
    <row r="24" spans="1:20" ht="16.5" thickBot="1" x14ac:dyDescent="0.3">
      <c r="B24" s="11"/>
    </row>
    <row r="25" spans="1:20" ht="15.75" x14ac:dyDescent="0.25">
      <c r="B25" s="11"/>
      <c r="C25" s="206" t="s">
        <v>62</v>
      </c>
      <c r="D25" s="207"/>
      <c r="E25" s="208"/>
    </row>
    <row r="26" spans="1:20" ht="16.5" thickBot="1" x14ac:dyDescent="0.3">
      <c r="B26" s="11"/>
      <c r="C26" s="16" t="s">
        <v>44</v>
      </c>
      <c r="D26" s="17" t="s">
        <v>47</v>
      </c>
      <c r="E26" s="70" t="s">
        <v>78</v>
      </c>
    </row>
    <row r="27" spans="1:20" ht="15.75" customHeight="1" x14ac:dyDescent="0.25">
      <c r="B27" s="11"/>
      <c r="C27" s="203" t="s">
        <v>55</v>
      </c>
      <c r="D27" s="18" t="s">
        <v>45</v>
      </c>
      <c r="E27" s="113">
        <v>0.125</v>
      </c>
    </row>
    <row r="28" spans="1:20" ht="30" customHeight="1" x14ac:dyDescent="0.25">
      <c r="A28" s="15"/>
      <c r="C28" s="204"/>
      <c r="D28" s="19" t="s">
        <v>46</v>
      </c>
      <c r="E28" s="114">
        <v>0.5</v>
      </c>
    </row>
    <row r="29" spans="1:20" ht="24.75" customHeight="1" thickBot="1" x14ac:dyDescent="0.3">
      <c r="C29" s="205"/>
      <c r="D29" s="20" t="s">
        <v>50</v>
      </c>
      <c r="E29" s="115">
        <v>1</v>
      </c>
    </row>
    <row r="30" spans="1:20" ht="15" customHeight="1" x14ac:dyDescent="0.25">
      <c r="C30" s="203" t="s">
        <v>59</v>
      </c>
      <c r="D30" s="18" t="s">
        <v>45</v>
      </c>
      <c r="E30" s="113">
        <v>0.5</v>
      </c>
    </row>
    <row r="31" spans="1:20" ht="15" customHeight="1" x14ac:dyDescent="0.25">
      <c r="C31" s="204"/>
      <c r="D31" s="19" t="s">
        <v>46</v>
      </c>
      <c r="E31" s="114">
        <v>1</v>
      </c>
    </row>
    <row r="32" spans="1:20" ht="15.75" customHeight="1" thickBot="1" x14ac:dyDescent="0.3">
      <c r="C32" s="205"/>
      <c r="D32" s="20" t="s">
        <v>50</v>
      </c>
      <c r="E32" s="115">
        <v>3</v>
      </c>
    </row>
    <row r="33" spans="3:20" ht="15" customHeight="1" x14ac:dyDescent="0.25">
      <c r="C33" s="203" t="s">
        <v>56</v>
      </c>
      <c r="D33" s="18" t="s">
        <v>45</v>
      </c>
      <c r="E33" s="113">
        <v>0.125</v>
      </c>
    </row>
    <row r="34" spans="3:20" ht="15" customHeight="1" x14ac:dyDescent="0.25">
      <c r="C34" s="204"/>
      <c r="D34" s="19" t="s">
        <v>46</v>
      </c>
      <c r="E34" s="114">
        <v>1</v>
      </c>
    </row>
    <row r="35" spans="3:20" ht="15.75" thickBot="1" x14ac:dyDescent="0.3">
      <c r="C35" s="205"/>
      <c r="D35" s="20" t="s">
        <v>50</v>
      </c>
      <c r="E35" s="115">
        <v>2</v>
      </c>
    </row>
    <row r="36" spans="3:20" x14ac:dyDescent="0.25">
      <c r="C36" s="203" t="s">
        <v>60</v>
      </c>
      <c r="D36" s="18" t="s">
        <v>90</v>
      </c>
      <c r="E36" s="113">
        <v>0.125</v>
      </c>
    </row>
    <row r="37" spans="3:20" ht="15" customHeight="1" x14ac:dyDescent="0.25">
      <c r="C37" s="204"/>
      <c r="D37" s="19" t="s">
        <v>45</v>
      </c>
      <c r="E37" s="114">
        <v>1</v>
      </c>
    </row>
    <row r="38" spans="3:20" x14ac:dyDescent="0.25">
      <c r="C38" s="204"/>
      <c r="D38" s="19" t="s">
        <v>46</v>
      </c>
      <c r="E38" s="114">
        <v>1.5</v>
      </c>
    </row>
    <row r="39" spans="3:20" ht="15.75" thickBot="1" x14ac:dyDescent="0.3">
      <c r="C39" s="205"/>
      <c r="D39" s="20" t="s">
        <v>50</v>
      </c>
      <c r="E39" s="115">
        <v>3</v>
      </c>
    </row>
    <row r="40" spans="3:20" ht="15" customHeight="1" x14ac:dyDescent="0.25">
      <c r="C40" s="203" t="s">
        <v>61</v>
      </c>
      <c r="D40" s="18" t="s">
        <v>90</v>
      </c>
      <c r="E40" s="113">
        <v>0.125</v>
      </c>
    </row>
    <row r="41" spans="3:20" x14ac:dyDescent="0.25">
      <c r="C41" s="204"/>
      <c r="D41" s="19" t="s">
        <v>45</v>
      </c>
      <c r="E41" s="114">
        <v>0.5</v>
      </c>
    </row>
    <row r="42" spans="3:20" x14ac:dyDescent="0.25">
      <c r="C42" s="204"/>
      <c r="D42" s="19" t="s">
        <v>46</v>
      </c>
      <c r="E42" s="114">
        <v>1</v>
      </c>
    </row>
    <row r="43" spans="3:20" ht="15.75" thickBot="1" x14ac:dyDescent="0.3">
      <c r="C43" s="205"/>
      <c r="D43" s="20" t="s">
        <v>50</v>
      </c>
      <c r="E43" s="115">
        <v>2</v>
      </c>
    </row>
    <row r="44" spans="3:20" ht="15" customHeight="1" thickBot="1" x14ac:dyDescent="0.3">
      <c r="C44" s="21" t="s">
        <v>57</v>
      </c>
      <c r="D44" s="22" t="s">
        <v>72</v>
      </c>
      <c r="E44" s="116">
        <v>0.125</v>
      </c>
    </row>
    <row r="45" spans="3:20" ht="15.75" thickBot="1" x14ac:dyDescent="0.3">
      <c r="C45" s="21" t="s">
        <v>58</v>
      </c>
      <c r="D45" s="22" t="s">
        <v>72</v>
      </c>
      <c r="E45" s="116">
        <v>0.125</v>
      </c>
    </row>
    <row r="47" spans="3:20" ht="15.75" thickBot="1" x14ac:dyDescent="0.3"/>
    <row r="48" spans="3:20" ht="15.75" x14ac:dyDescent="0.25">
      <c r="D48" s="229" t="s">
        <v>139</v>
      </c>
      <c r="E48" s="237"/>
      <c r="F48" s="237"/>
      <c r="G48" s="237"/>
      <c r="H48" s="237"/>
      <c r="I48" s="237"/>
      <c r="J48" s="237"/>
      <c r="K48" s="237"/>
      <c r="L48" s="237"/>
      <c r="M48" s="237"/>
      <c r="N48" s="237"/>
      <c r="O48" s="237"/>
      <c r="P48" s="237"/>
      <c r="Q48" s="237"/>
      <c r="R48" s="237"/>
      <c r="S48" s="237"/>
      <c r="T48" s="238"/>
    </row>
    <row r="49" spans="3:20" ht="15.75" thickBot="1" x14ac:dyDescent="0.3">
      <c r="D49" s="232" t="s">
        <v>138</v>
      </c>
      <c r="E49" s="233"/>
      <c r="F49" s="139" t="s">
        <v>110</v>
      </c>
      <c r="G49" s="139" t="s">
        <v>112</v>
      </c>
      <c r="H49" s="139" t="s">
        <v>113</v>
      </c>
      <c r="I49" s="139" t="s">
        <v>115</v>
      </c>
      <c r="J49" s="139" t="s">
        <v>117</v>
      </c>
      <c r="K49" s="139" t="s">
        <v>108</v>
      </c>
      <c r="L49" s="139" t="s">
        <v>119</v>
      </c>
      <c r="M49" s="139" t="s">
        <v>121</v>
      </c>
      <c r="N49" s="139" t="s">
        <v>122</v>
      </c>
      <c r="O49" s="139" t="s">
        <v>124</v>
      </c>
      <c r="P49" s="139" t="s">
        <v>125</v>
      </c>
      <c r="Q49" s="139" t="s">
        <v>127</v>
      </c>
      <c r="R49" s="139" t="s">
        <v>129</v>
      </c>
      <c r="S49" s="139" t="s">
        <v>131</v>
      </c>
      <c r="T49" s="140" t="s">
        <v>140</v>
      </c>
    </row>
    <row r="50" spans="3:20" ht="45" x14ac:dyDescent="0.25">
      <c r="C50" s="229" t="s">
        <v>44</v>
      </c>
      <c r="D50" s="207">
        <v>1</v>
      </c>
      <c r="E50" s="155" t="s">
        <v>141</v>
      </c>
      <c r="F50" s="149"/>
      <c r="G50" s="150"/>
      <c r="H50" s="150"/>
      <c r="I50" s="150"/>
      <c r="J50" s="150"/>
      <c r="K50" s="150" t="s">
        <v>143</v>
      </c>
      <c r="L50" s="150"/>
      <c r="M50" s="150"/>
      <c r="N50" s="150"/>
      <c r="O50" s="150"/>
      <c r="P50" s="150"/>
      <c r="Q50" s="150"/>
      <c r="R50" s="150"/>
      <c r="S50" s="150"/>
      <c r="T50" s="151"/>
    </row>
    <row r="51" spans="3:20" ht="15.75" customHeight="1" x14ac:dyDescent="0.25">
      <c r="C51" s="230"/>
      <c r="D51" s="234"/>
      <c r="E51" s="156" t="s">
        <v>142</v>
      </c>
      <c r="F51" s="142"/>
      <c r="G51" s="143"/>
      <c r="H51" s="143"/>
      <c r="I51" s="143"/>
      <c r="J51" s="143"/>
      <c r="K51" s="143">
        <f>MROUND(ROUND(D13*5/60/8,0)*(1+IF(D12=T3,10%,IF(D12=T4,20%,IF(D12=T5,30%,IF(D12=T6,50%,IF(D12=T7,70%)))))),0.5)</f>
        <v>1</v>
      </c>
      <c r="L51" s="143"/>
      <c r="M51" s="143"/>
      <c r="N51" s="143"/>
      <c r="O51" s="143"/>
      <c r="P51" s="143"/>
      <c r="Q51" s="143"/>
      <c r="R51" s="143"/>
      <c r="S51" s="143"/>
      <c r="T51" s="144"/>
    </row>
    <row r="52" spans="3:20" ht="45" x14ac:dyDescent="0.25">
      <c r="C52" s="230"/>
      <c r="D52" s="234">
        <v>2</v>
      </c>
      <c r="E52" s="157" t="s">
        <v>141</v>
      </c>
      <c r="F52" s="152"/>
      <c r="G52" s="153"/>
      <c r="H52" s="153"/>
      <c r="I52" s="153"/>
      <c r="J52" s="153"/>
      <c r="K52" s="153" t="s">
        <v>144</v>
      </c>
      <c r="L52" s="153"/>
      <c r="M52" s="153"/>
      <c r="N52" s="153"/>
      <c r="O52" s="153"/>
      <c r="P52" s="153"/>
      <c r="Q52" s="153"/>
      <c r="R52" s="153"/>
      <c r="S52" s="153"/>
      <c r="T52" s="154"/>
    </row>
    <row r="53" spans="3:20" ht="15.75" customHeight="1" x14ac:dyDescent="0.25">
      <c r="C53" s="230"/>
      <c r="D53" s="234"/>
      <c r="E53" s="156" t="s">
        <v>142</v>
      </c>
      <c r="F53" s="142"/>
      <c r="G53" s="143"/>
      <c r="H53" s="143"/>
      <c r="I53" s="143"/>
      <c r="J53" s="143"/>
      <c r="K53" s="143">
        <v>3</v>
      </c>
      <c r="L53" s="143"/>
      <c r="M53" s="143"/>
      <c r="N53" s="143"/>
      <c r="O53" s="143"/>
      <c r="P53" s="143"/>
      <c r="Q53" s="143"/>
      <c r="R53" s="143"/>
      <c r="S53" s="143"/>
      <c r="T53" s="144"/>
    </row>
    <row r="54" spans="3:20" ht="45" x14ac:dyDescent="0.25">
      <c r="C54" s="230"/>
      <c r="D54" s="234">
        <v>3</v>
      </c>
      <c r="E54" s="157" t="s">
        <v>141</v>
      </c>
      <c r="F54" s="152"/>
      <c r="G54" s="153"/>
      <c r="H54" s="153"/>
      <c r="I54" s="153"/>
      <c r="J54" s="153"/>
      <c r="K54" s="153" t="s">
        <v>145</v>
      </c>
      <c r="L54" s="153"/>
      <c r="M54" s="153"/>
      <c r="N54" s="153"/>
      <c r="O54" s="153"/>
      <c r="P54" s="153"/>
      <c r="Q54" s="153"/>
      <c r="R54" s="153"/>
      <c r="S54" s="153"/>
      <c r="T54" s="154"/>
    </row>
    <row r="55" spans="3:20" ht="15.75" customHeight="1" x14ac:dyDescent="0.25">
      <c r="C55" s="230"/>
      <c r="D55" s="234"/>
      <c r="E55" s="156" t="s">
        <v>142</v>
      </c>
      <c r="F55" s="142"/>
      <c r="G55" s="143"/>
      <c r="H55" s="143"/>
      <c r="I55" s="143"/>
      <c r="J55" s="143"/>
      <c r="K55" s="143">
        <v>1</v>
      </c>
      <c r="L55" s="143"/>
      <c r="M55" s="143"/>
      <c r="N55" s="143"/>
      <c r="O55" s="143"/>
      <c r="P55" s="143"/>
      <c r="Q55" s="143"/>
      <c r="R55" s="143"/>
      <c r="S55" s="143"/>
      <c r="T55" s="144"/>
    </row>
    <row r="56" spans="3:20" ht="30" x14ac:dyDescent="0.25">
      <c r="C56" s="230"/>
      <c r="D56" s="234">
        <v>4</v>
      </c>
      <c r="E56" s="157" t="s">
        <v>141</v>
      </c>
      <c r="F56" s="152"/>
      <c r="G56" s="153"/>
      <c r="H56" s="153"/>
      <c r="I56" s="153"/>
      <c r="J56" s="153"/>
      <c r="K56" s="153" t="s">
        <v>151</v>
      </c>
      <c r="L56" s="153"/>
      <c r="M56" s="153"/>
      <c r="N56" s="153"/>
      <c r="O56" s="153"/>
      <c r="P56" s="153"/>
      <c r="Q56" s="153"/>
      <c r="R56" s="153"/>
      <c r="S56" s="153"/>
      <c r="T56" s="154"/>
    </row>
    <row r="57" spans="3:20" ht="15.75" customHeight="1" x14ac:dyDescent="0.25">
      <c r="C57" s="230"/>
      <c r="D57" s="234"/>
      <c r="E57" s="156" t="s">
        <v>142</v>
      </c>
      <c r="F57" s="142"/>
      <c r="G57" s="143"/>
      <c r="H57" s="143"/>
      <c r="I57" s="143"/>
      <c r="J57" s="143"/>
      <c r="K57" s="143">
        <f>'Charges et couts'!$J$7</f>
        <v>7</v>
      </c>
      <c r="L57" s="143"/>
      <c r="M57" s="143"/>
      <c r="N57" s="143"/>
      <c r="O57" s="143"/>
      <c r="P57" s="143"/>
      <c r="Q57" s="143"/>
      <c r="R57" s="143"/>
      <c r="S57" s="143"/>
      <c r="T57" s="144"/>
    </row>
    <row r="58" spans="3:20" ht="30" x14ac:dyDescent="0.25">
      <c r="C58" s="230"/>
      <c r="D58" s="234">
        <v>5</v>
      </c>
      <c r="E58" s="158" t="s">
        <v>141</v>
      </c>
      <c r="F58" s="152"/>
      <c r="G58" s="153"/>
      <c r="H58" s="153"/>
      <c r="I58" s="153"/>
      <c r="J58" s="153"/>
      <c r="K58" s="153" t="s">
        <v>152</v>
      </c>
      <c r="L58" s="153"/>
      <c r="M58" s="153"/>
      <c r="N58" s="153"/>
      <c r="O58" s="153"/>
      <c r="P58" s="153"/>
      <c r="Q58" s="153"/>
      <c r="R58" s="153"/>
      <c r="S58" s="153"/>
      <c r="T58" s="154"/>
    </row>
    <row r="59" spans="3:20" ht="15.75" customHeight="1" x14ac:dyDescent="0.25">
      <c r="C59" s="230"/>
      <c r="D59" s="234"/>
      <c r="E59" s="141" t="s">
        <v>142</v>
      </c>
      <c r="F59" s="142"/>
      <c r="G59" s="143"/>
      <c r="H59" s="143"/>
      <c r="I59" s="143"/>
      <c r="J59" s="143"/>
      <c r="K59" s="143">
        <f>MROUND(K57*50%,0.5)</f>
        <v>3.5</v>
      </c>
      <c r="L59" s="143"/>
      <c r="M59" s="143"/>
      <c r="N59" s="143"/>
      <c r="O59" s="143"/>
      <c r="P59" s="143"/>
      <c r="Q59" s="143"/>
      <c r="R59" s="143"/>
      <c r="S59" s="143"/>
      <c r="T59" s="144"/>
    </row>
    <row r="60" spans="3:20" ht="45" x14ac:dyDescent="0.25">
      <c r="C60" s="230"/>
      <c r="D60" s="234">
        <v>6</v>
      </c>
      <c r="E60" s="158" t="s">
        <v>141</v>
      </c>
      <c r="F60" s="152"/>
      <c r="G60" s="153"/>
      <c r="H60" s="153"/>
      <c r="I60" s="153"/>
      <c r="J60" s="153"/>
      <c r="K60" s="153" t="s">
        <v>153</v>
      </c>
      <c r="L60" s="153"/>
      <c r="M60" s="153"/>
      <c r="N60" s="153"/>
      <c r="O60" s="153"/>
      <c r="P60" s="153"/>
      <c r="Q60" s="153"/>
      <c r="R60" s="153"/>
      <c r="S60" s="153"/>
      <c r="T60" s="154"/>
    </row>
    <row r="61" spans="3:20" ht="15.75" customHeight="1" x14ac:dyDescent="0.25">
      <c r="C61" s="230"/>
      <c r="D61" s="234"/>
      <c r="E61" s="141" t="s">
        <v>142</v>
      </c>
      <c r="F61" s="142"/>
      <c r="G61" s="143"/>
      <c r="H61" s="143"/>
      <c r="I61" s="143"/>
      <c r="J61" s="143"/>
      <c r="K61" s="143">
        <f>ROUND(SUM(TFC!$I$59:$L$59)*5%*0.5,0)</f>
        <v>0</v>
      </c>
      <c r="L61" s="143"/>
      <c r="M61" s="143"/>
      <c r="N61" s="143"/>
      <c r="O61" s="143"/>
      <c r="P61" s="143"/>
      <c r="Q61" s="143"/>
      <c r="R61" s="143"/>
      <c r="S61" s="143"/>
      <c r="T61" s="144"/>
    </row>
    <row r="62" spans="3:20" ht="45" x14ac:dyDescent="0.25">
      <c r="C62" s="230"/>
      <c r="D62" s="234">
        <v>7</v>
      </c>
      <c r="E62" s="158" t="s">
        <v>141</v>
      </c>
      <c r="F62" s="152"/>
      <c r="G62" s="153"/>
      <c r="H62" s="153"/>
      <c r="I62" s="153"/>
      <c r="J62" s="153"/>
      <c r="K62" s="153" t="s">
        <v>155</v>
      </c>
      <c r="L62" s="153"/>
      <c r="M62" s="153"/>
      <c r="N62" s="153"/>
      <c r="O62" s="153"/>
      <c r="P62" s="153"/>
      <c r="Q62" s="153"/>
      <c r="R62" s="153"/>
      <c r="S62" s="153"/>
      <c r="T62" s="154"/>
    </row>
    <row r="63" spans="3:20" ht="15.75" customHeight="1" x14ac:dyDescent="0.25">
      <c r="C63" s="230"/>
      <c r="D63" s="234"/>
      <c r="E63" s="141" t="s">
        <v>142</v>
      </c>
      <c r="F63" s="142"/>
      <c r="G63" s="143"/>
      <c r="H63" s="143"/>
      <c r="I63" s="143"/>
      <c r="J63" s="143"/>
      <c r="K63" s="143">
        <f>MROUND('Charges et couts'!$J$19-Paramètres!K57,0.5)</f>
        <v>70.5</v>
      </c>
      <c r="L63" s="143"/>
      <c r="M63" s="143"/>
      <c r="N63" s="143"/>
      <c r="O63" s="143"/>
      <c r="P63" s="143"/>
      <c r="Q63" s="143"/>
      <c r="R63" s="143"/>
      <c r="S63" s="143"/>
      <c r="T63" s="144"/>
    </row>
    <row r="64" spans="3:20" ht="60" x14ac:dyDescent="0.25">
      <c r="C64" s="230"/>
      <c r="D64" s="234">
        <v>8</v>
      </c>
      <c r="E64" s="158" t="s">
        <v>141</v>
      </c>
      <c r="F64" s="152"/>
      <c r="G64" s="153"/>
      <c r="H64" s="153"/>
      <c r="I64" s="153"/>
      <c r="J64" s="153"/>
      <c r="K64" s="153" t="s">
        <v>173</v>
      </c>
      <c r="L64" s="153"/>
      <c r="M64" s="153"/>
      <c r="N64" s="153"/>
      <c r="O64" s="153"/>
      <c r="P64" s="153"/>
      <c r="Q64" s="153"/>
      <c r="R64" s="153"/>
      <c r="S64" s="153"/>
      <c r="T64" s="154"/>
    </row>
    <row r="65" spans="3:20" ht="16.5" customHeight="1" x14ac:dyDescent="0.25">
      <c r="C65" s="230"/>
      <c r="D65" s="234"/>
      <c r="E65" s="141" t="s">
        <v>142</v>
      </c>
      <c r="F65" s="142"/>
      <c r="G65" s="143"/>
      <c r="H65" s="143"/>
      <c r="I65" s="143"/>
      <c r="J65" s="143"/>
      <c r="K65" s="143">
        <f>$D$15*3</f>
        <v>0</v>
      </c>
      <c r="L65" s="143"/>
      <c r="M65" s="143"/>
      <c r="N65" s="143"/>
      <c r="O65" s="143"/>
      <c r="P65" s="143"/>
      <c r="Q65" s="143"/>
      <c r="R65" s="143"/>
      <c r="S65" s="143"/>
      <c r="T65" s="144"/>
    </row>
    <row r="66" spans="3:20" ht="60" x14ac:dyDescent="0.25">
      <c r="C66" s="230"/>
      <c r="D66" s="234">
        <v>9</v>
      </c>
      <c r="E66" s="158" t="s">
        <v>141</v>
      </c>
      <c r="F66" s="152"/>
      <c r="G66" s="153"/>
      <c r="H66" s="153"/>
      <c r="I66" s="153"/>
      <c r="J66" s="153"/>
      <c r="K66" s="153" t="s">
        <v>147</v>
      </c>
      <c r="L66" s="153"/>
      <c r="M66" s="153"/>
      <c r="N66" s="153"/>
      <c r="O66" s="153"/>
      <c r="P66" s="153"/>
      <c r="Q66" s="153"/>
      <c r="R66" s="153"/>
      <c r="S66" s="153"/>
      <c r="T66" s="154"/>
    </row>
    <row r="67" spans="3:20" ht="16.5" customHeight="1" x14ac:dyDescent="0.25">
      <c r="C67" s="230"/>
      <c r="D67" s="234"/>
      <c r="E67" s="141" t="s">
        <v>142</v>
      </c>
      <c r="F67" s="142"/>
      <c r="G67" s="143"/>
      <c r="H67" s="143"/>
      <c r="I67" s="143"/>
      <c r="J67" s="143"/>
      <c r="K67" s="143">
        <v>10</v>
      </c>
      <c r="L67" s="143"/>
      <c r="M67" s="143"/>
      <c r="N67" s="143"/>
      <c r="O67" s="143"/>
      <c r="P67" s="143"/>
      <c r="Q67" s="143"/>
      <c r="R67" s="143"/>
      <c r="S67" s="143"/>
      <c r="T67" s="144"/>
    </row>
    <row r="68" spans="3:20" ht="75" x14ac:dyDescent="0.25">
      <c r="C68" s="230"/>
      <c r="D68" s="234">
        <v>10</v>
      </c>
      <c r="E68" s="158" t="s">
        <v>141</v>
      </c>
      <c r="F68" s="152"/>
      <c r="G68" s="153"/>
      <c r="H68" s="153"/>
      <c r="I68" s="153"/>
      <c r="J68" s="153"/>
      <c r="K68" s="153" t="s">
        <v>148</v>
      </c>
      <c r="L68" s="153"/>
      <c r="M68" s="153"/>
      <c r="N68" s="153"/>
      <c r="O68" s="153"/>
      <c r="P68" s="153"/>
      <c r="Q68" s="153"/>
      <c r="R68" s="153"/>
      <c r="S68" s="153"/>
      <c r="T68" s="154"/>
    </row>
    <row r="69" spans="3:20" ht="16.5" customHeight="1" x14ac:dyDescent="0.25">
      <c r="C69" s="230"/>
      <c r="D69" s="234"/>
      <c r="E69" s="141" t="s">
        <v>142</v>
      </c>
      <c r="F69" s="142"/>
      <c r="G69" s="143"/>
      <c r="H69" s="143"/>
      <c r="I69" s="143"/>
      <c r="J69" s="143"/>
      <c r="K69" s="143">
        <v>1</v>
      </c>
      <c r="L69" s="143"/>
      <c r="M69" s="143"/>
      <c r="N69" s="143"/>
      <c r="O69" s="143"/>
      <c r="P69" s="143"/>
      <c r="Q69" s="143"/>
      <c r="R69" s="143"/>
      <c r="S69" s="143"/>
      <c r="T69" s="144"/>
    </row>
    <row r="70" spans="3:20" ht="30" x14ac:dyDescent="0.25">
      <c r="C70" s="230"/>
      <c r="D70" s="234">
        <v>11</v>
      </c>
      <c r="E70" s="158" t="s">
        <v>141</v>
      </c>
      <c r="F70" s="152"/>
      <c r="G70" s="153"/>
      <c r="H70" s="153"/>
      <c r="I70" s="153"/>
      <c r="J70" s="153"/>
      <c r="K70" s="153" t="s">
        <v>149</v>
      </c>
      <c r="L70" s="153"/>
      <c r="M70" s="153"/>
      <c r="N70" s="153"/>
      <c r="O70" s="153"/>
      <c r="P70" s="153"/>
      <c r="Q70" s="153"/>
      <c r="R70" s="153"/>
      <c r="S70" s="153"/>
      <c r="T70" s="154"/>
    </row>
    <row r="71" spans="3:20" ht="16.5" customHeight="1" x14ac:dyDescent="0.25">
      <c r="C71" s="230"/>
      <c r="D71" s="234"/>
      <c r="E71" s="141" t="s">
        <v>142</v>
      </c>
      <c r="F71" s="142"/>
      <c r="G71" s="143"/>
      <c r="H71" s="143"/>
      <c r="I71" s="143"/>
      <c r="J71" s="143"/>
      <c r="K71" s="143">
        <f>7</f>
        <v>7</v>
      </c>
      <c r="L71" s="143"/>
      <c r="M71" s="143"/>
      <c r="N71" s="143"/>
      <c r="O71" s="143"/>
      <c r="P71" s="143"/>
      <c r="Q71" s="143"/>
      <c r="R71" s="143"/>
      <c r="S71" s="143"/>
      <c r="T71" s="144"/>
    </row>
    <row r="72" spans="3:20" ht="60" x14ac:dyDescent="0.25">
      <c r="C72" s="230"/>
      <c r="D72" s="234">
        <v>12</v>
      </c>
      <c r="E72" s="158" t="s">
        <v>141</v>
      </c>
      <c r="F72" s="152"/>
      <c r="G72" s="153"/>
      <c r="H72" s="153"/>
      <c r="I72" s="153"/>
      <c r="J72" s="153"/>
      <c r="K72" s="153" t="s">
        <v>150</v>
      </c>
      <c r="L72" s="153"/>
      <c r="M72" s="153"/>
      <c r="N72" s="153"/>
      <c r="O72" s="153"/>
      <c r="P72" s="153"/>
      <c r="Q72" s="153"/>
      <c r="R72" s="153"/>
      <c r="S72" s="153"/>
      <c r="T72" s="154"/>
    </row>
    <row r="73" spans="3:20" ht="16.5" customHeight="1" x14ac:dyDescent="0.25">
      <c r="C73" s="230"/>
      <c r="D73" s="234"/>
      <c r="E73" s="141" t="s">
        <v>142</v>
      </c>
      <c r="F73" s="142"/>
      <c r="G73" s="143"/>
      <c r="H73" s="143"/>
      <c r="I73" s="143"/>
      <c r="J73" s="143"/>
      <c r="K73" s="143">
        <f>0.5+2*1</f>
        <v>2.5</v>
      </c>
      <c r="L73" s="143"/>
      <c r="M73" s="143"/>
      <c r="N73" s="143"/>
      <c r="O73" s="143"/>
      <c r="P73" s="143"/>
      <c r="Q73" s="143"/>
      <c r="R73" s="143"/>
      <c r="S73" s="143"/>
      <c r="T73" s="144"/>
    </row>
    <row r="74" spans="3:20" ht="45" x14ac:dyDescent="0.25">
      <c r="C74" s="230"/>
      <c r="D74" s="234">
        <v>13</v>
      </c>
      <c r="E74" s="158" t="s">
        <v>141</v>
      </c>
      <c r="F74" s="152"/>
      <c r="G74" s="153"/>
      <c r="H74" s="153"/>
      <c r="I74" s="153"/>
      <c r="J74" s="153"/>
      <c r="K74" s="153" t="s">
        <v>154</v>
      </c>
      <c r="L74" s="153"/>
      <c r="M74" s="153"/>
      <c r="N74" s="153"/>
      <c r="O74" s="153"/>
      <c r="P74" s="153"/>
      <c r="Q74" s="153"/>
      <c r="R74" s="153"/>
      <c r="S74" s="153"/>
      <c r="T74" s="154"/>
    </row>
    <row r="75" spans="3:20" ht="16.5" customHeight="1" x14ac:dyDescent="0.25">
      <c r="C75" s="230"/>
      <c r="D75" s="234"/>
      <c r="E75" s="141" t="s">
        <v>142</v>
      </c>
      <c r="F75" s="142"/>
      <c r="G75" s="143"/>
      <c r="H75" s="143"/>
      <c r="I75" s="143"/>
      <c r="J75" s="143"/>
      <c r="K75" s="143">
        <v>4</v>
      </c>
      <c r="L75" s="143"/>
      <c r="M75" s="143"/>
      <c r="N75" s="143"/>
      <c r="O75" s="143"/>
      <c r="P75" s="143"/>
      <c r="Q75" s="143"/>
      <c r="R75" s="143"/>
      <c r="S75" s="143"/>
      <c r="T75" s="144"/>
    </row>
    <row r="76" spans="3:20" ht="30" x14ac:dyDescent="0.25">
      <c r="C76" s="230"/>
      <c r="D76" s="234">
        <v>14</v>
      </c>
      <c r="E76" s="158" t="s">
        <v>141</v>
      </c>
      <c r="F76" s="152"/>
      <c r="G76" s="153"/>
      <c r="H76" s="153"/>
      <c r="I76" s="153"/>
      <c r="J76" s="153"/>
      <c r="K76" s="153" t="s">
        <v>156</v>
      </c>
      <c r="L76" s="153"/>
      <c r="M76" s="153"/>
      <c r="N76" s="153"/>
      <c r="O76" s="153"/>
      <c r="P76" s="153"/>
      <c r="Q76" s="153"/>
      <c r="R76" s="153"/>
      <c r="S76" s="153"/>
      <c r="T76" s="154"/>
    </row>
    <row r="77" spans="3:20" ht="16.5" customHeight="1" x14ac:dyDescent="0.25">
      <c r="C77" s="230"/>
      <c r="D77" s="234"/>
      <c r="E77" s="141" t="s">
        <v>142</v>
      </c>
      <c r="F77" s="142"/>
      <c r="G77" s="143"/>
      <c r="H77" s="143"/>
      <c r="I77" s="143"/>
      <c r="J77" s="143"/>
      <c r="K77" s="143" t="e">
        <f>IF(K53&gt;0,1,0)+IF(K59&gt;0,1,0)+IF(K63&gt;0,D10,0)+IF(K67&gt;0,1,0)+IF(K69&gt;0,1,0)+IF(K71&gt;0,1+1,0)</f>
        <v>#VALUE!</v>
      </c>
      <c r="L77" s="143"/>
      <c r="M77" s="143"/>
      <c r="N77" s="143"/>
      <c r="O77" s="143"/>
      <c r="P77" s="143"/>
      <c r="Q77" s="143"/>
      <c r="R77" s="143"/>
      <c r="S77" s="143"/>
      <c r="T77" s="144"/>
    </row>
    <row r="78" spans="3:20" ht="30" x14ac:dyDescent="0.25">
      <c r="C78" s="230"/>
      <c r="D78" s="235">
        <v>15</v>
      </c>
      <c r="E78" s="158" t="s">
        <v>141</v>
      </c>
      <c r="F78" s="152"/>
      <c r="G78" s="153"/>
      <c r="H78" s="153"/>
      <c r="I78" s="153"/>
      <c r="J78" s="153"/>
      <c r="K78" s="153" t="s">
        <v>161</v>
      </c>
      <c r="L78" s="153"/>
      <c r="M78" s="153"/>
      <c r="N78" s="153"/>
      <c r="O78" s="153"/>
      <c r="P78" s="153"/>
      <c r="Q78" s="153"/>
      <c r="R78" s="153"/>
      <c r="S78" s="153"/>
      <c r="T78" s="154"/>
    </row>
    <row r="79" spans="3:20" ht="16.5" customHeight="1" thickBot="1" x14ac:dyDescent="0.3">
      <c r="C79" s="230"/>
      <c r="D79" s="236"/>
      <c r="E79" s="159" t="s">
        <v>142</v>
      </c>
      <c r="F79" s="142"/>
      <c r="G79" s="143"/>
      <c r="H79" s="143"/>
      <c r="I79" s="143"/>
      <c r="J79" s="143"/>
      <c r="K79" s="143">
        <v>5</v>
      </c>
      <c r="L79" s="143"/>
      <c r="M79" s="143"/>
      <c r="N79" s="143"/>
      <c r="O79" s="143"/>
      <c r="P79" s="143"/>
      <c r="Q79" s="143"/>
      <c r="R79" s="143"/>
      <c r="S79" s="143"/>
      <c r="T79" s="144"/>
    </row>
    <row r="80" spans="3:20" x14ac:dyDescent="0.25">
      <c r="C80" s="230"/>
      <c r="D80" s="235">
        <v>16</v>
      </c>
      <c r="E80" s="163" t="s">
        <v>141</v>
      </c>
      <c r="F80" s="164"/>
      <c r="G80" s="165"/>
      <c r="H80" s="165"/>
      <c r="I80" s="165"/>
      <c r="J80" s="165"/>
      <c r="K80" s="165"/>
      <c r="L80" s="165"/>
      <c r="M80" s="165"/>
      <c r="N80" s="165"/>
      <c r="O80" s="165"/>
      <c r="P80" s="165"/>
      <c r="Q80" s="165"/>
      <c r="R80" s="165"/>
      <c r="S80" s="165"/>
      <c r="T80" s="166"/>
    </row>
    <row r="81" spans="3:20" ht="16.5" customHeight="1" thickBot="1" x14ac:dyDescent="0.3">
      <c r="C81" s="231"/>
      <c r="D81" s="236"/>
      <c r="E81" s="159" t="s">
        <v>142</v>
      </c>
      <c r="F81" s="160"/>
      <c r="G81" s="161"/>
      <c r="H81" s="161"/>
      <c r="I81" s="161"/>
      <c r="J81" s="161"/>
      <c r="K81" s="161"/>
      <c r="L81" s="161"/>
      <c r="M81" s="161"/>
      <c r="N81" s="161"/>
      <c r="O81" s="161"/>
      <c r="P81" s="161"/>
      <c r="Q81" s="161"/>
      <c r="R81" s="161"/>
      <c r="S81" s="161"/>
      <c r="T81" s="162"/>
    </row>
  </sheetData>
  <sheetProtection selectLockedCells="1"/>
  <mergeCells count="43">
    <mergeCell ref="D48:T48"/>
    <mergeCell ref="D74:D75"/>
    <mergeCell ref="D76:D77"/>
    <mergeCell ref="D78:D79"/>
    <mergeCell ref="D50:D51"/>
    <mergeCell ref="D52:D53"/>
    <mergeCell ref="D54:D55"/>
    <mergeCell ref="D56:D57"/>
    <mergeCell ref="D58:D59"/>
    <mergeCell ref="D60:D61"/>
    <mergeCell ref="D62:D63"/>
    <mergeCell ref="C50:C81"/>
    <mergeCell ref="D49:E49"/>
    <mergeCell ref="D64:D65"/>
    <mergeCell ref="D66:D67"/>
    <mergeCell ref="D68:D69"/>
    <mergeCell ref="D70:D71"/>
    <mergeCell ref="D72:D73"/>
    <mergeCell ref="D80:D81"/>
    <mergeCell ref="D19:E19"/>
    <mergeCell ref="D20:E20"/>
    <mergeCell ref="D21:E21"/>
    <mergeCell ref="D22:E22"/>
    <mergeCell ref="D23:E23"/>
    <mergeCell ref="D4:F4"/>
    <mergeCell ref="D5:F5"/>
    <mergeCell ref="D6:F6"/>
    <mergeCell ref="D7:F7"/>
    <mergeCell ref="D18:E18"/>
    <mergeCell ref="C17:E17"/>
    <mergeCell ref="D10:F10"/>
    <mergeCell ref="D15:F15"/>
    <mergeCell ref="D13:F13"/>
    <mergeCell ref="D14:F14"/>
    <mergeCell ref="C9:F9"/>
    <mergeCell ref="E11:F11"/>
    <mergeCell ref="D12:F12"/>
    <mergeCell ref="C36:C39"/>
    <mergeCell ref="C40:C43"/>
    <mergeCell ref="C25:E25"/>
    <mergeCell ref="C27:C29"/>
    <mergeCell ref="C30:C32"/>
    <mergeCell ref="C33:C35"/>
  </mergeCells>
  <dataValidations count="14">
    <dataValidation type="list" allowBlank="1" showInputMessage="1" showErrorMessage="1" errorTitle="Erreur" error="Ce langage n'est pas dans la liste" promptTitle="Aide" prompt="Veuillez sélectionner le langage dans la liste" sqref="D18">
      <formula1>LANGAGES</formula1>
    </dataValidation>
    <dataValidation type="list" allowBlank="1" showInputMessage="1" showErrorMessage="1" errorTitle="Erreur" error="Ce type n'est pas dans la liste" promptTitle="Aide" prompt="Veuillez sélectionner le type d'application dans la liste" sqref="D19">
      <formula1>TYPES_APPLI</formula1>
    </dataValidation>
    <dataValidation type="list" allowBlank="1" showInputMessage="1" showErrorMessage="1" errorTitle="Erreur" error="Ce type n'est pas dans la liste" promptTitle="Aide" prompt="Veuillez sélectionner le Serveur d'application dans la liste" sqref="D20">
      <formula1>TYPES_SERVEUR_APPLI</formula1>
    </dataValidation>
    <dataValidation type="list" allowBlank="1" showInputMessage="1" showErrorMessage="1" errorTitle="Erreur" error="Ce type n'est pas dans la liste" promptTitle="Aide" prompt="Veuillez sélectionner le Serveur de Base de Données dans la liste" sqref="D21">
      <formula1>TYPES_SERVEUR_BDD</formula1>
    </dataValidation>
    <dataValidation type="list" allowBlank="1" showInputMessage="1" showErrorMessage="1" promptTitle="Aide" prompt="Veuillez indiquer s'il existe un environnement de recette" sqref="D22">
      <formula1>"OUI,NON"</formula1>
    </dataValidation>
    <dataValidation type="list" allowBlank="1" showInputMessage="1" showErrorMessage="1" promptTitle="Aide" prompt="Veuillez indiquer s'il existe un environnement de production" sqref="D23">
      <formula1>"OUI,NON"</formula1>
    </dataValidation>
    <dataValidation type="date" allowBlank="1" showInputMessage="1" showErrorMessage="1" errorTitle="Erreur" error="La date est incorrecte. Elle doit être comprise entre aujourd'hui et un an" promptTitle="Aide" prompt="Veuillez saisir la date prévisionnelle de démarrage du projet" sqref="D6">
      <formula1>M3</formula1>
      <formula2>M4</formula2>
    </dataValidation>
    <dataValidation type="date" allowBlank="1" showInputMessage="1" showErrorMessage="1" errorTitle="Erreur" error="La date est incorrecte. Elle doit être comprise entre la date de début + 10j et un an" promptTitle="Aide" prompt="Veuillez saisir la date prévionnelle de mise en production de l'application" sqref="D7:F7">
      <formula1>DATE_DEB+10</formula1>
      <formula2>DATE_DEB+365</formula2>
    </dataValidation>
    <dataValidation allowBlank="1" showInputMessage="1" showErrorMessage="1" errorTitle="Erreur" error="Ce langage n'est pas dans la liste" promptTitle="Aide" prompt="Veuillez sélectionner le langage dans la liste" sqref="D10:F10"/>
    <dataValidation type="list" allowBlank="1" showInputMessage="1" showErrorMessage="1" errorTitle="Erreur" error="Ce type n'est pas dans la liste" promptTitle="Aide" prompt="Veuillez sélectionner le type de projet (produit) dans la liste" sqref="D11">
      <formula1>PRODUITS_TRIGRAMMES</formula1>
    </dataValidation>
    <dataValidation allowBlank="1" showInputMessage="1" showErrorMessage="1" errorTitle="Erreur" error="Ce type n'est pas dans la liste" promptTitle="Aide" prompt="Veuillez sélectionner le type de projet (produit) dans la liste" sqref="E11:F11 D14:F14"/>
    <dataValidation type="whole" allowBlank="1" showInputMessage="1" showErrorMessage="1" errorTitle="Erreur" error="Ce nombre doit être compris entre 1 et 9" promptTitle="Aide" prompt="Veuillez saisir le nombre de sous-versions prévues" sqref="D15:F15">
      <formula1>1</formula1>
      <formula2>9</formula2>
    </dataValidation>
    <dataValidation type="list" allowBlank="1" showInputMessage="1" showErrorMessage="1" errorTitle="Erreur" error="Cette qualité n'existe pas dans la liste" promptTitle="Aide" prompt="Veuillez sélectionner la qualité du CDC dans la liste" sqref="D12:F12">
      <formula1>CDC_QUALITE</formula1>
    </dataValidation>
    <dataValidation type="whole" allowBlank="1" showInputMessage="1" showErrorMessage="1" errorTitle="Erreur" error="Ce nombre doit être compris entre 10 et 1000" promptTitle="Aide" prompt="Veuillez saisir le nombre de pages du CDC" sqref="D13:F13">
      <formula1>10</formula1>
      <formula2>1000</formula2>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AJ70"/>
  <sheetViews>
    <sheetView tabSelected="1" showWhiteSpace="0" topLeftCell="B1" zoomScale="55" zoomScaleNormal="55" zoomScaleSheetLayoutView="70" zoomScalePageLayoutView="55" workbookViewId="0">
      <pane ySplit="5" topLeftCell="A6" activePane="bottomLeft" state="frozen"/>
      <selection pane="bottomLeft" activeCell="O47" sqref="O47"/>
    </sheetView>
  </sheetViews>
  <sheetFormatPr baseColWidth="10" defaultColWidth="9.140625" defaultRowHeight="15" x14ac:dyDescent="0.25"/>
  <cols>
    <col min="1" max="1" width="5.7109375" style="15" customWidth="1"/>
    <col min="2" max="2" width="51.85546875" style="15" bestFit="1" customWidth="1"/>
    <col min="3" max="3" width="47.85546875" style="15" customWidth="1"/>
    <col min="4" max="4" width="57.28515625" style="24" customWidth="1"/>
    <col min="5" max="5" width="60" style="15" customWidth="1"/>
    <col min="6" max="6" width="50.7109375" style="15" customWidth="1"/>
    <col min="7" max="7" width="5.7109375" style="15" customWidth="1"/>
    <col min="8" max="8" width="23.7109375" style="15" customWidth="1"/>
    <col min="9" max="12" width="8.7109375" style="15" customWidth="1"/>
    <col min="13" max="14" width="5.7109375" style="15" customWidth="1"/>
    <col min="15" max="15" width="40.7109375" style="15" customWidth="1"/>
    <col min="16" max="16" width="6.140625" style="15" bestFit="1" customWidth="1"/>
    <col min="17" max="17" width="5.85546875" style="15" bestFit="1" customWidth="1"/>
    <col min="18" max="18" width="8.140625" style="15" bestFit="1" customWidth="1"/>
    <col min="19" max="19" width="6.140625" style="15" bestFit="1" customWidth="1"/>
    <col min="20" max="20" width="7" style="15" bestFit="1" customWidth="1"/>
    <col min="21" max="21" width="8.140625" style="15" bestFit="1" customWidth="1"/>
    <col min="22" max="22" width="10" style="15" bestFit="1" customWidth="1"/>
    <col min="23" max="23" width="8.140625" style="15" bestFit="1" customWidth="1"/>
    <col min="24" max="25" width="10.5703125" style="15" bestFit="1" customWidth="1"/>
    <col min="26" max="16384" width="9.140625" style="15"/>
  </cols>
  <sheetData>
    <row r="1" spans="1:36" ht="30" customHeight="1" x14ac:dyDescent="0.25">
      <c r="F1" s="2" t="s">
        <v>0</v>
      </c>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row>
    <row r="2" spans="1:36" ht="30" customHeight="1" x14ac:dyDescent="0.25">
      <c r="D2" s="180"/>
      <c r="F2" s="2" t="s">
        <v>63</v>
      </c>
      <c r="G2" s="2"/>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row>
    <row r="3" spans="1:36" ht="23.25" customHeight="1" thickBot="1" x14ac:dyDescent="0.3">
      <c r="D3" s="180"/>
      <c r="E3" s="23"/>
      <c r="F3" s="23"/>
      <c r="G3" s="2"/>
      <c r="M3" s="23"/>
      <c r="N3" s="23"/>
      <c r="O3" s="23"/>
      <c r="P3" s="23"/>
      <c r="Q3" s="23"/>
      <c r="R3" s="23"/>
      <c r="S3" s="23"/>
      <c r="T3" s="23"/>
      <c r="U3" s="23"/>
      <c r="V3" s="23"/>
      <c r="W3" s="23"/>
      <c r="X3" s="23"/>
      <c r="Y3" s="23"/>
      <c r="Z3" s="23"/>
      <c r="AA3" s="23"/>
      <c r="AB3" s="23"/>
      <c r="AC3" s="23"/>
      <c r="AD3" s="23"/>
      <c r="AE3" s="23"/>
      <c r="AF3" s="23"/>
      <c r="AG3" s="23"/>
      <c r="AH3" s="23"/>
      <c r="AI3" s="23"/>
      <c r="AJ3" s="23"/>
    </row>
    <row r="4" spans="1:36" s="24" customFormat="1" ht="45" customHeight="1" x14ac:dyDescent="0.25">
      <c r="B4" s="25"/>
      <c r="C4" s="26"/>
      <c r="D4" s="26"/>
      <c r="E4" s="26"/>
      <c r="F4" s="26"/>
      <c r="H4" s="105" t="s">
        <v>158</v>
      </c>
      <c r="I4" s="245" t="s">
        <v>157</v>
      </c>
      <c r="J4" s="245"/>
      <c r="K4" s="245"/>
      <c r="L4" s="245"/>
      <c r="M4" s="250" t="s">
        <v>71</v>
      </c>
      <c r="N4" s="251"/>
      <c r="O4" s="251"/>
      <c r="P4" s="246" t="s">
        <v>73</v>
      </c>
      <c r="Q4" s="247"/>
      <c r="R4" s="247"/>
      <c r="S4" s="247"/>
      <c r="T4" s="247"/>
      <c r="U4" s="247"/>
      <c r="V4" s="247"/>
      <c r="W4" s="247"/>
      <c r="X4" s="248"/>
      <c r="Y4" s="249"/>
    </row>
    <row r="5" spans="1:36" s="24" customFormat="1" ht="211.5" customHeight="1" thickBot="1" x14ac:dyDescent="0.3">
      <c r="A5" s="27" t="s">
        <v>48</v>
      </c>
      <c r="B5" s="27" t="s">
        <v>41</v>
      </c>
      <c r="C5" s="27" t="s">
        <v>1</v>
      </c>
      <c r="D5" s="27" t="s">
        <v>42</v>
      </c>
      <c r="E5" s="27" t="s">
        <v>43</v>
      </c>
      <c r="F5" s="27" t="s">
        <v>2</v>
      </c>
      <c r="G5" s="112" t="s">
        <v>82</v>
      </c>
      <c r="H5" s="135" t="s">
        <v>171</v>
      </c>
      <c r="I5" s="107" t="s">
        <v>92</v>
      </c>
      <c r="J5" s="107" t="s">
        <v>45</v>
      </c>
      <c r="K5" s="107" t="s">
        <v>46</v>
      </c>
      <c r="L5" s="107" t="s">
        <v>50</v>
      </c>
      <c r="M5" s="108" t="s">
        <v>91</v>
      </c>
      <c r="N5" s="108" t="s">
        <v>93</v>
      </c>
      <c r="O5" s="109" t="s">
        <v>2</v>
      </c>
      <c r="P5" s="186" t="s">
        <v>76</v>
      </c>
      <c r="Q5" s="187" t="s">
        <v>76</v>
      </c>
      <c r="R5" s="188" t="s">
        <v>83</v>
      </c>
      <c r="S5" s="189" t="s">
        <v>84</v>
      </c>
      <c r="T5" s="190" t="s">
        <v>85</v>
      </c>
      <c r="U5" s="189" t="s">
        <v>86</v>
      </c>
      <c r="V5" s="190" t="s">
        <v>87</v>
      </c>
      <c r="W5" s="189" t="s">
        <v>100</v>
      </c>
      <c r="X5" s="188" t="s">
        <v>88</v>
      </c>
      <c r="Y5" s="191" t="s">
        <v>89</v>
      </c>
    </row>
    <row r="6" spans="1:36" s="28" customFormat="1" ht="63.75" thickBot="1" x14ac:dyDescent="0.3">
      <c r="A6" s="199"/>
      <c r="B6" s="202" t="s">
        <v>175</v>
      </c>
      <c r="C6" s="202" t="s">
        <v>176</v>
      </c>
      <c r="D6" s="195" t="s">
        <v>177</v>
      </c>
      <c r="E6" s="200"/>
      <c r="F6" s="194"/>
      <c r="G6" s="193" t="s">
        <v>96</v>
      </c>
      <c r="H6" s="196" t="s">
        <v>46</v>
      </c>
      <c r="I6" s="172">
        <v>0</v>
      </c>
      <c r="J6" s="172">
        <v>0</v>
      </c>
      <c r="K6" s="172">
        <v>0</v>
      </c>
      <c r="L6" s="172">
        <v>0</v>
      </c>
      <c r="M6" s="173">
        <v>0</v>
      </c>
      <c r="N6" s="173">
        <v>0</v>
      </c>
      <c r="O6" s="174"/>
      <c r="P6" s="175">
        <f>VLOOKUP(H6,Paramètres!$D$27:$E$29,2,FALSE)</f>
        <v>0.5</v>
      </c>
      <c r="Q6" s="176">
        <f>VLOOKUP(H6,Paramètres!$D$30:$E$32,2,FALSE)</f>
        <v>1</v>
      </c>
      <c r="R6" s="177">
        <f>IF(ISNA(P6),0,P6)</f>
        <v>0.5</v>
      </c>
      <c r="S6" s="178">
        <f>IF(ISNA(Q6),0,Q6)</f>
        <v>1</v>
      </c>
      <c r="T6" s="178">
        <f>J6*Paramètres!$E$33+K6*Paramètres!$E$34+L6*Paramètres!$E$35</f>
        <v>0</v>
      </c>
      <c r="U6" s="178">
        <f>IF(TYPE_APPLI=Paramètres!$O$3,I6*Paramètres!$E$36+TFC!J6*Paramètres!$E$37+K6*Paramètres!$E$38+L6*Paramètres!$E$39,TFC!I6*Paramètres!$E$40+J6*Paramètres!$E$41+K6*Paramètres!$E$42+L6*Paramètres!$E$43)</f>
        <v>0</v>
      </c>
      <c r="V6" s="192">
        <f>N6*Paramètres!$E$44</f>
        <v>0</v>
      </c>
      <c r="W6" s="178">
        <f>M6*Paramètres!$E$45/2+N6*Paramètres!$E$45</f>
        <v>0</v>
      </c>
      <c r="X6" s="177">
        <f>SUM(S6:W6)</f>
        <v>1</v>
      </c>
      <c r="Y6" s="179">
        <f>R6+X6</f>
        <v>1.5</v>
      </c>
    </row>
    <row r="7" spans="1:36" s="28" customFormat="1" ht="61.5" customHeight="1" thickBot="1" x14ac:dyDescent="0.3">
      <c r="A7" s="287"/>
      <c r="B7" s="239" t="s">
        <v>178</v>
      </c>
      <c r="C7" s="202" t="s">
        <v>179</v>
      </c>
      <c r="D7" s="195" t="s">
        <v>186</v>
      </c>
      <c r="E7" s="200"/>
      <c r="F7" s="198"/>
      <c r="G7" s="289" t="s">
        <v>96</v>
      </c>
      <c r="H7" s="290" t="s">
        <v>45</v>
      </c>
      <c r="I7" s="103"/>
      <c r="J7" s="103"/>
      <c r="K7" s="103"/>
      <c r="L7" s="103"/>
      <c r="M7" s="104"/>
      <c r="N7" s="104"/>
      <c r="O7" s="288"/>
      <c r="P7" s="175">
        <f>VLOOKUP(H7,Paramètres!$D$27:$E$29,2,FALSE)</f>
        <v>0.125</v>
      </c>
      <c r="Q7" s="176">
        <f>VLOOKUP(H7,Paramètres!$D$30:$E$32,2,FALSE)</f>
        <v>0.5</v>
      </c>
      <c r="R7" s="177">
        <f t="shared" ref="R7:R58" si="0">IF(ISNA(P7),0,P7)</f>
        <v>0.125</v>
      </c>
      <c r="S7" s="178">
        <f t="shared" ref="S7:S58" si="1">IF(ISNA(Q7),0,Q7)</f>
        <v>0.5</v>
      </c>
      <c r="T7" s="178">
        <f>J7*Paramètres!$E$33+K7*Paramètres!$E$34+L7*Paramètres!$E$35</f>
        <v>0</v>
      </c>
      <c r="U7" s="178">
        <f>IF(TYPE_APPLI=Paramètres!$O$3,I7*Paramètres!$E$36+TFC!J7*Paramètres!$E$37+K7*Paramètres!$E$38+L7*Paramètres!$E$39,TFC!I7*Paramètres!$E$40+J7*Paramètres!$E$41+K7*Paramètres!$E$42+L7*Paramètres!$E$43)</f>
        <v>0</v>
      </c>
      <c r="V7" s="192">
        <f>N7*Paramètres!$E$44</f>
        <v>0</v>
      </c>
      <c r="W7" s="178">
        <f>M7*Paramètres!$E$45/2+N7*Paramètres!$E$45</f>
        <v>0</v>
      </c>
      <c r="X7" s="177">
        <f t="shared" ref="X7:X58" si="2">SUM(S7:W7)</f>
        <v>0.5</v>
      </c>
      <c r="Y7" s="179">
        <f t="shared" ref="Y7:Y58" si="3">R7+X7</f>
        <v>0.625</v>
      </c>
    </row>
    <row r="8" spans="1:36" s="28" customFormat="1" ht="61.5" customHeight="1" thickBot="1" x14ac:dyDescent="0.3">
      <c r="A8" s="287"/>
      <c r="B8" s="240"/>
      <c r="C8" s="202" t="s">
        <v>180</v>
      </c>
      <c r="D8" s="195" t="s">
        <v>187</v>
      </c>
      <c r="E8" s="200"/>
      <c r="F8" s="198"/>
      <c r="G8" s="193" t="s">
        <v>96</v>
      </c>
      <c r="H8" s="290" t="s">
        <v>45</v>
      </c>
      <c r="I8" s="103"/>
      <c r="J8" s="103"/>
      <c r="K8" s="103"/>
      <c r="L8" s="103"/>
      <c r="M8" s="104"/>
      <c r="N8" s="104"/>
      <c r="O8" s="288"/>
      <c r="P8" s="175">
        <f>VLOOKUP(H8,Paramètres!$D$27:$E$29,2,FALSE)</f>
        <v>0.125</v>
      </c>
      <c r="Q8" s="176">
        <f>VLOOKUP(H8,Paramètres!$D$30:$E$32,2,FALSE)</f>
        <v>0.5</v>
      </c>
      <c r="R8" s="177">
        <f t="shared" si="0"/>
        <v>0.125</v>
      </c>
      <c r="S8" s="178">
        <f t="shared" si="1"/>
        <v>0.5</v>
      </c>
      <c r="T8" s="178">
        <f>J8*Paramètres!$E$33+K8*Paramètres!$E$34+L8*Paramètres!$E$35</f>
        <v>0</v>
      </c>
      <c r="U8" s="178">
        <f>IF(TYPE_APPLI=Paramètres!$O$3,I8*Paramètres!$E$36+TFC!J8*Paramètres!$E$37+K8*Paramètres!$E$38+L8*Paramètres!$E$39,TFC!I8*Paramètres!$E$40+J8*Paramètres!$E$41+K8*Paramètres!$E$42+L8*Paramètres!$E$43)</f>
        <v>0</v>
      </c>
      <c r="V8" s="192">
        <f>N8*Paramètres!$E$44</f>
        <v>0</v>
      </c>
      <c r="W8" s="178">
        <f>M8*Paramètres!$E$45/2+N8*Paramètres!$E$45</f>
        <v>0</v>
      </c>
      <c r="X8" s="177">
        <f t="shared" si="2"/>
        <v>0.5</v>
      </c>
      <c r="Y8" s="179">
        <f t="shared" si="3"/>
        <v>0.625</v>
      </c>
    </row>
    <row r="9" spans="1:36" s="28" customFormat="1" ht="61.5" customHeight="1" thickBot="1" x14ac:dyDescent="0.3">
      <c r="A9" s="287"/>
      <c r="B9" s="240"/>
      <c r="C9" s="202" t="s">
        <v>181</v>
      </c>
      <c r="D9" s="195" t="s">
        <v>188</v>
      </c>
      <c r="E9" s="200"/>
      <c r="F9" s="198"/>
      <c r="G9" s="289" t="s">
        <v>96</v>
      </c>
      <c r="H9" s="290" t="s">
        <v>45</v>
      </c>
      <c r="I9" s="103"/>
      <c r="J9" s="103"/>
      <c r="K9" s="103"/>
      <c r="L9" s="103"/>
      <c r="M9" s="104"/>
      <c r="N9" s="104"/>
      <c r="O9" s="288"/>
      <c r="P9" s="175">
        <f>VLOOKUP(H9,Paramètres!$D$27:$E$29,2,FALSE)</f>
        <v>0.125</v>
      </c>
      <c r="Q9" s="176">
        <f>VLOOKUP(H9,Paramètres!$D$30:$E$32,2,FALSE)</f>
        <v>0.5</v>
      </c>
      <c r="R9" s="177">
        <f t="shared" si="0"/>
        <v>0.125</v>
      </c>
      <c r="S9" s="178">
        <f t="shared" si="1"/>
        <v>0.5</v>
      </c>
      <c r="T9" s="178">
        <f>J9*Paramètres!$E$33+K9*Paramètres!$E$34+L9*Paramètres!$E$35</f>
        <v>0</v>
      </c>
      <c r="U9" s="178">
        <f>IF(TYPE_APPLI=Paramètres!$O$3,I9*Paramètres!$E$36+TFC!J9*Paramètres!$E$37+K9*Paramètres!$E$38+L9*Paramètres!$E$39,TFC!I9*Paramètres!$E$40+J9*Paramètres!$E$41+K9*Paramètres!$E$42+L9*Paramètres!$E$43)</f>
        <v>0</v>
      </c>
      <c r="V9" s="192">
        <f>N9*Paramètres!$E$44</f>
        <v>0</v>
      </c>
      <c r="W9" s="178">
        <f>M9*Paramètres!$E$45/2+N9*Paramètres!$E$45</f>
        <v>0</v>
      </c>
      <c r="X9" s="177">
        <f t="shared" si="2"/>
        <v>0.5</v>
      </c>
      <c r="Y9" s="179">
        <f t="shared" si="3"/>
        <v>0.625</v>
      </c>
    </row>
    <row r="10" spans="1:36" s="28" customFormat="1" ht="61.5" customHeight="1" thickBot="1" x14ac:dyDescent="0.3">
      <c r="A10" s="287"/>
      <c r="B10" s="240"/>
      <c r="C10" s="202" t="s">
        <v>182</v>
      </c>
      <c r="D10" s="195" t="s">
        <v>189</v>
      </c>
      <c r="E10" s="200"/>
      <c r="F10" s="198"/>
      <c r="G10" s="193" t="s">
        <v>96</v>
      </c>
      <c r="H10" s="290" t="s">
        <v>45</v>
      </c>
      <c r="I10" s="103"/>
      <c r="J10" s="103"/>
      <c r="K10" s="103"/>
      <c r="L10" s="103"/>
      <c r="M10" s="104"/>
      <c r="N10" s="104"/>
      <c r="O10" s="288"/>
      <c r="P10" s="175">
        <f>VLOOKUP(H10,Paramètres!$D$27:$E$29,2,FALSE)</f>
        <v>0.125</v>
      </c>
      <c r="Q10" s="176">
        <f>VLOOKUP(H10,Paramètres!$D$30:$E$32,2,FALSE)</f>
        <v>0.5</v>
      </c>
      <c r="R10" s="177">
        <f t="shared" si="0"/>
        <v>0.125</v>
      </c>
      <c r="S10" s="178">
        <f t="shared" si="1"/>
        <v>0.5</v>
      </c>
      <c r="T10" s="178">
        <f>J10*Paramètres!$E$33+K10*Paramètres!$E$34+L10*Paramètres!$E$35</f>
        <v>0</v>
      </c>
      <c r="U10" s="178">
        <f>IF(TYPE_APPLI=Paramètres!$O$3,I10*Paramètres!$E$36+TFC!J10*Paramètres!$E$37+K10*Paramètres!$E$38+L10*Paramètres!$E$39,TFC!I10*Paramètres!$E$40+J10*Paramètres!$E$41+K10*Paramètres!$E$42+L10*Paramètres!$E$43)</f>
        <v>0</v>
      </c>
      <c r="V10" s="192">
        <f>N10*Paramètres!$E$44</f>
        <v>0</v>
      </c>
      <c r="W10" s="178">
        <f>M10*Paramètres!$E$45/2+N10*Paramètres!$E$45</f>
        <v>0</v>
      </c>
      <c r="X10" s="177">
        <f t="shared" si="2"/>
        <v>0.5</v>
      </c>
      <c r="Y10" s="179">
        <f t="shared" si="3"/>
        <v>0.625</v>
      </c>
    </row>
    <row r="11" spans="1:36" s="28" customFormat="1" ht="61.5" customHeight="1" thickBot="1" x14ac:dyDescent="0.3">
      <c r="A11" s="287"/>
      <c r="B11" s="240"/>
      <c r="C11" s="202" t="s">
        <v>183</v>
      </c>
      <c r="D11" s="195" t="s">
        <v>190</v>
      </c>
      <c r="E11" s="200"/>
      <c r="F11" s="198"/>
      <c r="G11" s="289" t="s">
        <v>96</v>
      </c>
      <c r="H11" s="290" t="s">
        <v>45</v>
      </c>
      <c r="I11" s="103"/>
      <c r="J11" s="103"/>
      <c r="K11" s="103"/>
      <c r="L11" s="103"/>
      <c r="M11" s="104"/>
      <c r="N11" s="104"/>
      <c r="O11" s="288"/>
      <c r="P11" s="175">
        <f>VLOOKUP(H11,Paramètres!$D$27:$E$29,2,FALSE)</f>
        <v>0.125</v>
      </c>
      <c r="Q11" s="176">
        <f>VLOOKUP(H11,Paramètres!$D$30:$E$32,2,FALSE)</f>
        <v>0.5</v>
      </c>
      <c r="R11" s="177">
        <f t="shared" si="0"/>
        <v>0.125</v>
      </c>
      <c r="S11" s="178">
        <f t="shared" si="1"/>
        <v>0.5</v>
      </c>
      <c r="T11" s="178">
        <f>J11*Paramètres!$E$33+K11*Paramètres!$E$34+L11*Paramètres!$E$35</f>
        <v>0</v>
      </c>
      <c r="U11" s="178">
        <f>IF(TYPE_APPLI=Paramètres!$O$3,I11*Paramètres!$E$36+TFC!J11*Paramètres!$E$37+K11*Paramètres!$E$38+L11*Paramètres!$E$39,TFC!I11*Paramètres!$E$40+J11*Paramètres!$E$41+K11*Paramètres!$E$42+L11*Paramètres!$E$43)</f>
        <v>0</v>
      </c>
      <c r="V11" s="192">
        <f>N11*Paramètres!$E$44</f>
        <v>0</v>
      </c>
      <c r="W11" s="178">
        <f>M11*Paramètres!$E$45/2+N11*Paramètres!$E$45</f>
        <v>0</v>
      </c>
      <c r="X11" s="177">
        <f t="shared" si="2"/>
        <v>0.5</v>
      </c>
      <c r="Y11" s="179">
        <f t="shared" si="3"/>
        <v>0.625</v>
      </c>
    </row>
    <row r="12" spans="1:36" s="28" customFormat="1" ht="61.5" customHeight="1" thickBot="1" x14ac:dyDescent="0.3">
      <c r="A12" s="287"/>
      <c r="B12" s="240"/>
      <c r="C12" s="202" t="s">
        <v>184</v>
      </c>
      <c r="D12" s="195" t="s">
        <v>191</v>
      </c>
      <c r="E12" s="200"/>
      <c r="F12" s="198"/>
      <c r="G12" s="193" t="s">
        <v>96</v>
      </c>
      <c r="H12" s="290" t="s">
        <v>45</v>
      </c>
      <c r="I12" s="103"/>
      <c r="J12" s="103"/>
      <c r="K12" s="103"/>
      <c r="L12" s="103"/>
      <c r="M12" s="104"/>
      <c r="N12" s="104"/>
      <c r="O12" s="288"/>
      <c r="P12" s="175">
        <f>VLOOKUP(H12,Paramètres!$D$27:$E$29,2,FALSE)</f>
        <v>0.125</v>
      </c>
      <c r="Q12" s="176">
        <f>VLOOKUP(H12,Paramètres!$D$30:$E$32,2,FALSE)</f>
        <v>0.5</v>
      </c>
      <c r="R12" s="177">
        <f t="shared" si="0"/>
        <v>0.125</v>
      </c>
      <c r="S12" s="178">
        <f t="shared" si="1"/>
        <v>0.5</v>
      </c>
      <c r="T12" s="178">
        <f>J12*Paramètres!$E$33+K12*Paramètres!$E$34+L12*Paramètres!$E$35</f>
        <v>0</v>
      </c>
      <c r="U12" s="178">
        <f>IF(TYPE_APPLI=Paramètres!$O$3,I12*Paramètres!$E$36+TFC!J12*Paramètres!$E$37+K12*Paramètres!$E$38+L12*Paramètres!$E$39,TFC!I12*Paramètres!$E$40+J12*Paramètres!$E$41+K12*Paramètres!$E$42+L12*Paramètres!$E$43)</f>
        <v>0</v>
      </c>
      <c r="V12" s="192">
        <f>N12*Paramètres!$E$44</f>
        <v>0</v>
      </c>
      <c r="W12" s="178">
        <f>M12*Paramètres!$E$45/2+N12*Paramètres!$E$45</f>
        <v>0</v>
      </c>
      <c r="X12" s="177">
        <f t="shared" si="2"/>
        <v>0.5</v>
      </c>
      <c r="Y12" s="179">
        <f t="shared" si="3"/>
        <v>0.625</v>
      </c>
    </row>
    <row r="13" spans="1:36" s="28" customFormat="1" ht="61.5" customHeight="1" thickBot="1" x14ac:dyDescent="0.3">
      <c r="A13" s="287"/>
      <c r="B13" s="241"/>
      <c r="C13" s="202" t="s">
        <v>185</v>
      </c>
      <c r="D13" s="195" t="s">
        <v>192</v>
      </c>
      <c r="E13" s="200"/>
      <c r="F13" s="198"/>
      <c r="G13" s="289" t="s">
        <v>96</v>
      </c>
      <c r="H13" s="290" t="s">
        <v>45</v>
      </c>
      <c r="I13" s="103"/>
      <c r="J13" s="103"/>
      <c r="K13" s="103"/>
      <c r="L13" s="103"/>
      <c r="M13" s="104"/>
      <c r="N13" s="104"/>
      <c r="O13" s="288"/>
      <c r="P13" s="175">
        <f>VLOOKUP(H13,Paramètres!$D$27:$E$29,2,FALSE)</f>
        <v>0.125</v>
      </c>
      <c r="Q13" s="176">
        <f>VLOOKUP(H13,Paramètres!$D$30:$E$32,2,FALSE)</f>
        <v>0.5</v>
      </c>
      <c r="R13" s="177">
        <f t="shared" si="0"/>
        <v>0.125</v>
      </c>
      <c r="S13" s="178">
        <f t="shared" si="1"/>
        <v>0.5</v>
      </c>
      <c r="T13" s="178">
        <f>J13*Paramètres!$E$33+K13*Paramètres!$E$34+L13*Paramètres!$E$35</f>
        <v>0</v>
      </c>
      <c r="U13" s="178">
        <f>IF(TYPE_APPLI=Paramètres!$O$3,I13*Paramètres!$E$36+TFC!J13*Paramètres!$E$37+K13*Paramètres!$E$38+L13*Paramètres!$E$39,TFC!I13*Paramètres!$E$40+J13*Paramètres!$E$41+K13*Paramètres!$E$42+L13*Paramètres!$E$43)</f>
        <v>0</v>
      </c>
      <c r="V13" s="192">
        <f>N13*Paramètres!$E$44</f>
        <v>0</v>
      </c>
      <c r="W13" s="178">
        <f>M13*Paramètres!$E$45/2+N13*Paramètres!$E$45</f>
        <v>0</v>
      </c>
      <c r="X13" s="177">
        <f t="shared" si="2"/>
        <v>0.5</v>
      </c>
      <c r="Y13" s="179">
        <f t="shared" si="3"/>
        <v>0.625</v>
      </c>
    </row>
    <row r="14" spans="1:36" s="28" customFormat="1" ht="61.5" customHeight="1" thickBot="1" x14ac:dyDescent="0.3">
      <c r="A14" s="287"/>
      <c r="B14" s="239" t="s">
        <v>193</v>
      </c>
      <c r="C14" s="202" t="s">
        <v>194</v>
      </c>
      <c r="D14" s="195" t="s">
        <v>212</v>
      </c>
      <c r="E14" s="200"/>
      <c r="F14" s="198"/>
      <c r="G14" s="193" t="s">
        <v>96</v>
      </c>
      <c r="H14" s="290" t="s">
        <v>45</v>
      </c>
      <c r="I14" s="103"/>
      <c r="J14" s="103"/>
      <c r="K14" s="103"/>
      <c r="L14" s="103"/>
      <c r="M14" s="104"/>
      <c r="N14" s="104"/>
      <c r="O14" s="288"/>
      <c r="P14" s="175">
        <f>VLOOKUP(H14,Paramètres!$D$27:$E$29,2,FALSE)</f>
        <v>0.125</v>
      </c>
      <c r="Q14" s="176">
        <f>VLOOKUP(H14,Paramètres!$D$30:$E$32,2,FALSE)</f>
        <v>0.5</v>
      </c>
      <c r="R14" s="177">
        <f t="shared" si="0"/>
        <v>0.125</v>
      </c>
      <c r="S14" s="178">
        <f t="shared" si="1"/>
        <v>0.5</v>
      </c>
      <c r="T14" s="178">
        <f>J14*Paramètres!$E$33+K14*Paramètres!$E$34+L14*Paramètres!$E$35</f>
        <v>0</v>
      </c>
      <c r="U14" s="178">
        <f>IF(TYPE_APPLI=Paramètres!$O$3,I14*Paramètres!$E$36+TFC!J14*Paramètres!$E$37+K14*Paramètres!$E$38+L14*Paramètres!$E$39,TFC!I14*Paramètres!$E$40+J14*Paramètres!$E$41+K14*Paramètres!$E$42+L14*Paramètres!$E$43)</f>
        <v>0</v>
      </c>
      <c r="V14" s="192">
        <f>N14*Paramètres!$E$44</f>
        <v>0</v>
      </c>
      <c r="W14" s="178">
        <f>M14*Paramètres!$E$45/2+N14*Paramètres!$E$45</f>
        <v>0</v>
      </c>
      <c r="X14" s="177">
        <f t="shared" si="2"/>
        <v>0.5</v>
      </c>
      <c r="Y14" s="179">
        <f t="shared" si="3"/>
        <v>0.625</v>
      </c>
    </row>
    <row r="15" spans="1:36" s="28" customFormat="1" ht="61.5" customHeight="1" thickBot="1" x14ac:dyDescent="0.3">
      <c r="A15" s="287"/>
      <c r="B15" s="240"/>
      <c r="C15" s="202" t="s">
        <v>195</v>
      </c>
      <c r="D15" s="195" t="s">
        <v>213</v>
      </c>
      <c r="E15" s="200"/>
      <c r="F15" s="198"/>
      <c r="G15" s="289" t="s">
        <v>96</v>
      </c>
      <c r="H15" s="290" t="s">
        <v>45</v>
      </c>
      <c r="I15" s="103"/>
      <c r="J15" s="103"/>
      <c r="K15" s="103"/>
      <c r="L15" s="103"/>
      <c r="M15" s="104"/>
      <c r="N15" s="104"/>
      <c r="O15" s="288"/>
      <c r="P15" s="175">
        <f>VLOOKUP(H15,Paramètres!$D$27:$E$29,2,FALSE)</f>
        <v>0.125</v>
      </c>
      <c r="Q15" s="176">
        <f>VLOOKUP(H15,Paramètres!$D$30:$E$32,2,FALSE)</f>
        <v>0.5</v>
      </c>
      <c r="R15" s="177">
        <f t="shared" si="0"/>
        <v>0.125</v>
      </c>
      <c r="S15" s="178">
        <f t="shared" si="1"/>
        <v>0.5</v>
      </c>
      <c r="T15" s="178">
        <f>J15*Paramètres!$E$33+K15*Paramètres!$E$34+L15*Paramètres!$E$35</f>
        <v>0</v>
      </c>
      <c r="U15" s="178">
        <f>IF(TYPE_APPLI=Paramètres!$O$3,I15*Paramètres!$E$36+TFC!J15*Paramètres!$E$37+K15*Paramètres!$E$38+L15*Paramètres!$E$39,TFC!I15*Paramètres!$E$40+J15*Paramètres!$E$41+K15*Paramètres!$E$42+L15*Paramètres!$E$43)</f>
        <v>0</v>
      </c>
      <c r="V15" s="192">
        <f>N15*Paramètres!$E$44</f>
        <v>0</v>
      </c>
      <c r="W15" s="178">
        <f>M15*Paramètres!$E$45/2+N15*Paramètres!$E$45</f>
        <v>0</v>
      </c>
      <c r="X15" s="177">
        <f t="shared" si="2"/>
        <v>0.5</v>
      </c>
      <c r="Y15" s="179">
        <f t="shared" si="3"/>
        <v>0.625</v>
      </c>
    </row>
    <row r="16" spans="1:36" s="28" customFormat="1" ht="61.5" customHeight="1" thickBot="1" x14ac:dyDescent="0.3">
      <c r="A16" s="287"/>
      <c r="B16" s="240"/>
      <c r="C16" s="202" t="s">
        <v>196</v>
      </c>
      <c r="D16" s="195" t="s">
        <v>214</v>
      </c>
      <c r="E16" s="200"/>
      <c r="F16" s="198"/>
      <c r="G16" s="193" t="s">
        <v>96</v>
      </c>
      <c r="H16" s="290" t="s">
        <v>45</v>
      </c>
      <c r="I16" s="103"/>
      <c r="J16" s="103"/>
      <c r="K16" s="103"/>
      <c r="L16" s="103"/>
      <c r="M16" s="104"/>
      <c r="N16" s="104"/>
      <c r="O16" s="288"/>
      <c r="P16" s="175">
        <f>VLOOKUP(H16,Paramètres!$D$27:$E$29,2,FALSE)</f>
        <v>0.125</v>
      </c>
      <c r="Q16" s="176">
        <f>VLOOKUP(H16,Paramètres!$D$30:$E$32,2,FALSE)</f>
        <v>0.5</v>
      </c>
      <c r="R16" s="177">
        <f t="shared" si="0"/>
        <v>0.125</v>
      </c>
      <c r="S16" s="178">
        <f t="shared" si="1"/>
        <v>0.5</v>
      </c>
      <c r="T16" s="178">
        <f>J16*Paramètres!$E$33+K16*Paramètres!$E$34+L16*Paramètres!$E$35</f>
        <v>0</v>
      </c>
      <c r="U16" s="178">
        <f>IF(TYPE_APPLI=Paramètres!$O$3,I16*Paramètres!$E$36+TFC!J16*Paramètres!$E$37+K16*Paramètres!$E$38+L16*Paramètres!$E$39,TFC!I16*Paramètres!$E$40+J16*Paramètres!$E$41+K16*Paramètres!$E$42+L16*Paramètres!$E$43)</f>
        <v>0</v>
      </c>
      <c r="V16" s="192">
        <f>N16*Paramètres!$E$44</f>
        <v>0</v>
      </c>
      <c r="W16" s="178">
        <f>M16*Paramètres!$E$45/2+N16*Paramètres!$E$45</f>
        <v>0</v>
      </c>
      <c r="X16" s="177">
        <f t="shared" si="2"/>
        <v>0.5</v>
      </c>
      <c r="Y16" s="179">
        <f t="shared" si="3"/>
        <v>0.625</v>
      </c>
    </row>
    <row r="17" spans="1:25" s="28" customFormat="1" ht="61.5" customHeight="1" thickBot="1" x14ac:dyDescent="0.3">
      <c r="A17" s="287"/>
      <c r="B17" s="240"/>
      <c r="C17" s="202" t="s">
        <v>197</v>
      </c>
      <c r="D17" s="195" t="s">
        <v>215</v>
      </c>
      <c r="E17" s="200"/>
      <c r="F17" s="198"/>
      <c r="G17" s="289" t="s">
        <v>96</v>
      </c>
      <c r="H17" s="290" t="s">
        <v>45</v>
      </c>
      <c r="I17" s="103"/>
      <c r="J17" s="103"/>
      <c r="K17" s="103"/>
      <c r="L17" s="103"/>
      <c r="M17" s="104"/>
      <c r="N17" s="104"/>
      <c r="O17" s="288"/>
      <c r="P17" s="175">
        <f>VLOOKUP(H17,Paramètres!$D$27:$E$29,2,FALSE)</f>
        <v>0.125</v>
      </c>
      <c r="Q17" s="176">
        <f>VLOOKUP(H17,Paramètres!$D$30:$E$32,2,FALSE)</f>
        <v>0.5</v>
      </c>
      <c r="R17" s="177">
        <f t="shared" si="0"/>
        <v>0.125</v>
      </c>
      <c r="S17" s="178">
        <f t="shared" si="1"/>
        <v>0.5</v>
      </c>
      <c r="T17" s="178">
        <f>J17*Paramètres!$E$33+K17*Paramètres!$E$34+L17*Paramètres!$E$35</f>
        <v>0</v>
      </c>
      <c r="U17" s="178">
        <f>IF(TYPE_APPLI=Paramètres!$O$3,I17*Paramètres!$E$36+TFC!J17*Paramètres!$E$37+K17*Paramètres!$E$38+L17*Paramètres!$E$39,TFC!I17*Paramètres!$E$40+J17*Paramètres!$E$41+K17*Paramètres!$E$42+L17*Paramètres!$E$43)</f>
        <v>0</v>
      </c>
      <c r="V17" s="192">
        <f>N17*Paramètres!$E$44</f>
        <v>0</v>
      </c>
      <c r="W17" s="178">
        <f>M17*Paramètres!$E$45/2+N17*Paramètres!$E$45</f>
        <v>0</v>
      </c>
      <c r="X17" s="177">
        <f t="shared" si="2"/>
        <v>0.5</v>
      </c>
      <c r="Y17" s="179">
        <f t="shared" si="3"/>
        <v>0.625</v>
      </c>
    </row>
    <row r="18" spans="1:25" s="28" customFormat="1" ht="61.5" customHeight="1" thickBot="1" x14ac:dyDescent="0.3">
      <c r="A18" s="287"/>
      <c r="B18" s="240"/>
      <c r="C18" s="202" t="s">
        <v>198</v>
      </c>
      <c r="D18" s="195" t="s">
        <v>216</v>
      </c>
      <c r="E18" s="200"/>
      <c r="F18" s="198"/>
      <c r="G18" s="193" t="s">
        <v>96</v>
      </c>
      <c r="H18" s="290" t="s">
        <v>45</v>
      </c>
      <c r="I18" s="103"/>
      <c r="J18" s="103"/>
      <c r="K18" s="103"/>
      <c r="L18" s="103"/>
      <c r="M18" s="104"/>
      <c r="N18" s="104"/>
      <c r="O18" s="288"/>
      <c r="P18" s="175">
        <f>VLOOKUP(H18,Paramètres!$D$27:$E$29,2,FALSE)</f>
        <v>0.125</v>
      </c>
      <c r="Q18" s="176">
        <f>VLOOKUP(H18,Paramètres!$D$30:$E$32,2,FALSE)</f>
        <v>0.5</v>
      </c>
      <c r="R18" s="177">
        <f t="shared" si="0"/>
        <v>0.125</v>
      </c>
      <c r="S18" s="178">
        <f t="shared" si="1"/>
        <v>0.5</v>
      </c>
      <c r="T18" s="178">
        <f>J18*Paramètres!$E$33+K18*Paramètres!$E$34+L18*Paramètres!$E$35</f>
        <v>0</v>
      </c>
      <c r="U18" s="178">
        <f>IF(TYPE_APPLI=Paramètres!$O$3,I18*Paramètres!$E$36+TFC!J18*Paramètres!$E$37+K18*Paramètres!$E$38+L18*Paramètres!$E$39,TFC!I18*Paramètres!$E$40+J18*Paramètres!$E$41+K18*Paramètres!$E$42+L18*Paramètres!$E$43)</f>
        <v>0</v>
      </c>
      <c r="V18" s="192">
        <f>N18*Paramètres!$E$44</f>
        <v>0</v>
      </c>
      <c r="W18" s="178">
        <f>M18*Paramètres!$E$45/2+N18*Paramètres!$E$45</f>
        <v>0</v>
      </c>
      <c r="X18" s="177">
        <f t="shared" si="2"/>
        <v>0.5</v>
      </c>
      <c r="Y18" s="179">
        <f t="shared" si="3"/>
        <v>0.625</v>
      </c>
    </row>
    <row r="19" spans="1:25" s="28" customFormat="1" ht="61.5" customHeight="1" thickBot="1" x14ac:dyDescent="0.3">
      <c r="A19" s="287"/>
      <c r="B19" s="240"/>
      <c r="C19" s="202" t="s">
        <v>199</v>
      </c>
      <c r="D19" s="195" t="s">
        <v>217</v>
      </c>
      <c r="E19" s="200"/>
      <c r="F19" s="198"/>
      <c r="G19" s="289" t="s">
        <v>96</v>
      </c>
      <c r="H19" s="290" t="s">
        <v>45</v>
      </c>
      <c r="I19" s="103"/>
      <c r="J19" s="103"/>
      <c r="K19" s="103"/>
      <c r="L19" s="103"/>
      <c r="M19" s="104"/>
      <c r="N19" s="104"/>
      <c r="O19" s="288"/>
      <c r="P19" s="175">
        <f>VLOOKUP(H19,Paramètres!$D$27:$E$29,2,FALSE)</f>
        <v>0.125</v>
      </c>
      <c r="Q19" s="176">
        <f>VLOOKUP(H19,Paramètres!$D$30:$E$32,2,FALSE)</f>
        <v>0.5</v>
      </c>
      <c r="R19" s="177">
        <f t="shared" si="0"/>
        <v>0.125</v>
      </c>
      <c r="S19" s="178">
        <f t="shared" si="1"/>
        <v>0.5</v>
      </c>
      <c r="T19" s="178">
        <f>J19*Paramètres!$E$33+K19*Paramètres!$E$34+L19*Paramètres!$E$35</f>
        <v>0</v>
      </c>
      <c r="U19" s="178">
        <f>IF(TYPE_APPLI=Paramètres!$O$3,I19*Paramètres!$E$36+TFC!J19*Paramètres!$E$37+K19*Paramètres!$E$38+L19*Paramètres!$E$39,TFC!I19*Paramètres!$E$40+J19*Paramètres!$E$41+K19*Paramètres!$E$42+L19*Paramètres!$E$43)</f>
        <v>0</v>
      </c>
      <c r="V19" s="192">
        <f>N19*Paramètres!$E$44</f>
        <v>0</v>
      </c>
      <c r="W19" s="178">
        <f>M19*Paramètres!$E$45/2+N19*Paramètres!$E$45</f>
        <v>0</v>
      </c>
      <c r="X19" s="177">
        <f t="shared" si="2"/>
        <v>0.5</v>
      </c>
      <c r="Y19" s="179">
        <f t="shared" si="3"/>
        <v>0.625</v>
      </c>
    </row>
    <row r="20" spans="1:25" s="28" customFormat="1" ht="61.5" customHeight="1" thickBot="1" x14ac:dyDescent="0.3">
      <c r="A20" s="287"/>
      <c r="B20" s="240"/>
      <c r="C20" s="202" t="s">
        <v>200</v>
      </c>
      <c r="D20" s="195" t="s">
        <v>218</v>
      </c>
      <c r="E20" s="200"/>
      <c r="F20" s="198"/>
      <c r="G20" s="193" t="s">
        <v>96</v>
      </c>
      <c r="H20" s="290" t="s">
        <v>45</v>
      </c>
      <c r="I20" s="103"/>
      <c r="J20" s="103"/>
      <c r="K20" s="103"/>
      <c r="L20" s="103"/>
      <c r="M20" s="104"/>
      <c r="N20" s="104"/>
      <c r="O20" s="288"/>
      <c r="P20" s="175">
        <f>VLOOKUP(H20,Paramètres!$D$27:$E$29,2,FALSE)</f>
        <v>0.125</v>
      </c>
      <c r="Q20" s="176">
        <f>VLOOKUP(H20,Paramètres!$D$30:$E$32,2,FALSE)</f>
        <v>0.5</v>
      </c>
      <c r="R20" s="177">
        <f t="shared" si="0"/>
        <v>0.125</v>
      </c>
      <c r="S20" s="178">
        <f t="shared" si="1"/>
        <v>0.5</v>
      </c>
      <c r="T20" s="178">
        <f>J20*Paramètres!$E$33+K20*Paramètres!$E$34+L20*Paramètres!$E$35</f>
        <v>0</v>
      </c>
      <c r="U20" s="178">
        <f>IF(TYPE_APPLI=Paramètres!$O$3,I20*Paramètres!$E$36+TFC!J20*Paramètres!$E$37+K20*Paramètres!$E$38+L20*Paramètres!$E$39,TFC!I20*Paramètres!$E$40+J20*Paramètres!$E$41+K20*Paramètres!$E$42+L20*Paramètres!$E$43)</f>
        <v>0</v>
      </c>
      <c r="V20" s="192">
        <f>N20*Paramètres!$E$44</f>
        <v>0</v>
      </c>
      <c r="W20" s="178">
        <f>M20*Paramètres!$E$45/2+N20*Paramètres!$E$45</f>
        <v>0</v>
      </c>
      <c r="X20" s="177">
        <f t="shared" si="2"/>
        <v>0.5</v>
      </c>
      <c r="Y20" s="179">
        <f t="shared" si="3"/>
        <v>0.625</v>
      </c>
    </row>
    <row r="21" spans="1:25" s="28" customFormat="1" ht="61.5" customHeight="1" thickBot="1" x14ac:dyDescent="0.3">
      <c r="A21" s="287"/>
      <c r="B21" s="240"/>
      <c r="C21" s="202" t="s">
        <v>201</v>
      </c>
      <c r="D21" s="195" t="s">
        <v>219</v>
      </c>
      <c r="E21" s="200"/>
      <c r="F21" s="198"/>
      <c r="G21" s="289" t="s">
        <v>96</v>
      </c>
      <c r="H21" s="290" t="s">
        <v>45</v>
      </c>
      <c r="I21" s="103"/>
      <c r="J21" s="103"/>
      <c r="K21" s="103"/>
      <c r="L21" s="103"/>
      <c r="M21" s="104"/>
      <c r="N21" s="104"/>
      <c r="O21" s="288"/>
      <c r="P21" s="175">
        <f>VLOOKUP(H21,Paramètres!$D$27:$E$29,2,FALSE)</f>
        <v>0.125</v>
      </c>
      <c r="Q21" s="176">
        <f>VLOOKUP(H21,Paramètres!$D$30:$E$32,2,FALSE)</f>
        <v>0.5</v>
      </c>
      <c r="R21" s="177">
        <f t="shared" si="0"/>
        <v>0.125</v>
      </c>
      <c r="S21" s="178">
        <f t="shared" si="1"/>
        <v>0.5</v>
      </c>
      <c r="T21" s="178">
        <f>J21*Paramètres!$E$33+K21*Paramètres!$E$34+L21*Paramètres!$E$35</f>
        <v>0</v>
      </c>
      <c r="U21" s="178">
        <f>IF(TYPE_APPLI=Paramètres!$O$3,I21*Paramètres!$E$36+TFC!J21*Paramètres!$E$37+K21*Paramètres!$E$38+L21*Paramètres!$E$39,TFC!I21*Paramètres!$E$40+J21*Paramètres!$E$41+K21*Paramètres!$E$42+L21*Paramètres!$E$43)</f>
        <v>0</v>
      </c>
      <c r="V21" s="192">
        <f>N21*Paramètres!$E$44</f>
        <v>0</v>
      </c>
      <c r="W21" s="178">
        <f>M21*Paramètres!$E$45/2+N21*Paramètres!$E$45</f>
        <v>0</v>
      </c>
      <c r="X21" s="177">
        <f t="shared" si="2"/>
        <v>0.5</v>
      </c>
      <c r="Y21" s="179">
        <f t="shared" si="3"/>
        <v>0.625</v>
      </c>
    </row>
    <row r="22" spans="1:25" s="28" customFormat="1" ht="61.5" customHeight="1" thickBot="1" x14ac:dyDescent="0.3">
      <c r="A22" s="287"/>
      <c r="B22" s="240"/>
      <c r="C22" s="202" t="s">
        <v>202</v>
      </c>
      <c r="D22" s="195" t="s">
        <v>220</v>
      </c>
      <c r="E22" s="200"/>
      <c r="F22" s="198"/>
      <c r="G22" s="193" t="s">
        <v>96</v>
      </c>
      <c r="H22" s="290" t="s">
        <v>45</v>
      </c>
      <c r="I22" s="103"/>
      <c r="J22" s="103"/>
      <c r="K22" s="103"/>
      <c r="L22" s="103"/>
      <c r="M22" s="104"/>
      <c r="N22" s="104"/>
      <c r="O22" s="288"/>
      <c r="P22" s="175">
        <f>VLOOKUP(H22,Paramètres!$D$27:$E$29,2,FALSE)</f>
        <v>0.125</v>
      </c>
      <c r="Q22" s="176">
        <f>VLOOKUP(H22,Paramètres!$D$30:$E$32,2,FALSE)</f>
        <v>0.5</v>
      </c>
      <c r="R22" s="177">
        <f t="shared" si="0"/>
        <v>0.125</v>
      </c>
      <c r="S22" s="178">
        <f t="shared" si="1"/>
        <v>0.5</v>
      </c>
      <c r="T22" s="178">
        <f>J22*Paramètres!$E$33+K22*Paramètres!$E$34+L22*Paramètres!$E$35</f>
        <v>0</v>
      </c>
      <c r="U22" s="178">
        <f>IF(TYPE_APPLI=Paramètres!$O$3,I22*Paramètres!$E$36+TFC!J22*Paramètres!$E$37+K22*Paramètres!$E$38+L22*Paramètres!$E$39,TFC!I22*Paramètres!$E$40+J22*Paramètres!$E$41+K22*Paramètres!$E$42+L22*Paramètres!$E$43)</f>
        <v>0</v>
      </c>
      <c r="V22" s="192">
        <f>N22*Paramètres!$E$44</f>
        <v>0</v>
      </c>
      <c r="W22" s="178">
        <f>M22*Paramètres!$E$45/2+N22*Paramètres!$E$45</f>
        <v>0</v>
      </c>
      <c r="X22" s="177">
        <f t="shared" si="2"/>
        <v>0.5</v>
      </c>
      <c r="Y22" s="179">
        <f t="shared" si="3"/>
        <v>0.625</v>
      </c>
    </row>
    <row r="23" spans="1:25" s="28" customFormat="1" ht="61.5" customHeight="1" thickBot="1" x14ac:dyDescent="0.3">
      <c r="A23" s="287"/>
      <c r="B23" s="240"/>
      <c r="C23" s="202" t="s">
        <v>203</v>
      </c>
      <c r="D23" s="195" t="s">
        <v>221</v>
      </c>
      <c r="E23" s="200"/>
      <c r="F23" s="198"/>
      <c r="G23" s="289" t="s">
        <v>96</v>
      </c>
      <c r="H23" s="290" t="s">
        <v>45</v>
      </c>
      <c r="I23" s="103"/>
      <c r="J23" s="103"/>
      <c r="K23" s="103"/>
      <c r="L23" s="103"/>
      <c r="M23" s="104"/>
      <c r="N23" s="104"/>
      <c r="O23" s="288"/>
      <c r="P23" s="175">
        <f>VLOOKUP(H23,Paramètres!$D$27:$E$29,2,FALSE)</f>
        <v>0.125</v>
      </c>
      <c r="Q23" s="176">
        <f>VLOOKUP(H23,Paramètres!$D$30:$E$32,2,FALSE)</f>
        <v>0.5</v>
      </c>
      <c r="R23" s="177">
        <f t="shared" si="0"/>
        <v>0.125</v>
      </c>
      <c r="S23" s="178">
        <f t="shared" si="1"/>
        <v>0.5</v>
      </c>
      <c r="T23" s="178">
        <f>J23*Paramètres!$E$33+K23*Paramètres!$E$34+L23*Paramètres!$E$35</f>
        <v>0</v>
      </c>
      <c r="U23" s="178">
        <f>IF(TYPE_APPLI=Paramètres!$O$3,I23*Paramètres!$E$36+TFC!J23*Paramètres!$E$37+K23*Paramètres!$E$38+L23*Paramètres!$E$39,TFC!I23*Paramètres!$E$40+J23*Paramètres!$E$41+K23*Paramètres!$E$42+L23*Paramètres!$E$43)</f>
        <v>0</v>
      </c>
      <c r="V23" s="192">
        <f>N23*Paramètres!$E$44</f>
        <v>0</v>
      </c>
      <c r="W23" s="178">
        <f>M23*Paramètres!$E$45/2+N23*Paramètres!$E$45</f>
        <v>0</v>
      </c>
      <c r="X23" s="177">
        <f t="shared" si="2"/>
        <v>0.5</v>
      </c>
      <c r="Y23" s="179">
        <f t="shared" si="3"/>
        <v>0.625</v>
      </c>
    </row>
    <row r="24" spans="1:25" s="28" customFormat="1" ht="61.5" customHeight="1" thickBot="1" x14ac:dyDescent="0.3">
      <c r="A24" s="287"/>
      <c r="B24" s="240"/>
      <c r="C24" s="202" t="s">
        <v>204</v>
      </c>
      <c r="D24" s="195" t="s">
        <v>222</v>
      </c>
      <c r="E24" s="200"/>
      <c r="F24" s="198"/>
      <c r="G24" s="193" t="s">
        <v>96</v>
      </c>
      <c r="H24" s="290" t="s">
        <v>45</v>
      </c>
      <c r="I24" s="103"/>
      <c r="J24" s="103"/>
      <c r="K24" s="103"/>
      <c r="L24" s="103"/>
      <c r="M24" s="104"/>
      <c r="N24" s="104"/>
      <c r="O24" s="288"/>
      <c r="P24" s="175">
        <f>VLOOKUP(H24,Paramètres!$D$27:$E$29,2,FALSE)</f>
        <v>0.125</v>
      </c>
      <c r="Q24" s="176">
        <f>VLOOKUP(H24,Paramètres!$D$30:$E$32,2,FALSE)</f>
        <v>0.5</v>
      </c>
      <c r="R24" s="177">
        <f t="shared" si="0"/>
        <v>0.125</v>
      </c>
      <c r="S24" s="178">
        <f t="shared" si="1"/>
        <v>0.5</v>
      </c>
      <c r="T24" s="178">
        <f>J24*Paramètres!$E$33+K24*Paramètres!$E$34+L24*Paramètres!$E$35</f>
        <v>0</v>
      </c>
      <c r="U24" s="178">
        <f>IF(TYPE_APPLI=Paramètres!$O$3,I24*Paramètres!$E$36+TFC!J24*Paramètres!$E$37+K24*Paramètres!$E$38+L24*Paramètres!$E$39,TFC!I24*Paramètres!$E$40+J24*Paramètres!$E$41+K24*Paramètres!$E$42+L24*Paramètres!$E$43)</f>
        <v>0</v>
      </c>
      <c r="V24" s="192">
        <f>N24*Paramètres!$E$44</f>
        <v>0</v>
      </c>
      <c r="W24" s="178">
        <f>M24*Paramètres!$E$45/2+N24*Paramètres!$E$45</f>
        <v>0</v>
      </c>
      <c r="X24" s="177">
        <f t="shared" si="2"/>
        <v>0.5</v>
      </c>
      <c r="Y24" s="179">
        <f t="shared" si="3"/>
        <v>0.625</v>
      </c>
    </row>
    <row r="25" spans="1:25" s="28" customFormat="1" ht="61.5" customHeight="1" thickBot="1" x14ac:dyDescent="0.3">
      <c r="A25" s="287"/>
      <c r="B25" s="240"/>
      <c r="C25" s="202" t="s">
        <v>205</v>
      </c>
      <c r="D25" s="195" t="s">
        <v>223</v>
      </c>
      <c r="E25" s="200"/>
      <c r="F25" s="198"/>
      <c r="G25" s="289" t="s">
        <v>96</v>
      </c>
      <c r="H25" s="290" t="s">
        <v>45</v>
      </c>
      <c r="I25" s="103"/>
      <c r="J25" s="103"/>
      <c r="K25" s="103"/>
      <c r="L25" s="103"/>
      <c r="M25" s="104"/>
      <c r="N25" s="104"/>
      <c r="O25" s="288"/>
      <c r="P25" s="175">
        <f>VLOOKUP(H25,Paramètres!$D$27:$E$29,2,FALSE)</f>
        <v>0.125</v>
      </c>
      <c r="Q25" s="176">
        <f>VLOOKUP(H25,Paramètres!$D$30:$E$32,2,FALSE)</f>
        <v>0.5</v>
      </c>
      <c r="R25" s="177">
        <f t="shared" si="0"/>
        <v>0.125</v>
      </c>
      <c r="S25" s="178">
        <f t="shared" si="1"/>
        <v>0.5</v>
      </c>
      <c r="T25" s="178">
        <f>J25*Paramètres!$E$33+K25*Paramètres!$E$34+L25*Paramètres!$E$35</f>
        <v>0</v>
      </c>
      <c r="U25" s="178">
        <f>IF(TYPE_APPLI=Paramètres!$O$3,I25*Paramètres!$E$36+TFC!J25*Paramètres!$E$37+K25*Paramètres!$E$38+L25*Paramètres!$E$39,TFC!I25*Paramètres!$E$40+J25*Paramètres!$E$41+K25*Paramètres!$E$42+L25*Paramètres!$E$43)</f>
        <v>0</v>
      </c>
      <c r="V25" s="192">
        <f>N25*Paramètres!$E$44</f>
        <v>0</v>
      </c>
      <c r="W25" s="178">
        <f>M25*Paramètres!$E$45/2+N25*Paramètres!$E$45</f>
        <v>0</v>
      </c>
      <c r="X25" s="177">
        <f t="shared" si="2"/>
        <v>0.5</v>
      </c>
      <c r="Y25" s="179">
        <f t="shared" si="3"/>
        <v>0.625</v>
      </c>
    </row>
    <row r="26" spans="1:25" s="28" customFormat="1" ht="61.5" customHeight="1" thickBot="1" x14ac:dyDescent="0.3">
      <c r="A26" s="287"/>
      <c r="B26" s="240"/>
      <c r="C26" s="202" t="s">
        <v>206</v>
      </c>
      <c r="D26" s="195" t="s">
        <v>224</v>
      </c>
      <c r="E26" s="200"/>
      <c r="F26" s="198"/>
      <c r="G26" s="193" t="s">
        <v>96</v>
      </c>
      <c r="H26" s="290" t="s">
        <v>45</v>
      </c>
      <c r="I26" s="103"/>
      <c r="J26" s="103"/>
      <c r="K26" s="103"/>
      <c r="L26" s="103"/>
      <c r="M26" s="104"/>
      <c r="N26" s="104"/>
      <c r="O26" s="288"/>
      <c r="P26" s="175">
        <f>VLOOKUP(H26,Paramètres!$D$27:$E$29,2,FALSE)</f>
        <v>0.125</v>
      </c>
      <c r="Q26" s="176">
        <f>VLOOKUP(H26,Paramètres!$D$30:$E$32,2,FALSE)</f>
        <v>0.5</v>
      </c>
      <c r="R26" s="177">
        <f t="shared" si="0"/>
        <v>0.125</v>
      </c>
      <c r="S26" s="178">
        <f t="shared" si="1"/>
        <v>0.5</v>
      </c>
      <c r="T26" s="178">
        <f>J26*Paramètres!$E$33+K26*Paramètres!$E$34+L26*Paramètres!$E$35</f>
        <v>0</v>
      </c>
      <c r="U26" s="178">
        <f>IF(TYPE_APPLI=Paramètres!$O$3,I26*Paramètres!$E$36+TFC!J26*Paramètres!$E$37+K26*Paramètres!$E$38+L26*Paramètres!$E$39,TFC!I26*Paramètres!$E$40+J26*Paramètres!$E$41+K26*Paramètres!$E$42+L26*Paramètres!$E$43)</f>
        <v>0</v>
      </c>
      <c r="V26" s="192">
        <f>N26*Paramètres!$E$44</f>
        <v>0</v>
      </c>
      <c r="W26" s="178">
        <f>M26*Paramètres!$E$45/2+N26*Paramètres!$E$45</f>
        <v>0</v>
      </c>
      <c r="X26" s="177">
        <f t="shared" si="2"/>
        <v>0.5</v>
      </c>
      <c r="Y26" s="179">
        <f t="shared" si="3"/>
        <v>0.625</v>
      </c>
    </row>
    <row r="27" spans="1:25" s="28" customFormat="1" ht="61.5" customHeight="1" thickBot="1" x14ac:dyDescent="0.3">
      <c r="A27" s="287"/>
      <c r="B27" s="240"/>
      <c r="C27" s="202" t="s">
        <v>207</v>
      </c>
      <c r="D27" s="195" t="s">
        <v>225</v>
      </c>
      <c r="E27" s="200"/>
      <c r="F27" s="198"/>
      <c r="G27" s="289" t="s">
        <v>96</v>
      </c>
      <c r="H27" s="290" t="s">
        <v>45</v>
      </c>
      <c r="I27" s="103"/>
      <c r="J27" s="103"/>
      <c r="K27" s="103"/>
      <c r="L27" s="103"/>
      <c r="M27" s="104"/>
      <c r="N27" s="104"/>
      <c r="O27" s="288"/>
      <c r="P27" s="175">
        <f>VLOOKUP(H27,Paramètres!$D$27:$E$29,2,FALSE)</f>
        <v>0.125</v>
      </c>
      <c r="Q27" s="176">
        <f>VLOOKUP(H27,Paramètres!$D$30:$E$32,2,FALSE)</f>
        <v>0.5</v>
      </c>
      <c r="R27" s="177">
        <f t="shared" si="0"/>
        <v>0.125</v>
      </c>
      <c r="S27" s="178">
        <f t="shared" si="1"/>
        <v>0.5</v>
      </c>
      <c r="T27" s="178">
        <f>J27*Paramètres!$E$33+K27*Paramètres!$E$34+L27*Paramètres!$E$35</f>
        <v>0</v>
      </c>
      <c r="U27" s="178">
        <f>IF(TYPE_APPLI=Paramètres!$O$3,I27*Paramètres!$E$36+TFC!J27*Paramètres!$E$37+K27*Paramètres!$E$38+L27*Paramètres!$E$39,TFC!I27*Paramètres!$E$40+J27*Paramètres!$E$41+K27*Paramètres!$E$42+L27*Paramètres!$E$43)</f>
        <v>0</v>
      </c>
      <c r="V27" s="192">
        <f>N27*Paramètres!$E$44</f>
        <v>0</v>
      </c>
      <c r="W27" s="178">
        <f>M27*Paramètres!$E$45/2+N27*Paramètres!$E$45</f>
        <v>0</v>
      </c>
      <c r="X27" s="177">
        <f t="shared" si="2"/>
        <v>0.5</v>
      </c>
      <c r="Y27" s="179">
        <f t="shared" si="3"/>
        <v>0.625</v>
      </c>
    </row>
    <row r="28" spans="1:25" s="28" customFormat="1" ht="61.5" customHeight="1" thickBot="1" x14ac:dyDescent="0.3">
      <c r="A28" s="287"/>
      <c r="B28" s="240"/>
      <c r="C28" s="202" t="s">
        <v>208</v>
      </c>
      <c r="D28" s="195" t="s">
        <v>226</v>
      </c>
      <c r="E28" s="200"/>
      <c r="F28" s="198"/>
      <c r="G28" s="193" t="s">
        <v>96</v>
      </c>
      <c r="H28" s="290" t="s">
        <v>45</v>
      </c>
      <c r="I28" s="103"/>
      <c r="J28" s="103"/>
      <c r="K28" s="103"/>
      <c r="L28" s="103"/>
      <c r="M28" s="104"/>
      <c r="N28" s="104"/>
      <c r="O28" s="288"/>
      <c r="P28" s="175">
        <f>VLOOKUP(H28,Paramètres!$D$27:$E$29,2,FALSE)</f>
        <v>0.125</v>
      </c>
      <c r="Q28" s="176">
        <f>VLOOKUP(H28,Paramètres!$D$30:$E$32,2,FALSE)</f>
        <v>0.5</v>
      </c>
      <c r="R28" s="177">
        <f t="shared" si="0"/>
        <v>0.125</v>
      </c>
      <c r="S28" s="178">
        <f t="shared" si="1"/>
        <v>0.5</v>
      </c>
      <c r="T28" s="178">
        <f>J28*Paramètres!$E$33+K28*Paramètres!$E$34+L28*Paramètres!$E$35</f>
        <v>0</v>
      </c>
      <c r="U28" s="178">
        <f>IF(TYPE_APPLI=Paramètres!$O$3,I28*Paramètres!$E$36+TFC!J28*Paramètres!$E$37+K28*Paramètres!$E$38+L28*Paramètres!$E$39,TFC!I28*Paramètres!$E$40+J28*Paramètres!$E$41+K28*Paramètres!$E$42+L28*Paramètres!$E$43)</f>
        <v>0</v>
      </c>
      <c r="V28" s="192">
        <f>N28*Paramètres!$E$44</f>
        <v>0</v>
      </c>
      <c r="W28" s="178">
        <f>M28*Paramètres!$E$45/2+N28*Paramètres!$E$45</f>
        <v>0</v>
      </c>
      <c r="X28" s="177">
        <f t="shared" si="2"/>
        <v>0.5</v>
      </c>
      <c r="Y28" s="179">
        <f t="shared" si="3"/>
        <v>0.625</v>
      </c>
    </row>
    <row r="29" spans="1:25" s="28" customFormat="1" ht="61.5" customHeight="1" thickBot="1" x14ac:dyDescent="0.3">
      <c r="A29" s="287"/>
      <c r="B29" s="240"/>
      <c r="C29" s="202" t="s">
        <v>209</v>
      </c>
      <c r="D29" s="195" t="s">
        <v>227</v>
      </c>
      <c r="E29" s="200"/>
      <c r="F29" s="198"/>
      <c r="G29" s="289" t="s">
        <v>96</v>
      </c>
      <c r="H29" s="290" t="s">
        <v>45</v>
      </c>
      <c r="I29" s="103"/>
      <c r="J29" s="103"/>
      <c r="K29" s="103"/>
      <c r="L29" s="103"/>
      <c r="M29" s="104"/>
      <c r="N29" s="104"/>
      <c r="O29" s="288"/>
      <c r="P29" s="175">
        <f>VLOOKUP(H29,Paramètres!$D$27:$E$29,2,FALSE)</f>
        <v>0.125</v>
      </c>
      <c r="Q29" s="176">
        <f>VLOOKUP(H29,Paramètres!$D$30:$E$32,2,FALSE)</f>
        <v>0.5</v>
      </c>
      <c r="R29" s="177">
        <f t="shared" si="0"/>
        <v>0.125</v>
      </c>
      <c r="S29" s="178">
        <f t="shared" si="1"/>
        <v>0.5</v>
      </c>
      <c r="T29" s="178">
        <f>J29*Paramètres!$E$33+K29*Paramètres!$E$34+L29*Paramètres!$E$35</f>
        <v>0</v>
      </c>
      <c r="U29" s="178">
        <f>IF(TYPE_APPLI=Paramètres!$O$3,I29*Paramètres!$E$36+TFC!J29*Paramètres!$E$37+K29*Paramètres!$E$38+L29*Paramètres!$E$39,TFC!I29*Paramètres!$E$40+J29*Paramètres!$E$41+K29*Paramètres!$E$42+L29*Paramètres!$E$43)</f>
        <v>0</v>
      </c>
      <c r="V29" s="192">
        <f>N29*Paramètres!$E$44</f>
        <v>0</v>
      </c>
      <c r="W29" s="178">
        <f>M29*Paramètres!$E$45/2+N29*Paramètres!$E$45</f>
        <v>0</v>
      </c>
      <c r="X29" s="177">
        <f t="shared" si="2"/>
        <v>0.5</v>
      </c>
      <c r="Y29" s="179">
        <f t="shared" si="3"/>
        <v>0.625</v>
      </c>
    </row>
    <row r="30" spans="1:25" s="28" customFormat="1" ht="61.5" customHeight="1" thickBot="1" x14ac:dyDescent="0.3">
      <c r="A30" s="287"/>
      <c r="B30" s="240"/>
      <c r="C30" s="202" t="s">
        <v>210</v>
      </c>
      <c r="D30" s="195" t="s">
        <v>228</v>
      </c>
      <c r="E30" s="200"/>
      <c r="F30" s="198"/>
      <c r="G30" s="193" t="s">
        <v>96</v>
      </c>
      <c r="H30" s="290" t="s">
        <v>45</v>
      </c>
      <c r="I30" s="103"/>
      <c r="J30" s="103"/>
      <c r="K30" s="103"/>
      <c r="L30" s="103"/>
      <c r="M30" s="104"/>
      <c r="N30" s="104"/>
      <c r="O30" s="288"/>
      <c r="P30" s="175">
        <f>VLOOKUP(H30,Paramètres!$D$27:$E$29,2,FALSE)</f>
        <v>0.125</v>
      </c>
      <c r="Q30" s="176">
        <f>VLOOKUP(H30,Paramètres!$D$30:$E$32,2,FALSE)</f>
        <v>0.5</v>
      </c>
      <c r="R30" s="177">
        <f t="shared" si="0"/>
        <v>0.125</v>
      </c>
      <c r="S30" s="178">
        <f t="shared" si="1"/>
        <v>0.5</v>
      </c>
      <c r="T30" s="178">
        <f>J30*Paramètres!$E$33+K30*Paramètres!$E$34+L30*Paramètres!$E$35</f>
        <v>0</v>
      </c>
      <c r="U30" s="178">
        <f>IF(TYPE_APPLI=Paramètres!$O$3,I30*Paramètres!$E$36+TFC!J30*Paramètres!$E$37+K30*Paramètres!$E$38+L30*Paramètres!$E$39,TFC!I30*Paramètres!$E$40+J30*Paramètres!$E$41+K30*Paramètres!$E$42+L30*Paramètres!$E$43)</f>
        <v>0</v>
      </c>
      <c r="V30" s="192">
        <f>N30*Paramètres!$E$44</f>
        <v>0</v>
      </c>
      <c r="W30" s="178">
        <f>M30*Paramètres!$E$45/2+N30*Paramètres!$E$45</f>
        <v>0</v>
      </c>
      <c r="X30" s="177">
        <f t="shared" si="2"/>
        <v>0.5</v>
      </c>
      <c r="Y30" s="179">
        <f t="shared" si="3"/>
        <v>0.625</v>
      </c>
    </row>
    <row r="31" spans="1:25" s="28" customFormat="1" ht="61.5" customHeight="1" thickBot="1" x14ac:dyDescent="0.3">
      <c r="A31" s="287"/>
      <c r="B31" s="241"/>
      <c r="C31" s="202" t="s">
        <v>211</v>
      </c>
      <c r="D31" s="195" t="s">
        <v>229</v>
      </c>
      <c r="E31" s="200"/>
      <c r="F31" s="198"/>
      <c r="G31" s="289" t="s">
        <v>96</v>
      </c>
      <c r="H31" s="290" t="s">
        <v>45</v>
      </c>
      <c r="I31" s="103"/>
      <c r="J31" s="103"/>
      <c r="K31" s="103"/>
      <c r="L31" s="103"/>
      <c r="M31" s="104"/>
      <c r="N31" s="104"/>
      <c r="O31" s="288"/>
      <c r="P31" s="175">
        <f>VLOOKUP(H31,Paramètres!$D$27:$E$29,2,FALSE)</f>
        <v>0.125</v>
      </c>
      <c r="Q31" s="176">
        <f>VLOOKUP(H31,Paramètres!$D$30:$E$32,2,FALSE)</f>
        <v>0.5</v>
      </c>
      <c r="R31" s="177">
        <f t="shared" si="0"/>
        <v>0.125</v>
      </c>
      <c r="S31" s="178">
        <f t="shared" si="1"/>
        <v>0.5</v>
      </c>
      <c r="T31" s="178">
        <f>J31*Paramètres!$E$33+K31*Paramètres!$E$34+L31*Paramètres!$E$35</f>
        <v>0</v>
      </c>
      <c r="U31" s="178">
        <f>IF(TYPE_APPLI=Paramètres!$O$3,I31*Paramètres!$E$36+TFC!J31*Paramètres!$E$37+K31*Paramètres!$E$38+L31*Paramètres!$E$39,TFC!I31*Paramètres!$E$40+J31*Paramètres!$E$41+K31*Paramètres!$E$42+L31*Paramètres!$E$43)</f>
        <v>0</v>
      </c>
      <c r="V31" s="192">
        <f>N31*Paramètres!$E$44</f>
        <v>0</v>
      </c>
      <c r="W31" s="178">
        <f>M31*Paramètres!$E$45/2+N31*Paramètres!$E$45</f>
        <v>0</v>
      </c>
      <c r="X31" s="177">
        <f t="shared" si="2"/>
        <v>0.5</v>
      </c>
      <c r="Y31" s="179">
        <f t="shared" si="3"/>
        <v>0.625</v>
      </c>
    </row>
    <row r="32" spans="1:25" s="28" customFormat="1" ht="61.5" customHeight="1" thickBot="1" x14ac:dyDescent="0.3">
      <c r="A32" s="287"/>
      <c r="B32" s="239" t="s">
        <v>230</v>
      </c>
      <c r="C32" s="202" t="s">
        <v>231</v>
      </c>
      <c r="D32" s="291" t="s">
        <v>238</v>
      </c>
      <c r="E32" s="200"/>
      <c r="F32" s="198"/>
      <c r="G32" s="193" t="s">
        <v>96</v>
      </c>
      <c r="H32" s="290" t="s">
        <v>45</v>
      </c>
      <c r="I32" s="103"/>
      <c r="J32" s="103"/>
      <c r="K32" s="103"/>
      <c r="L32" s="103"/>
      <c r="M32" s="104"/>
      <c r="N32" s="104"/>
      <c r="O32" s="288"/>
      <c r="P32" s="175">
        <f>VLOOKUP(H32,Paramètres!$D$27:$E$29,2,FALSE)</f>
        <v>0.125</v>
      </c>
      <c r="Q32" s="176">
        <f>VLOOKUP(H32,Paramètres!$D$30:$E$32,2,FALSE)</f>
        <v>0.5</v>
      </c>
      <c r="R32" s="177">
        <f t="shared" si="0"/>
        <v>0.125</v>
      </c>
      <c r="S32" s="178">
        <f t="shared" si="1"/>
        <v>0.5</v>
      </c>
      <c r="T32" s="178">
        <f>J32*Paramètres!$E$33+K32*Paramètres!$E$34+L32*Paramètres!$E$35</f>
        <v>0</v>
      </c>
      <c r="U32" s="178">
        <f>IF(TYPE_APPLI=Paramètres!$O$3,I32*Paramètres!$E$36+TFC!J32*Paramètres!$E$37+K32*Paramètres!$E$38+L32*Paramètres!$E$39,TFC!I32*Paramètres!$E$40+J32*Paramètres!$E$41+K32*Paramètres!$E$42+L32*Paramètres!$E$43)</f>
        <v>0</v>
      </c>
      <c r="V32" s="192">
        <f>N32*Paramètres!$E$44</f>
        <v>0</v>
      </c>
      <c r="W32" s="178">
        <f>M32*Paramètres!$E$45/2+N32*Paramètres!$E$45</f>
        <v>0</v>
      </c>
      <c r="X32" s="177">
        <f t="shared" si="2"/>
        <v>0.5</v>
      </c>
      <c r="Y32" s="179">
        <f t="shared" si="3"/>
        <v>0.625</v>
      </c>
    </row>
    <row r="33" spans="1:25" s="28" customFormat="1" ht="61.5" customHeight="1" thickBot="1" x14ac:dyDescent="0.3">
      <c r="A33" s="287"/>
      <c r="B33" s="240"/>
      <c r="C33" s="202" t="s">
        <v>232</v>
      </c>
      <c r="D33" s="195" t="s">
        <v>239</v>
      </c>
      <c r="E33" s="200"/>
      <c r="F33" s="198"/>
      <c r="G33" s="289" t="s">
        <v>96</v>
      </c>
      <c r="H33" s="290" t="s">
        <v>45</v>
      </c>
      <c r="I33" s="103"/>
      <c r="J33" s="103"/>
      <c r="K33" s="103"/>
      <c r="L33" s="103"/>
      <c r="M33" s="104"/>
      <c r="N33" s="104"/>
      <c r="O33" s="288"/>
      <c r="P33" s="175">
        <f>VLOOKUP(H33,Paramètres!$D$27:$E$29,2,FALSE)</f>
        <v>0.125</v>
      </c>
      <c r="Q33" s="176">
        <f>VLOOKUP(H33,Paramètres!$D$30:$E$32,2,FALSE)</f>
        <v>0.5</v>
      </c>
      <c r="R33" s="177">
        <f t="shared" si="0"/>
        <v>0.125</v>
      </c>
      <c r="S33" s="178">
        <f t="shared" si="1"/>
        <v>0.5</v>
      </c>
      <c r="T33" s="178">
        <f>J33*Paramètres!$E$33+K33*Paramètres!$E$34+L33*Paramètres!$E$35</f>
        <v>0</v>
      </c>
      <c r="U33" s="178">
        <f>IF(TYPE_APPLI=Paramètres!$O$3,I33*Paramètres!$E$36+TFC!J33*Paramètres!$E$37+K33*Paramètres!$E$38+L33*Paramètres!$E$39,TFC!I33*Paramètres!$E$40+J33*Paramètres!$E$41+K33*Paramètres!$E$42+L33*Paramètres!$E$43)</f>
        <v>0</v>
      </c>
      <c r="V33" s="192">
        <f>N33*Paramètres!$E$44</f>
        <v>0</v>
      </c>
      <c r="W33" s="178">
        <f>M33*Paramètres!$E$45/2+N33*Paramètres!$E$45</f>
        <v>0</v>
      </c>
      <c r="X33" s="177">
        <f t="shared" si="2"/>
        <v>0.5</v>
      </c>
      <c r="Y33" s="179">
        <f t="shared" si="3"/>
        <v>0.625</v>
      </c>
    </row>
    <row r="34" spans="1:25" s="28" customFormat="1" ht="61.5" customHeight="1" thickBot="1" x14ac:dyDescent="0.3">
      <c r="A34" s="287"/>
      <c r="B34" s="240"/>
      <c r="C34" s="202" t="s">
        <v>233</v>
      </c>
      <c r="D34" s="195" t="s">
        <v>240</v>
      </c>
      <c r="E34" s="200"/>
      <c r="F34" s="198"/>
      <c r="G34" s="193" t="s">
        <v>96</v>
      </c>
      <c r="H34" s="290" t="s">
        <v>45</v>
      </c>
      <c r="I34" s="103"/>
      <c r="J34" s="103"/>
      <c r="K34" s="103"/>
      <c r="L34" s="103"/>
      <c r="M34" s="104"/>
      <c r="N34" s="104"/>
      <c r="O34" s="288"/>
      <c r="P34" s="175">
        <f>VLOOKUP(H34,Paramètres!$D$27:$E$29,2,FALSE)</f>
        <v>0.125</v>
      </c>
      <c r="Q34" s="176">
        <f>VLOOKUP(H34,Paramètres!$D$30:$E$32,2,FALSE)</f>
        <v>0.5</v>
      </c>
      <c r="R34" s="177">
        <f t="shared" si="0"/>
        <v>0.125</v>
      </c>
      <c r="S34" s="178">
        <f t="shared" si="1"/>
        <v>0.5</v>
      </c>
      <c r="T34" s="178">
        <f>J34*Paramètres!$E$33+K34*Paramètres!$E$34+L34*Paramètres!$E$35</f>
        <v>0</v>
      </c>
      <c r="U34" s="178">
        <f>IF(TYPE_APPLI=Paramètres!$O$3,I34*Paramètres!$E$36+TFC!J34*Paramètres!$E$37+K34*Paramètres!$E$38+L34*Paramètres!$E$39,TFC!I34*Paramètres!$E$40+J34*Paramètres!$E$41+K34*Paramètres!$E$42+L34*Paramètres!$E$43)</f>
        <v>0</v>
      </c>
      <c r="V34" s="192">
        <f>N34*Paramètres!$E$44</f>
        <v>0</v>
      </c>
      <c r="W34" s="178">
        <f>M34*Paramètres!$E$45/2+N34*Paramètres!$E$45</f>
        <v>0</v>
      </c>
      <c r="X34" s="177">
        <f t="shared" si="2"/>
        <v>0.5</v>
      </c>
      <c r="Y34" s="179">
        <f t="shared" si="3"/>
        <v>0.625</v>
      </c>
    </row>
    <row r="35" spans="1:25" s="28" customFormat="1" ht="61.5" customHeight="1" thickBot="1" x14ac:dyDescent="0.3">
      <c r="A35" s="287"/>
      <c r="B35" s="240"/>
      <c r="C35" s="202" t="s">
        <v>234</v>
      </c>
      <c r="D35" s="195" t="s">
        <v>241</v>
      </c>
      <c r="E35" s="200"/>
      <c r="F35" s="198"/>
      <c r="G35" s="289" t="s">
        <v>96</v>
      </c>
      <c r="H35" s="290" t="s">
        <v>45</v>
      </c>
      <c r="I35" s="103"/>
      <c r="J35" s="103"/>
      <c r="K35" s="103"/>
      <c r="L35" s="103"/>
      <c r="M35" s="104"/>
      <c r="N35" s="104"/>
      <c r="O35" s="288"/>
      <c r="P35" s="175">
        <f>VLOOKUP(H35,Paramètres!$D$27:$E$29,2,FALSE)</f>
        <v>0.125</v>
      </c>
      <c r="Q35" s="176">
        <f>VLOOKUP(H35,Paramètres!$D$30:$E$32,2,FALSE)</f>
        <v>0.5</v>
      </c>
      <c r="R35" s="177">
        <f t="shared" si="0"/>
        <v>0.125</v>
      </c>
      <c r="S35" s="178">
        <f t="shared" si="1"/>
        <v>0.5</v>
      </c>
      <c r="T35" s="178">
        <f>J35*Paramètres!$E$33+K35*Paramètres!$E$34+L35*Paramètres!$E$35</f>
        <v>0</v>
      </c>
      <c r="U35" s="178">
        <f>IF(TYPE_APPLI=Paramètres!$O$3,I35*Paramètres!$E$36+TFC!J35*Paramètres!$E$37+K35*Paramètres!$E$38+L35*Paramètres!$E$39,TFC!I35*Paramètres!$E$40+J35*Paramètres!$E$41+K35*Paramètres!$E$42+L35*Paramètres!$E$43)</f>
        <v>0</v>
      </c>
      <c r="V35" s="192">
        <f>N35*Paramètres!$E$44</f>
        <v>0</v>
      </c>
      <c r="W35" s="178">
        <f>M35*Paramètres!$E$45/2+N35*Paramètres!$E$45</f>
        <v>0</v>
      </c>
      <c r="X35" s="177">
        <f t="shared" si="2"/>
        <v>0.5</v>
      </c>
      <c r="Y35" s="179">
        <f t="shared" si="3"/>
        <v>0.625</v>
      </c>
    </row>
    <row r="36" spans="1:25" s="28" customFormat="1" ht="61.5" customHeight="1" thickBot="1" x14ac:dyDescent="0.3">
      <c r="A36" s="287"/>
      <c r="B36" s="240"/>
      <c r="C36" s="202" t="s">
        <v>235</v>
      </c>
      <c r="D36" s="195" t="s">
        <v>242</v>
      </c>
      <c r="E36" s="200"/>
      <c r="F36" s="198"/>
      <c r="G36" s="193" t="s">
        <v>96</v>
      </c>
      <c r="H36" s="290" t="s">
        <v>45</v>
      </c>
      <c r="I36" s="103"/>
      <c r="J36" s="103"/>
      <c r="K36" s="103"/>
      <c r="L36" s="103"/>
      <c r="M36" s="104"/>
      <c r="N36" s="104"/>
      <c r="O36" s="288"/>
      <c r="P36" s="175">
        <f>VLOOKUP(H36,Paramètres!$D$27:$E$29,2,FALSE)</f>
        <v>0.125</v>
      </c>
      <c r="Q36" s="176">
        <f>VLOOKUP(H36,Paramètres!$D$30:$E$32,2,FALSE)</f>
        <v>0.5</v>
      </c>
      <c r="R36" s="177">
        <f t="shared" si="0"/>
        <v>0.125</v>
      </c>
      <c r="S36" s="178">
        <f t="shared" si="1"/>
        <v>0.5</v>
      </c>
      <c r="T36" s="178">
        <f>J36*Paramètres!$E$33+K36*Paramètres!$E$34+L36*Paramètres!$E$35</f>
        <v>0</v>
      </c>
      <c r="U36" s="178">
        <f>IF(TYPE_APPLI=Paramètres!$O$3,I36*Paramètres!$E$36+TFC!J36*Paramètres!$E$37+K36*Paramètres!$E$38+L36*Paramètres!$E$39,TFC!I36*Paramètres!$E$40+J36*Paramètres!$E$41+K36*Paramètres!$E$42+L36*Paramètres!$E$43)</f>
        <v>0</v>
      </c>
      <c r="V36" s="192">
        <f>N36*Paramètres!$E$44</f>
        <v>0</v>
      </c>
      <c r="W36" s="178">
        <f>M36*Paramètres!$E$45/2+N36*Paramètres!$E$45</f>
        <v>0</v>
      </c>
      <c r="X36" s="177">
        <f t="shared" si="2"/>
        <v>0.5</v>
      </c>
      <c r="Y36" s="179">
        <f t="shared" si="3"/>
        <v>0.625</v>
      </c>
    </row>
    <row r="37" spans="1:25" s="28" customFormat="1" ht="61.5" customHeight="1" thickBot="1" x14ac:dyDescent="0.3">
      <c r="A37" s="287"/>
      <c r="B37" s="240"/>
      <c r="C37" s="202" t="s">
        <v>236</v>
      </c>
      <c r="D37" s="195" t="s">
        <v>243</v>
      </c>
      <c r="E37" s="200"/>
      <c r="F37" s="198"/>
      <c r="G37" s="289" t="s">
        <v>96</v>
      </c>
      <c r="H37" s="290" t="s">
        <v>45</v>
      </c>
      <c r="I37" s="103"/>
      <c r="J37" s="103"/>
      <c r="K37" s="103"/>
      <c r="L37" s="103"/>
      <c r="M37" s="104"/>
      <c r="N37" s="104"/>
      <c r="O37" s="288"/>
      <c r="P37" s="175">
        <f>VLOOKUP(H37,Paramètres!$D$27:$E$29,2,FALSE)</f>
        <v>0.125</v>
      </c>
      <c r="Q37" s="176">
        <f>VLOOKUP(H37,Paramètres!$D$30:$E$32,2,FALSE)</f>
        <v>0.5</v>
      </c>
      <c r="R37" s="177">
        <f t="shared" si="0"/>
        <v>0.125</v>
      </c>
      <c r="S37" s="178">
        <f t="shared" si="1"/>
        <v>0.5</v>
      </c>
      <c r="T37" s="178">
        <f>J37*Paramètres!$E$33+K37*Paramètres!$E$34+L37*Paramètres!$E$35</f>
        <v>0</v>
      </c>
      <c r="U37" s="178">
        <f>IF(TYPE_APPLI=Paramètres!$O$3,I37*Paramètres!$E$36+TFC!J37*Paramètres!$E$37+K37*Paramètres!$E$38+L37*Paramètres!$E$39,TFC!I37*Paramètres!$E$40+J37*Paramètres!$E$41+K37*Paramètres!$E$42+L37*Paramètres!$E$43)</f>
        <v>0</v>
      </c>
      <c r="V37" s="192">
        <f>N37*Paramètres!$E$44</f>
        <v>0</v>
      </c>
      <c r="W37" s="178">
        <f>M37*Paramètres!$E$45/2+N37*Paramètres!$E$45</f>
        <v>0</v>
      </c>
      <c r="X37" s="177">
        <f t="shared" si="2"/>
        <v>0.5</v>
      </c>
      <c r="Y37" s="179">
        <f t="shared" si="3"/>
        <v>0.625</v>
      </c>
    </row>
    <row r="38" spans="1:25" s="28" customFormat="1" ht="61.5" customHeight="1" thickBot="1" x14ac:dyDescent="0.3">
      <c r="A38" s="287"/>
      <c r="B38" s="241"/>
      <c r="C38" s="202" t="s">
        <v>237</v>
      </c>
      <c r="D38" s="195" t="s">
        <v>244</v>
      </c>
      <c r="E38" s="200"/>
      <c r="F38" s="198"/>
      <c r="G38" s="193" t="s">
        <v>96</v>
      </c>
      <c r="H38" s="290" t="s">
        <v>45</v>
      </c>
      <c r="I38" s="103"/>
      <c r="J38" s="103"/>
      <c r="K38" s="103"/>
      <c r="L38" s="103"/>
      <c r="M38" s="104"/>
      <c r="N38" s="104"/>
      <c r="O38" s="288"/>
      <c r="P38" s="175">
        <f>VLOOKUP(H38,Paramètres!$D$27:$E$29,2,FALSE)</f>
        <v>0.125</v>
      </c>
      <c r="Q38" s="176">
        <f>VLOOKUP(H38,Paramètres!$D$30:$E$32,2,FALSE)</f>
        <v>0.5</v>
      </c>
      <c r="R38" s="177">
        <f t="shared" si="0"/>
        <v>0.125</v>
      </c>
      <c r="S38" s="178">
        <f t="shared" si="1"/>
        <v>0.5</v>
      </c>
      <c r="T38" s="178">
        <f>J38*Paramètres!$E$33+K38*Paramètres!$E$34+L38*Paramètres!$E$35</f>
        <v>0</v>
      </c>
      <c r="U38" s="178">
        <f>IF(TYPE_APPLI=Paramètres!$O$3,I38*Paramètres!$E$36+TFC!J38*Paramètres!$E$37+K38*Paramètres!$E$38+L38*Paramètres!$E$39,TFC!I38*Paramètres!$E$40+J38*Paramètres!$E$41+K38*Paramètres!$E$42+L38*Paramètres!$E$43)</f>
        <v>0</v>
      </c>
      <c r="V38" s="192">
        <f>N38*Paramètres!$E$44</f>
        <v>0</v>
      </c>
      <c r="W38" s="178">
        <f>M38*Paramètres!$E$45/2+N38*Paramètres!$E$45</f>
        <v>0</v>
      </c>
      <c r="X38" s="177">
        <f t="shared" si="2"/>
        <v>0.5</v>
      </c>
      <c r="Y38" s="179">
        <f t="shared" si="3"/>
        <v>0.625</v>
      </c>
    </row>
    <row r="39" spans="1:25" s="28" customFormat="1" ht="61.5" customHeight="1" thickBot="1" x14ac:dyDescent="0.3">
      <c r="A39" s="287"/>
      <c r="B39" s="239" t="s">
        <v>245</v>
      </c>
      <c r="C39" s="202" t="s">
        <v>246</v>
      </c>
      <c r="D39" s="195" t="s">
        <v>247</v>
      </c>
      <c r="E39" s="200"/>
      <c r="F39" s="198"/>
      <c r="G39" s="289" t="s">
        <v>96</v>
      </c>
      <c r="H39" s="290" t="s">
        <v>45</v>
      </c>
      <c r="I39" s="103"/>
      <c r="J39" s="103"/>
      <c r="K39" s="103"/>
      <c r="L39" s="103"/>
      <c r="M39" s="104"/>
      <c r="N39" s="104"/>
      <c r="O39" s="288"/>
      <c r="P39" s="175">
        <f>VLOOKUP(H39,Paramètres!$D$27:$E$29,2,FALSE)</f>
        <v>0.125</v>
      </c>
      <c r="Q39" s="176">
        <f>VLOOKUP(H39,Paramètres!$D$30:$E$32,2,FALSE)</f>
        <v>0.5</v>
      </c>
      <c r="R39" s="177">
        <f t="shared" si="0"/>
        <v>0.125</v>
      </c>
      <c r="S39" s="178">
        <f t="shared" si="1"/>
        <v>0.5</v>
      </c>
      <c r="T39" s="178">
        <f>J39*Paramètres!$E$33+K39*Paramètres!$E$34+L39*Paramètres!$E$35</f>
        <v>0</v>
      </c>
      <c r="U39" s="178">
        <f>IF(TYPE_APPLI=Paramètres!$O$3,I39*Paramètres!$E$36+TFC!J39*Paramètres!$E$37+K39*Paramètres!$E$38+L39*Paramètres!$E$39,TFC!I39*Paramètres!$E$40+J39*Paramètres!$E$41+K39*Paramètres!$E$42+L39*Paramètres!$E$43)</f>
        <v>0</v>
      </c>
      <c r="V39" s="192">
        <f>N39*Paramètres!$E$44</f>
        <v>0</v>
      </c>
      <c r="W39" s="178">
        <f>M39*Paramètres!$E$45/2+N39*Paramètres!$E$45</f>
        <v>0</v>
      </c>
      <c r="X39" s="177">
        <f t="shared" si="2"/>
        <v>0.5</v>
      </c>
      <c r="Y39" s="179">
        <f t="shared" si="3"/>
        <v>0.625</v>
      </c>
    </row>
    <row r="40" spans="1:25" s="28" customFormat="1" ht="61.5" customHeight="1" thickBot="1" x14ac:dyDescent="0.3">
      <c r="A40" s="287"/>
      <c r="B40" s="240"/>
      <c r="C40" s="202" t="s">
        <v>248</v>
      </c>
      <c r="D40" s="195" t="s">
        <v>249</v>
      </c>
      <c r="E40" s="200"/>
      <c r="F40" s="198"/>
      <c r="G40" s="193" t="s">
        <v>96</v>
      </c>
      <c r="H40" s="290" t="s">
        <v>45</v>
      </c>
      <c r="I40" s="103"/>
      <c r="J40" s="103"/>
      <c r="K40" s="103"/>
      <c r="L40" s="103"/>
      <c r="M40" s="104"/>
      <c r="N40" s="104"/>
      <c r="O40" s="288"/>
      <c r="P40" s="175">
        <f>VLOOKUP(H40,Paramètres!$D$27:$E$29,2,FALSE)</f>
        <v>0.125</v>
      </c>
      <c r="Q40" s="176">
        <f>VLOOKUP(H40,Paramètres!$D$30:$E$32,2,FALSE)</f>
        <v>0.5</v>
      </c>
      <c r="R40" s="177">
        <f t="shared" si="0"/>
        <v>0.125</v>
      </c>
      <c r="S40" s="178">
        <f t="shared" si="1"/>
        <v>0.5</v>
      </c>
      <c r="T40" s="178">
        <f>J40*Paramètres!$E$33+K40*Paramètres!$E$34+L40*Paramètres!$E$35</f>
        <v>0</v>
      </c>
      <c r="U40" s="178">
        <f>IF(TYPE_APPLI=Paramètres!$O$3,I40*Paramètres!$E$36+TFC!J40*Paramètres!$E$37+K40*Paramètres!$E$38+L40*Paramètres!$E$39,TFC!I40*Paramètres!$E$40+J40*Paramètres!$E$41+K40*Paramètres!$E$42+L40*Paramètres!$E$43)</f>
        <v>0</v>
      </c>
      <c r="V40" s="192">
        <f>N40*Paramètres!$E$44</f>
        <v>0</v>
      </c>
      <c r="W40" s="178">
        <f>M40*Paramètres!$E$45/2+N40*Paramètres!$E$45</f>
        <v>0</v>
      </c>
      <c r="X40" s="177">
        <f t="shared" si="2"/>
        <v>0.5</v>
      </c>
      <c r="Y40" s="179">
        <f t="shared" si="3"/>
        <v>0.625</v>
      </c>
    </row>
    <row r="41" spans="1:25" s="28" customFormat="1" ht="61.5" customHeight="1" thickBot="1" x14ac:dyDescent="0.3">
      <c r="A41" s="287"/>
      <c r="B41" s="240"/>
      <c r="C41" s="202" t="s">
        <v>250</v>
      </c>
      <c r="D41" s="195" t="s">
        <v>251</v>
      </c>
      <c r="E41" s="200"/>
      <c r="F41" s="198"/>
      <c r="G41" s="289" t="s">
        <v>96</v>
      </c>
      <c r="H41" s="290" t="s">
        <v>45</v>
      </c>
      <c r="I41" s="103"/>
      <c r="J41" s="103"/>
      <c r="K41" s="103"/>
      <c r="L41" s="103"/>
      <c r="M41" s="104"/>
      <c r="N41" s="104"/>
      <c r="O41" s="288"/>
      <c r="P41" s="175">
        <f>VLOOKUP(H41,Paramètres!$D$27:$E$29,2,FALSE)</f>
        <v>0.125</v>
      </c>
      <c r="Q41" s="176">
        <f>VLOOKUP(H41,Paramètres!$D$30:$E$32,2,FALSE)</f>
        <v>0.5</v>
      </c>
      <c r="R41" s="177">
        <f t="shared" si="0"/>
        <v>0.125</v>
      </c>
      <c r="S41" s="178">
        <f t="shared" si="1"/>
        <v>0.5</v>
      </c>
      <c r="T41" s="178">
        <f>J41*Paramètres!$E$33+K41*Paramètres!$E$34+L41*Paramètres!$E$35</f>
        <v>0</v>
      </c>
      <c r="U41" s="178">
        <f>IF(TYPE_APPLI=Paramètres!$O$3,I41*Paramètres!$E$36+TFC!J41*Paramètres!$E$37+K41*Paramètres!$E$38+L41*Paramètres!$E$39,TFC!I41*Paramètres!$E$40+J41*Paramètres!$E$41+K41*Paramètres!$E$42+L41*Paramètres!$E$43)</f>
        <v>0</v>
      </c>
      <c r="V41" s="192">
        <f>N41*Paramètres!$E$44</f>
        <v>0</v>
      </c>
      <c r="W41" s="178">
        <f>M41*Paramètres!$E$45/2+N41*Paramètres!$E$45</f>
        <v>0</v>
      </c>
      <c r="X41" s="177">
        <f t="shared" si="2"/>
        <v>0.5</v>
      </c>
      <c r="Y41" s="179">
        <f t="shared" si="3"/>
        <v>0.625</v>
      </c>
    </row>
    <row r="42" spans="1:25" s="28" customFormat="1" ht="61.5" customHeight="1" thickBot="1" x14ac:dyDescent="0.3">
      <c r="A42" s="287"/>
      <c r="B42" s="240"/>
      <c r="C42" s="202" t="s">
        <v>252</v>
      </c>
      <c r="D42" s="195" t="s">
        <v>253</v>
      </c>
      <c r="E42" s="200"/>
      <c r="F42" s="198"/>
      <c r="G42" s="193" t="s">
        <v>96</v>
      </c>
      <c r="H42" s="290" t="s">
        <v>45</v>
      </c>
      <c r="I42" s="103"/>
      <c r="J42" s="103"/>
      <c r="K42" s="103"/>
      <c r="L42" s="103"/>
      <c r="M42" s="104"/>
      <c r="N42" s="104"/>
      <c r="O42" s="288"/>
      <c r="P42" s="175">
        <f>VLOOKUP(H42,Paramètres!$D$27:$E$29,2,FALSE)</f>
        <v>0.125</v>
      </c>
      <c r="Q42" s="176">
        <f>VLOOKUP(H42,Paramètres!$D$30:$E$32,2,FALSE)</f>
        <v>0.5</v>
      </c>
      <c r="R42" s="177">
        <f t="shared" si="0"/>
        <v>0.125</v>
      </c>
      <c r="S42" s="178">
        <f t="shared" si="1"/>
        <v>0.5</v>
      </c>
      <c r="T42" s="178">
        <f>J42*Paramètres!$E$33+K42*Paramètres!$E$34+L42*Paramètres!$E$35</f>
        <v>0</v>
      </c>
      <c r="U42" s="178">
        <f>IF(TYPE_APPLI=Paramètres!$O$3,I42*Paramètres!$E$36+TFC!J42*Paramètres!$E$37+K42*Paramètres!$E$38+L42*Paramètres!$E$39,TFC!I42*Paramètres!$E$40+J42*Paramètres!$E$41+K42*Paramètres!$E$42+L42*Paramètres!$E$43)</f>
        <v>0</v>
      </c>
      <c r="V42" s="192">
        <f>N42*Paramètres!$E$44</f>
        <v>0</v>
      </c>
      <c r="W42" s="178">
        <f>M42*Paramètres!$E$45/2+N42*Paramètres!$E$45</f>
        <v>0</v>
      </c>
      <c r="X42" s="177">
        <f t="shared" si="2"/>
        <v>0.5</v>
      </c>
      <c r="Y42" s="179">
        <f t="shared" si="3"/>
        <v>0.625</v>
      </c>
    </row>
    <row r="43" spans="1:25" s="28" customFormat="1" ht="61.5" customHeight="1" thickBot="1" x14ac:dyDescent="0.3">
      <c r="A43" s="287"/>
      <c r="B43" s="240"/>
      <c r="C43" s="202" t="s">
        <v>254</v>
      </c>
      <c r="D43" s="195" t="s">
        <v>255</v>
      </c>
      <c r="E43" s="200"/>
      <c r="F43" s="198"/>
      <c r="G43" s="289" t="s">
        <v>96</v>
      </c>
      <c r="H43" s="290" t="s">
        <v>45</v>
      </c>
      <c r="I43" s="103"/>
      <c r="J43" s="103"/>
      <c r="K43" s="103"/>
      <c r="L43" s="103"/>
      <c r="M43" s="104"/>
      <c r="N43" s="104"/>
      <c r="O43" s="288"/>
      <c r="P43" s="175">
        <f>VLOOKUP(H43,Paramètres!$D$27:$E$29,2,FALSE)</f>
        <v>0.125</v>
      </c>
      <c r="Q43" s="176">
        <f>VLOOKUP(H43,Paramètres!$D$30:$E$32,2,FALSE)</f>
        <v>0.5</v>
      </c>
      <c r="R43" s="177">
        <f t="shared" si="0"/>
        <v>0.125</v>
      </c>
      <c r="S43" s="178">
        <f t="shared" si="1"/>
        <v>0.5</v>
      </c>
      <c r="T43" s="178">
        <f>J43*Paramètres!$E$33+K43*Paramètres!$E$34+L43*Paramètres!$E$35</f>
        <v>0</v>
      </c>
      <c r="U43" s="178">
        <f>IF(TYPE_APPLI=Paramètres!$O$3,I43*Paramètres!$E$36+TFC!J43*Paramètres!$E$37+K43*Paramètres!$E$38+L43*Paramètres!$E$39,TFC!I43*Paramètres!$E$40+J43*Paramètres!$E$41+K43*Paramètres!$E$42+L43*Paramètres!$E$43)</f>
        <v>0</v>
      </c>
      <c r="V43" s="192">
        <f>N43*Paramètres!$E$44</f>
        <v>0</v>
      </c>
      <c r="W43" s="178">
        <f>M43*Paramètres!$E$45/2+N43*Paramètres!$E$45</f>
        <v>0</v>
      </c>
      <c r="X43" s="177">
        <f t="shared" si="2"/>
        <v>0.5</v>
      </c>
      <c r="Y43" s="179">
        <f t="shared" si="3"/>
        <v>0.625</v>
      </c>
    </row>
    <row r="44" spans="1:25" s="28" customFormat="1" ht="61.5" customHeight="1" thickBot="1" x14ac:dyDescent="0.3">
      <c r="A44" s="287"/>
      <c r="B44" s="240"/>
      <c r="C44" s="202" t="s">
        <v>256</v>
      </c>
      <c r="D44" s="195" t="s">
        <v>257</v>
      </c>
      <c r="E44" s="200"/>
      <c r="F44" s="198"/>
      <c r="G44" s="193" t="s">
        <v>96</v>
      </c>
      <c r="H44" s="290" t="s">
        <v>45</v>
      </c>
      <c r="I44" s="103"/>
      <c r="J44" s="103"/>
      <c r="K44" s="103"/>
      <c r="L44" s="103"/>
      <c r="M44" s="104"/>
      <c r="N44" s="104"/>
      <c r="O44" s="288"/>
      <c r="P44" s="175">
        <f>VLOOKUP(H44,Paramètres!$D$27:$E$29,2,FALSE)</f>
        <v>0.125</v>
      </c>
      <c r="Q44" s="176">
        <f>VLOOKUP(H44,Paramètres!$D$30:$E$32,2,FALSE)</f>
        <v>0.5</v>
      </c>
      <c r="R44" s="177">
        <f t="shared" si="0"/>
        <v>0.125</v>
      </c>
      <c r="S44" s="178">
        <f t="shared" si="1"/>
        <v>0.5</v>
      </c>
      <c r="T44" s="178">
        <f>J44*Paramètres!$E$33+K44*Paramètres!$E$34+L44*Paramètres!$E$35</f>
        <v>0</v>
      </c>
      <c r="U44" s="178">
        <f>IF(TYPE_APPLI=Paramètres!$O$3,I44*Paramètres!$E$36+TFC!J44*Paramètres!$E$37+K44*Paramètres!$E$38+L44*Paramètres!$E$39,TFC!I44*Paramètres!$E$40+J44*Paramètres!$E$41+K44*Paramètres!$E$42+L44*Paramètres!$E$43)</f>
        <v>0</v>
      </c>
      <c r="V44" s="192">
        <f>N44*Paramètres!$E$44</f>
        <v>0</v>
      </c>
      <c r="W44" s="178">
        <f>M44*Paramètres!$E$45/2+N44*Paramètres!$E$45</f>
        <v>0</v>
      </c>
      <c r="X44" s="177">
        <f t="shared" si="2"/>
        <v>0.5</v>
      </c>
      <c r="Y44" s="179">
        <f t="shared" si="3"/>
        <v>0.625</v>
      </c>
    </row>
    <row r="45" spans="1:25" s="28" customFormat="1" ht="61.5" customHeight="1" thickBot="1" x14ac:dyDescent="0.3">
      <c r="A45" s="287"/>
      <c r="B45" s="240"/>
      <c r="C45" s="202" t="s">
        <v>201</v>
      </c>
      <c r="D45" s="195" t="s">
        <v>258</v>
      </c>
      <c r="E45" s="200"/>
      <c r="F45" s="198"/>
      <c r="G45" s="289" t="s">
        <v>96</v>
      </c>
      <c r="H45" s="290" t="s">
        <v>45</v>
      </c>
      <c r="I45" s="103"/>
      <c r="J45" s="103"/>
      <c r="K45" s="103"/>
      <c r="L45" s="103"/>
      <c r="M45" s="104"/>
      <c r="N45" s="104"/>
      <c r="O45" s="288"/>
      <c r="P45" s="175">
        <f>VLOOKUP(H45,Paramètres!$D$27:$E$29,2,FALSE)</f>
        <v>0.125</v>
      </c>
      <c r="Q45" s="176">
        <f>VLOOKUP(H45,Paramètres!$D$30:$E$32,2,FALSE)</f>
        <v>0.5</v>
      </c>
      <c r="R45" s="177">
        <f t="shared" si="0"/>
        <v>0.125</v>
      </c>
      <c r="S45" s="178">
        <f t="shared" si="1"/>
        <v>0.5</v>
      </c>
      <c r="T45" s="178">
        <f>J45*Paramètres!$E$33+K45*Paramètres!$E$34+L45*Paramètres!$E$35</f>
        <v>0</v>
      </c>
      <c r="U45" s="178">
        <f>IF(TYPE_APPLI=Paramètres!$O$3,I45*Paramètres!$E$36+TFC!J45*Paramètres!$E$37+K45*Paramètres!$E$38+L45*Paramètres!$E$39,TFC!I45*Paramètres!$E$40+J45*Paramètres!$E$41+K45*Paramètres!$E$42+L45*Paramètres!$E$43)</f>
        <v>0</v>
      </c>
      <c r="V45" s="192">
        <f>N45*Paramètres!$E$44</f>
        <v>0</v>
      </c>
      <c r="W45" s="178">
        <f>M45*Paramètres!$E$45/2+N45*Paramètres!$E$45</f>
        <v>0</v>
      </c>
      <c r="X45" s="177">
        <f t="shared" si="2"/>
        <v>0.5</v>
      </c>
      <c r="Y45" s="179">
        <f t="shared" si="3"/>
        <v>0.625</v>
      </c>
    </row>
    <row r="46" spans="1:25" s="28" customFormat="1" ht="61.5" customHeight="1" thickBot="1" x14ac:dyDescent="0.3">
      <c r="A46" s="287"/>
      <c r="B46" s="240"/>
      <c r="C46" s="202" t="s">
        <v>259</v>
      </c>
      <c r="D46" s="195" t="s">
        <v>260</v>
      </c>
      <c r="E46" s="200"/>
      <c r="F46" s="198"/>
      <c r="G46" s="193" t="s">
        <v>96</v>
      </c>
      <c r="H46" s="290" t="s">
        <v>45</v>
      </c>
      <c r="I46" s="103"/>
      <c r="J46" s="103"/>
      <c r="K46" s="103"/>
      <c r="L46" s="103"/>
      <c r="M46" s="104"/>
      <c r="N46" s="104"/>
      <c r="O46" s="288"/>
      <c r="P46" s="175">
        <f>VLOOKUP(H46,Paramètres!$D$27:$E$29,2,FALSE)</f>
        <v>0.125</v>
      </c>
      <c r="Q46" s="176">
        <f>VLOOKUP(H46,Paramètres!$D$30:$E$32,2,FALSE)</f>
        <v>0.5</v>
      </c>
      <c r="R46" s="177">
        <f t="shared" si="0"/>
        <v>0.125</v>
      </c>
      <c r="S46" s="178">
        <f t="shared" si="1"/>
        <v>0.5</v>
      </c>
      <c r="T46" s="178">
        <f>J46*Paramètres!$E$33+K46*Paramètres!$E$34+L46*Paramètres!$E$35</f>
        <v>0</v>
      </c>
      <c r="U46" s="178">
        <f>IF(TYPE_APPLI=Paramètres!$O$3,I46*Paramètres!$E$36+TFC!J46*Paramètres!$E$37+K46*Paramètres!$E$38+L46*Paramètres!$E$39,TFC!I46*Paramètres!$E$40+J46*Paramètres!$E$41+K46*Paramètres!$E$42+L46*Paramètres!$E$43)</f>
        <v>0</v>
      </c>
      <c r="V46" s="192">
        <f>N46*Paramètres!$E$44</f>
        <v>0</v>
      </c>
      <c r="W46" s="178">
        <f>M46*Paramètres!$E$45/2+N46*Paramètres!$E$45</f>
        <v>0</v>
      </c>
      <c r="X46" s="177">
        <f t="shared" si="2"/>
        <v>0.5</v>
      </c>
      <c r="Y46" s="179">
        <f t="shared" si="3"/>
        <v>0.625</v>
      </c>
    </row>
    <row r="47" spans="1:25" s="28" customFormat="1" ht="61.5" customHeight="1" thickBot="1" x14ac:dyDescent="0.3">
      <c r="A47" s="287"/>
      <c r="B47" s="240"/>
      <c r="C47" s="202" t="s">
        <v>261</v>
      </c>
      <c r="D47" s="195" t="s">
        <v>262</v>
      </c>
      <c r="E47" s="200"/>
      <c r="F47" s="198"/>
      <c r="G47" s="289" t="s">
        <v>96</v>
      </c>
      <c r="H47" s="290" t="s">
        <v>45</v>
      </c>
      <c r="I47" s="103"/>
      <c r="J47" s="103"/>
      <c r="K47" s="103"/>
      <c r="L47" s="103"/>
      <c r="M47" s="104"/>
      <c r="N47" s="104"/>
      <c r="O47" s="288"/>
      <c r="P47" s="175">
        <f>VLOOKUP(H47,Paramètres!$D$27:$E$29,2,FALSE)</f>
        <v>0.125</v>
      </c>
      <c r="Q47" s="176">
        <f>VLOOKUP(H47,Paramètres!$D$30:$E$32,2,FALSE)</f>
        <v>0.5</v>
      </c>
      <c r="R47" s="177">
        <f t="shared" si="0"/>
        <v>0.125</v>
      </c>
      <c r="S47" s="178">
        <f t="shared" si="1"/>
        <v>0.5</v>
      </c>
      <c r="T47" s="178">
        <f>J47*Paramètres!$E$33+K47*Paramètres!$E$34+L47*Paramètres!$E$35</f>
        <v>0</v>
      </c>
      <c r="U47" s="178">
        <f>IF(TYPE_APPLI=Paramètres!$O$3,I47*Paramètres!$E$36+TFC!J47*Paramètres!$E$37+K47*Paramètres!$E$38+L47*Paramètres!$E$39,TFC!I47*Paramètres!$E$40+J47*Paramètres!$E$41+K47*Paramètres!$E$42+L47*Paramètres!$E$43)</f>
        <v>0</v>
      </c>
      <c r="V47" s="192">
        <f>N47*Paramètres!$E$44</f>
        <v>0</v>
      </c>
      <c r="W47" s="178">
        <f>M47*Paramètres!$E$45/2+N47*Paramètres!$E$45</f>
        <v>0</v>
      </c>
      <c r="X47" s="177">
        <f t="shared" si="2"/>
        <v>0.5</v>
      </c>
      <c r="Y47" s="179">
        <f t="shared" si="3"/>
        <v>0.625</v>
      </c>
    </row>
    <row r="48" spans="1:25" s="28" customFormat="1" ht="61.5" customHeight="1" thickBot="1" x14ac:dyDescent="0.3">
      <c r="A48" s="287"/>
      <c r="B48" s="240"/>
      <c r="C48" s="202" t="s">
        <v>263</v>
      </c>
      <c r="D48" s="195" t="s">
        <v>264</v>
      </c>
      <c r="E48" s="200"/>
      <c r="F48" s="198"/>
      <c r="G48" s="193" t="s">
        <v>96</v>
      </c>
      <c r="H48" s="290" t="s">
        <v>45</v>
      </c>
      <c r="I48" s="103"/>
      <c r="J48" s="103"/>
      <c r="K48" s="103"/>
      <c r="L48" s="103"/>
      <c r="M48" s="104"/>
      <c r="N48" s="104"/>
      <c r="O48" s="288"/>
      <c r="P48" s="175">
        <f>VLOOKUP(H48,Paramètres!$D$27:$E$29,2,FALSE)</f>
        <v>0.125</v>
      </c>
      <c r="Q48" s="176">
        <f>VLOOKUP(H48,Paramètres!$D$30:$E$32,2,FALSE)</f>
        <v>0.5</v>
      </c>
      <c r="R48" s="177">
        <f t="shared" si="0"/>
        <v>0.125</v>
      </c>
      <c r="S48" s="178">
        <f t="shared" si="1"/>
        <v>0.5</v>
      </c>
      <c r="T48" s="178">
        <f>J48*Paramètres!$E$33+K48*Paramètres!$E$34+L48*Paramètres!$E$35</f>
        <v>0</v>
      </c>
      <c r="U48" s="178">
        <f>IF(TYPE_APPLI=Paramètres!$O$3,I48*Paramètres!$E$36+TFC!J48*Paramètres!$E$37+K48*Paramètres!$E$38+L48*Paramètres!$E$39,TFC!I48*Paramètres!$E$40+J48*Paramètres!$E$41+K48*Paramètres!$E$42+L48*Paramètres!$E$43)</f>
        <v>0</v>
      </c>
      <c r="V48" s="192">
        <f>N48*Paramètres!$E$44</f>
        <v>0</v>
      </c>
      <c r="W48" s="178">
        <f>M48*Paramètres!$E$45/2+N48*Paramètres!$E$45</f>
        <v>0</v>
      </c>
      <c r="X48" s="177">
        <f t="shared" si="2"/>
        <v>0.5</v>
      </c>
      <c r="Y48" s="179">
        <f t="shared" si="3"/>
        <v>0.625</v>
      </c>
    </row>
    <row r="49" spans="1:25" s="28" customFormat="1" ht="61.5" customHeight="1" thickBot="1" x14ac:dyDescent="0.3">
      <c r="A49" s="287"/>
      <c r="B49" s="240"/>
      <c r="C49" s="202" t="s">
        <v>265</v>
      </c>
      <c r="D49" s="195" t="s">
        <v>266</v>
      </c>
      <c r="E49" s="200"/>
      <c r="F49" s="198"/>
      <c r="G49" s="289" t="s">
        <v>96</v>
      </c>
      <c r="H49" s="290" t="s">
        <v>45</v>
      </c>
      <c r="I49" s="103"/>
      <c r="J49" s="103"/>
      <c r="K49" s="103"/>
      <c r="L49" s="103"/>
      <c r="M49" s="104"/>
      <c r="N49" s="104"/>
      <c r="O49" s="288"/>
      <c r="P49" s="175">
        <f>VLOOKUP(H49,Paramètres!$D$27:$E$29,2,FALSE)</f>
        <v>0.125</v>
      </c>
      <c r="Q49" s="176">
        <f>VLOOKUP(H49,Paramètres!$D$30:$E$32,2,FALSE)</f>
        <v>0.5</v>
      </c>
      <c r="R49" s="177">
        <f t="shared" si="0"/>
        <v>0.125</v>
      </c>
      <c r="S49" s="178">
        <f t="shared" si="1"/>
        <v>0.5</v>
      </c>
      <c r="T49" s="178">
        <f>J49*Paramètres!$E$33+K49*Paramètres!$E$34+L49*Paramètres!$E$35</f>
        <v>0</v>
      </c>
      <c r="U49" s="178">
        <f>IF(TYPE_APPLI=Paramètres!$O$3,I49*Paramètres!$E$36+TFC!J49*Paramètres!$E$37+K49*Paramètres!$E$38+L49*Paramètres!$E$39,TFC!I49*Paramètres!$E$40+J49*Paramètres!$E$41+K49*Paramètres!$E$42+L49*Paramètres!$E$43)</f>
        <v>0</v>
      </c>
      <c r="V49" s="192">
        <f>N49*Paramètres!$E$44</f>
        <v>0</v>
      </c>
      <c r="W49" s="178">
        <f>M49*Paramètres!$E$45/2+N49*Paramètres!$E$45</f>
        <v>0</v>
      </c>
      <c r="X49" s="177">
        <f t="shared" si="2"/>
        <v>0.5</v>
      </c>
      <c r="Y49" s="179">
        <f t="shared" si="3"/>
        <v>0.625</v>
      </c>
    </row>
    <row r="50" spans="1:25" s="28" customFormat="1" ht="61.5" customHeight="1" thickBot="1" x14ac:dyDescent="0.3">
      <c r="A50" s="287"/>
      <c r="B50" s="240"/>
      <c r="C50" s="202" t="s">
        <v>267</v>
      </c>
      <c r="D50" s="195" t="s">
        <v>268</v>
      </c>
      <c r="E50" s="200"/>
      <c r="F50" s="198"/>
      <c r="G50" s="193" t="s">
        <v>96</v>
      </c>
      <c r="H50" s="290" t="s">
        <v>45</v>
      </c>
      <c r="I50" s="103"/>
      <c r="J50" s="103"/>
      <c r="K50" s="103"/>
      <c r="L50" s="103"/>
      <c r="M50" s="104"/>
      <c r="N50" s="104"/>
      <c r="O50" s="288"/>
      <c r="P50" s="175">
        <f>VLOOKUP(H50,Paramètres!$D$27:$E$29,2,FALSE)</f>
        <v>0.125</v>
      </c>
      <c r="Q50" s="176">
        <f>VLOOKUP(H50,Paramètres!$D$30:$E$32,2,FALSE)</f>
        <v>0.5</v>
      </c>
      <c r="R50" s="177">
        <f t="shared" si="0"/>
        <v>0.125</v>
      </c>
      <c r="S50" s="178">
        <f t="shared" si="1"/>
        <v>0.5</v>
      </c>
      <c r="T50" s="178">
        <f>J50*Paramètres!$E$33+K50*Paramètres!$E$34+L50*Paramètres!$E$35</f>
        <v>0</v>
      </c>
      <c r="U50" s="178">
        <f>IF(TYPE_APPLI=Paramètres!$O$3,I50*Paramètres!$E$36+TFC!J50*Paramètres!$E$37+K50*Paramètres!$E$38+L50*Paramètres!$E$39,TFC!I50*Paramètres!$E$40+J50*Paramètres!$E$41+K50*Paramètres!$E$42+L50*Paramètres!$E$43)</f>
        <v>0</v>
      </c>
      <c r="V50" s="192">
        <f>N50*Paramètres!$E$44</f>
        <v>0</v>
      </c>
      <c r="W50" s="178">
        <f>M50*Paramètres!$E$45/2+N50*Paramètres!$E$45</f>
        <v>0</v>
      </c>
      <c r="X50" s="177">
        <f t="shared" si="2"/>
        <v>0.5</v>
      </c>
      <c r="Y50" s="179">
        <f t="shared" si="3"/>
        <v>0.625</v>
      </c>
    </row>
    <row r="51" spans="1:25" s="28" customFormat="1" ht="61.5" customHeight="1" thickBot="1" x14ac:dyDescent="0.3">
      <c r="A51" s="287"/>
      <c r="B51" s="240"/>
      <c r="C51" s="202" t="s">
        <v>269</v>
      </c>
      <c r="D51" s="195" t="s">
        <v>270</v>
      </c>
      <c r="E51" s="200"/>
      <c r="F51" s="198"/>
      <c r="G51" s="289" t="s">
        <v>96</v>
      </c>
      <c r="H51" s="290" t="s">
        <v>45</v>
      </c>
      <c r="I51" s="103"/>
      <c r="J51" s="103"/>
      <c r="K51" s="103"/>
      <c r="L51" s="103"/>
      <c r="M51" s="104"/>
      <c r="N51" s="104"/>
      <c r="O51" s="288"/>
      <c r="P51" s="175">
        <f>VLOOKUP(H51,Paramètres!$D$27:$E$29,2,FALSE)</f>
        <v>0.125</v>
      </c>
      <c r="Q51" s="176">
        <f>VLOOKUP(H51,Paramètres!$D$30:$E$32,2,FALSE)</f>
        <v>0.5</v>
      </c>
      <c r="R51" s="177">
        <f t="shared" si="0"/>
        <v>0.125</v>
      </c>
      <c r="S51" s="178">
        <f t="shared" si="1"/>
        <v>0.5</v>
      </c>
      <c r="T51" s="178">
        <f>J51*Paramètres!$E$33+K51*Paramètres!$E$34+L51*Paramètres!$E$35</f>
        <v>0</v>
      </c>
      <c r="U51" s="178">
        <f>IF(TYPE_APPLI=Paramètres!$O$3,I51*Paramètres!$E$36+TFC!J51*Paramètres!$E$37+K51*Paramètres!$E$38+L51*Paramètres!$E$39,TFC!I51*Paramètres!$E$40+J51*Paramètres!$E$41+K51*Paramètres!$E$42+L51*Paramètres!$E$43)</f>
        <v>0</v>
      </c>
      <c r="V51" s="192">
        <f>N51*Paramètres!$E$44</f>
        <v>0</v>
      </c>
      <c r="W51" s="178">
        <f>M51*Paramètres!$E$45/2+N51*Paramètres!$E$45</f>
        <v>0</v>
      </c>
      <c r="X51" s="177">
        <f t="shared" si="2"/>
        <v>0.5</v>
      </c>
      <c r="Y51" s="179">
        <f t="shared" si="3"/>
        <v>0.625</v>
      </c>
    </row>
    <row r="52" spans="1:25" s="28" customFormat="1" ht="61.5" customHeight="1" thickBot="1" x14ac:dyDescent="0.3">
      <c r="A52" s="287"/>
      <c r="B52" s="241"/>
      <c r="C52" s="202" t="s">
        <v>271</v>
      </c>
      <c r="D52" s="195" t="s">
        <v>272</v>
      </c>
      <c r="E52" s="200"/>
      <c r="F52" s="198"/>
      <c r="G52" s="193" t="s">
        <v>96</v>
      </c>
      <c r="H52" s="290" t="s">
        <v>45</v>
      </c>
      <c r="I52" s="103"/>
      <c r="J52" s="103"/>
      <c r="K52" s="103"/>
      <c r="L52" s="103"/>
      <c r="M52" s="104"/>
      <c r="N52" s="104"/>
      <c r="O52" s="288"/>
      <c r="P52" s="175">
        <f>VLOOKUP(H52,Paramètres!$D$27:$E$29,2,FALSE)</f>
        <v>0.125</v>
      </c>
      <c r="Q52" s="176">
        <f>VLOOKUP(H52,Paramètres!$D$30:$E$32,2,FALSE)</f>
        <v>0.5</v>
      </c>
      <c r="R52" s="177">
        <f t="shared" si="0"/>
        <v>0.125</v>
      </c>
      <c r="S52" s="178">
        <f t="shared" si="1"/>
        <v>0.5</v>
      </c>
      <c r="T52" s="178">
        <f>J52*Paramètres!$E$33+K52*Paramètres!$E$34+L52*Paramètres!$E$35</f>
        <v>0</v>
      </c>
      <c r="U52" s="178">
        <f>IF(TYPE_APPLI=Paramètres!$O$3,I52*Paramètres!$E$36+TFC!J52*Paramètres!$E$37+K52*Paramètres!$E$38+L52*Paramètres!$E$39,TFC!I52*Paramètres!$E$40+J52*Paramètres!$E$41+K52*Paramètres!$E$42+L52*Paramètres!$E$43)</f>
        <v>0</v>
      </c>
      <c r="V52" s="192">
        <f>N52*Paramètres!$E$44</f>
        <v>0</v>
      </c>
      <c r="W52" s="178">
        <f>M52*Paramètres!$E$45/2+N52*Paramètres!$E$45</f>
        <v>0</v>
      </c>
      <c r="X52" s="177">
        <f t="shared" si="2"/>
        <v>0.5</v>
      </c>
      <c r="Y52" s="179">
        <f t="shared" si="3"/>
        <v>0.625</v>
      </c>
    </row>
    <row r="53" spans="1:25" s="28" customFormat="1" ht="61.5" customHeight="1" thickBot="1" x14ac:dyDescent="0.3">
      <c r="A53" s="287"/>
      <c r="B53" s="239" t="s">
        <v>273</v>
      </c>
      <c r="C53" s="202" t="s">
        <v>274</v>
      </c>
      <c r="D53" s="291" t="s">
        <v>275</v>
      </c>
      <c r="E53" s="200"/>
      <c r="F53" s="198"/>
      <c r="G53" s="289" t="s">
        <v>96</v>
      </c>
      <c r="H53" s="290" t="s">
        <v>45</v>
      </c>
      <c r="I53" s="103"/>
      <c r="J53" s="103"/>
      <c r="K53" s="103"/>
      <c r="L53" s="103"/>
      <c r="M53" s="104"/>
      <c r="N53" s="104"/>
      <c r="O53" s="288"/>
      <c r="P53" s="175">
        <f>VLOOKUP(H53,Paramètres!$D$27:$E$29,2,FALSE)</f>
        <v>0.125</v>
      </c>
      <c r="Q53" s="176">
        <f>VLOOKUP(H53,Paramètres!$D$30:$E$32,2,FALSE)</f>
        <v>0.5</v>
      </c>
      <c r="R53" s="177">
        <f t="shared" si="0"/>
        <v>0.125</v>
      </c>
      <c r="S53" s="178">
        <f t="shared" si="1"/>
        <v>0.5</v>
      </c>
      <c r="T53" s="178">
        <f>J53*Paramètres!$E$33+K53*Paramètres!$E$34+L53*Paramètres!$E$35</f>
        <v>0</v>
      </c>
      <c r="U53" s="178">
        <f>IF(TYPE_APPLI=Paramètres!$O$3,I53*Paramètres!$E$36+TFC!J53*Paramètres!$E$37+K53*Paramètres!$E$38+L53*Paramètres!$E$39,TFC!I53*Paramètres!$E$40+J53*Paramètres!$E$41+K53*Paramètres!$E$42+L53*Paramètres!$E$43)</f>
        <v>0</v>
      </c>
      <c r="V53" s="192">
        <f>N53*Paramètres!$E$44</f>
        <v>0</v>
      </c>
      <c r="W53" s="178">
        <f>M53*Paramètres!$E$45/2+N53*Paramètres!$E$45</f>
        <v>0</v>
      </c>
      <c r="X53" s="177">
        <f t="shared" si="2"/>
        <v>0.5</v>
      </c>
      <c r="Y53" s="179">
        <f t="shared" si="3"/>
        <v>0.625</v>
      </c>
    </row>
    <row r="54" spans="1:25" s="28" customFormat="1" ht="61.5" customHeight="1" thickBot="1" x14ac:dyDescent="0.3">
      <c r="A54" s="287"/>
      <c r="B54" s="241"/>
      <c r="C54" s="202" t="s">
        <v>276</v>
      </c>
      <c r="D54" s="195" t="s">
        <v>277</v>
      </c>
      <c r="E54" s="200"/>
      <c r="F54" s="198"/>
      <c r="G54" s="193" t="s">
        <v>96</v>
      </c>
      <c r="H54" s="290" t="s">
        <v>45</v>
      </c>
      <c r="I54" s="103"/>
      <c r="J54" s="103"/>
      <c r="K54" s="103"/>
      <c r="L54" s="103"/>
      <c r="M54" s="104"/>
      <c r="N54" s="104"/>
      <c r="O54" s="288"/>
      <c r="P54" s="175">
        <f>VLOOKUP(H54,Paramètres!$D$27:$E$29,2,FALSE)</f>
        <v>0.125</v>
      </c>
      <c r="Q54" s="176">
        <f>VLOOKUP(H54,Paramètres!$D$30:$E$32,2,FALSE)</f>
        <v>0.5</v>
      </c>
      <c r="R54" s="177">
        <f t="shared" si="0"/>
        <v>0.125</v>
      </c>
      <c r="S54" s="178">
        <f t="shared" si="1"/>
        <v>0.5</v>
      </c>
      <c r="T54" s="178">
        <f>J54*Paramètres!$E$33+K54*Paramètres!$E$34+L54*Paramètres!$E$35</f>
        <v>0</v>
      </c>
      <c r="U54" s="178">
        <f>IF(TYPE_APPLI=Paramètres!$O$3,I54*Paramètres!$E$36+TFC!J54*Paramètres!$E$37+K54*Paramètres!$E$38+L54*Paramètres!$E$39,TFC!I54*Paramètres!$E$40+J54*Paramètres!$E$41+K54*Paramètres!$E$42+L54*Paramètres!$E$43)</f>
        <v>0</v>
      </c>
      <c r="V54" s="192">
        <f>N54*Paramètres!$E$44</f>
        <v>0</v>
      </c>
      <c r="W54" s="178">
        <f>M54*Paramètres!$E$45/2+N54*Paramètres!$E$45</f>
        <v>0</v>
      </c>
      <c r="X54" s="177">
        <f t="shared" si="2"/>
        <v>0.5</v>
      </c>
      <c r="Y54" s="179">
        <f t="shared" si="3"/>
        <v>0.625</v>
      </c>
    </row>
    <row r="55" spans="1:25" s="28" customFormat="1" ht="61.5" customHeight="1" thickBot="1" x14ac:dyDescent="0.3">
      <c r="A55" s="287"/>
      <c r="B55" s="239" t="s">
        <v>278</v>
      </c>
      <c r="C55" s="202" t="s">
        <v>279</v>
      </c>
      <c r="D55" s="291" t="s">
        <v>280</v>
      </c>
      <c r="E55" s="200"/>
      <c r="F55" s="198"/>
      <c r="G55" s="289" t="s">
        <v>96</v>
      </c>
      <c r="H55" s="290" t="s">
        <v>45</v>
      </c>
      <c r="I55" s="103"/>
      <c r="J55" s="103"/>
      <c r="K55" s="103"/>
      <c r="L55" s="103"/>
      <c r="M55" s="104"/>
      <c r="N55" s="104"/>
      <c r="O55" s="288"/>
      <c r="P55" s="175">
        <f>VLOOKUP(H55,Paramètres!$D$27:$E$29,2,FALSE)</f>
        <v>0.125</v>
      </c>
      <c r="Q55" s="176">
        <f>VLOOKUP(H55,Paramètres!$D$30:$E$32,2,FALSE)</f>
        <v>0.5</v>
      </c>
      <c r="R55" s="177">
        <f t="shared" si="0"/>
        <v>0.125</v>
      </c>
      <c r="S55" s="178">
        <f t="shared" si="1"/>
        <v>0.5</v>
      </c>
      <c r="T55" s="178">
        <f>J55*Paramètres!$E$33+K55*Paramètres!$E$34+L55*Paramètres!$E$35</f>
        <v>0</v>
      </c>
      <c r="U55" s="178">
        <f>IF(TYPE_APPLI=Paramètres!$O$3,I55*Paramètres!$E$36+TFC!J55*Paramètres!$E$37+K55*Paramètres!$E$38+L55*Paramètres!$E$39,TFC!I55*Paramètres!$E$40+J55*Paramètres!$E$41+K55*Paramètres!$E$42+L55*Paramètres!$E$43)</f>
        <v>0</v>
      </c>
      <c r="V55" s="192">
        <f>N55*Paramètres!$E$44</f>
        <v>0</v>
      </c>
      <c r="W55" s="178">
        <f>M55*Paramètres!$E$45/2+N55*Paramètres!$E$45</f>
        <v>0</v>
      </c>
      <c r="X55" s="177">
        <f t="shared" si="2"/>
        <v>0.5</v>
      </c>
      <c r="Y55" s="179">
        <f t="shared" si="3"/>
        <v>0.625</v>
      </c>
    </row>
    <row r="56" spans="1:25" s="28" customFormat="1" ht="61.5" customHeight="1" thickBot="1" x14ac:dyDescent="0.3">
      <c r="A56" s="287"/>
      <c r="B56" s="240"/>
      <c r="C56" s="202" t="s">
        <v>281</v>
      </c>
      <c r="D56" s="195" t="s">
        <v>282</v>
      </c>
      <c r="E56" s="200"/>
      <c r="F56" s="198"/>
      <c r="G56" s="193" t="s">
        <v>96</v>
      </c>
      <c r="H56" s="290" t="s">
        <v>45</v>
      </c>
      <c r="I56" s="103"/>
      <c r="J56" s="103"/>
      <c r="K56" s="103"/>
      <c r="L56" s="103"/>
      <c r="M56" s="104"/>
      <c r="N56" s="104"/>
      <c r="O56" s="288"/>
      <c r="P56" s="175">
        <f>VLOOKUP(H56,Paramètres!$D$27:$E$29,2,FALSE)</f>
        <v>0.125</v>
      </c>
      <c r="Q56" s="176">
        <f>VLOOKUP(H56,Paramètres!$D$30:$E$32,2,FALSE)</f>
        <v>0.5</v>
      </c>
      <c r="R56" s="177">
        <f t="shared" si="0"/>
        <v>0.125</v>
      </c>
      <c r="S56" s="178">
        <f t="shared" si="1"/>
        <v>0.5</v>
      </c>
      <c r="T56" s="178">
        <f>J56*Paramètres!$E$33+K56*Paramètres!$E$34+L56*Paramètres!$E$35</f>
        <v>0</v>
      </c>
      <c r="U56" s="178">
        <f>IF(TYPE_APPLI=Paramètres!$O$3,I56*Paramètres!$E$36+TFC!J56*Paramètres!$E$37+K56*Paramètres!$E$38+L56*Paramètres!$E$39,TFC!I56*Paramètres!$E$40+J56*Paramètres!$E$41+K56*Paramètres!$E$42+L56*Paramètres!$E$43)</f>
        <v>0</v>
      </c>
      <c r="V56" s="192">
        <f>N56*Paramètres!$E$44</f>
        <v>0</v>
      </c>
      <c r="W56" s="178">
        <f>M56*Paramètres!$E$45/2+N56*Paramètres!$E$45</f>
        <v>0</v>
      </c>
      <c r="X56" s="177">
        <f t="shared" si="2"/>
        <v>0.5</v>
      </c>
      <c r="Y56" s="179">
        <f t="shared" si="3"/>
        <v>0.625</v>
      </c>
    </row>
    <row r="57" spans="1:25" s="197" customFormat="1" ht="45.75" customHeight="1" thickBot="1" x14ac:dyDescent="0.3">
      <c r="B57" s="240"/>
      <c r="C57" s="202" t="s">
        <v>283</v>
      </c>
      <c r="D57" s="195" t="s">
        <v>284</v>
      </c>
      <c r="E57" s="185"/>
      <c r="F57" s="185"/>
      <c r="G57" s="289" t="s">
        <v>96</v>
      </c>
      <c r="H57" s="290" t="s">
        <v>45</v>
      </c>
      <c r="I57" s="103"/>
      <c r="J57" s="103"/>
      <c r="K57" s="103"/>
      <c r="L57" s="103"/>
      <c r="M57" s="104"/>
      <c r="N57" s="104"/>
      <c r="O57" s="137"/>
      <c r="P57" s="175">
        <f>VLOOKUP(H57,Paramètres!$D$27:$E$29,2,FALSE)</f>
        <v>0.125</v>
      </c>
      <c r="Q57" s="176">
        <f>VLOOKUP(H57,Paramètres!$D$30:$E$32,2,FALSE)</f>
        <v>0.5</v>
      </c>
      <c r="R57" s="177">
        <f t="shared" si="0"/>
        <v>0.125</v>
      </c>
      <c r="S57" s="178">
        <f t="shared" si="1"/>
        <v>0.5</v>
      </c>
      <c r="T57" s="178">
        <f>J57*Paramètres!$E$33+K57*Paramètres!$E$34+L57*Paramètres!$E$35</f>
        <v>0</v>
      </c>
      <c r="U57" s="178">
        <f>IF(TYPE_APPLI=Paramètres!$O$3,I57*Paramètres!$E$36+TFC!J57*Paramètres!$E$37+K57*Paramètres!$E$38+L57*Paramètres!$E$39,TFC!I57*Paramètres!$E$40+J57*Paramètres!$E$41+K57*Paramètres!$E$42+L57*Paramètres!$E$43)</f>
        <v>0</v>
      </c>
      <c r="V57" s="192">
        <f>N57*Paramètres!$E$44</f>
        <v>0</v>
      </c>
      <c r="W57" s="178">
        <f>M57*Paramètres!$E$45/2+N57*Paramètres!$E$45</f>
        <v>0</v>
      </c>
      <c r="X57" s="177">
        <f t="shared" si="2"/>
        <v>0.5</v>
      </c>
      <c r="Y57" s="179">
        <f t="shared" si="3"/>
        <v>0.625</v>
      </c>
    </row>
    <row r="58" spans="1:25" s="197" customFormat="1" ht="45.75" customHeight="1" x14ac:dyDescent="0.25">
      <c r="B58" s="241"/>
      <c r="C58" s="202" t="s">
        <v>285</v>
      </c>
      <c r="D58" s="195" t="s">
        <v>286</v>
      </c>
      <c r="E58" s="185"/>
      <c r="F58" s="185"/>
      <c r="G58" s="193" t="s">
        <v>96</v>
      </c>
      <c r="H58" s="290" t="s">
        <v>45</v>
      </c>
      <c r="I58" s="103"/>
      <c r="J58" s="103"/>
      <c r="K58" s="103"/>
      <c r="L58" s="103"/>
      <c r="M58" s="104"/>
      <c r="N58" s="104"/>
      <c r="O58" s="137"/>
      <c r="P58" s="175">
        <f>VLOOKUP(H58,Paramètres!$D$27:$E$29,2,FALSE)</f>
        <v>0.125</v>
      </c>
      <c r="Q58" s="176">
        <f>VLOOKUP(H58,Paramètres!$D$30:$E$32,2,FALSE)</f>
        <v>0.5</v>
      </c>
      <c r="R58" s="177">
        <f t="shared" si="0"/>
        <v>0.125</v>
      </c>
      <c r="S58" s="178">
        <f t="shared" si="1"/>
        <v>0.5</v>
      </c>
      <c r="T58" s="178">
        <f>J58*Paramètres!$E$33+K58*Paramètres!$E$34+L58*Paramètres!$E$35</f>
        <v>0</v>
      </c>
      <c r="U58" s="178">
        <f>IF(TYPE_APPLI=Paramètres!$O$3,I58*Paramètres!$E$36+TFC!J58*Paramètres!$E$37+K58*Paramètres!$E$38+L58*Paramètres!$E$39,TFC!I58*Paramètres!$E$40+J58*Paramètres!$E$41+K58*Paramètres!$E$42+L58*Paramètres!$E$43)</f>
        <v>0</v>
      </c>
      <c r="V58" s="192">
        <f>N58*Paramètres!$E$44</f>
        <v>0</v>
      </c>
      <c r="W58" s="178">
        <f>M58*Paramètres!$E$45/2+N58*Paramètres!$E$45</f>
        <v>0</v>
      </c>
      <c r="X58" s="177">
        <f t="shared" si="2"/>
        <v>0.5</v>
      </c>
      <c r="Y58" s="179">
        <f t="shared" si="3"/>
        <v>0.625</v>
      </c>
    </row>
    <row r="59" spans="1:25" ht="19.5" thickBot="1" x14ac:dyDescent="0.3">
      <c r="E59" s="201"/>
      <c r="I59" s="118">
        <f>SUM(I6:I58)</f>
        <v>0</v>
      </c>
      <c r="J59" s="119">
        <f>SUM(J6:J58)</f>
        <v>0</v>
      </c>
      <c r="K59" s="119">
        <f>SUM(K6:K58)</f>
        <v>0</v>
      </c>
      <c r="L59" s="119">
        <f>SUM(L6:L58)</f>
        <v>0</v>
      </c>
      <c r="M59" s="119">
        <f>SUM(M6:M58)</f>
        <v>0</v>
      </c>
      <c r="N59" s="136">
        <f>SUM(N6:N58)</f>
        <v>0</v>
      </c>
      <c r="R59" s="118">
        <f>SUM(R6:R58)</f>
        <v>7</v>
      </c>
      <c r="S59" s="119">
        <f>SUM(S6:S58)</f>
        <v>27</v>
      </c>
      <c r="T59" s="119">
        <f>SUM(T6:T58)</f>
        <v>0</v>
      </c>
      <c r="U59" s="119">
        <f>SUM(U6:U58)</f>
        <v>0</v>
      </c>
      <c r="V59" s="119">
        <f>SUM(V6:V58)</f>
        <v>0</v>
      </c>
      <c r="W59" s="119">
        <f>SUM(W6:W58)</f>
        <v>0</v>
      </c>
      <c r="X59" s="119">
        <f>SUM(X6:X58)</f>
        <v>27</v>
      </c>
      <c r="Y59" s="134">
        <f>SUM(Y6:Y58)</f>
        <v>34</v>
      </c>
    </row>
    <row r="60" spans="1:25" x14ac:dyDescent="0.25">
      <c r="D60" s="243"/>
      <c r="E60" s="244"/>
      <c r="F60" s="244"/>
      <c r="G60" s="244"/>
      <c r="H60" s="244"/>
    </row>
    <row r="61" spans="1:25" x14ac:dyDescent="0.25">
      <c r="D61" s="244"/>
      <c r="E61" s="244"/>
      <c r="F61" s="244"/>
      <c r="G61" s="244"/>
      <c r="H61" s="244"/>
    </row>
    <row r="62" spans="1:25" ht="15.75" thickBot="1" x14ac:dyDescent="0.3">
      <c r="A62" s="15" t="s">
        <v>70</v>
      </c>
    </row>
    <row r="63" spans="1:25" ht="232.5" thickBot="1" x14ac:dyDescent="0.3">
      <c r="A63" s="100" t="s">
        <v>107</v>
      </c>
      <c r="B63" s="242" t="s">
        <v>172</v>
      </c>
      <c r="C63" s="242"/>
      <c r="D63" s="242"/>
      <c r="E63" s="242"/>
      <c r="F63" s="242"/>
      <c r="G63" s="242"/>
      <c r="H63" s="242"/>
      <c r="I63" s="24"/>
      <c r="J63" s="24"/>
      <c r="K63" s="24"/>
      <c r="L63" s="24"/>
      <c r="M63" s="24"/>
      <c r="N63" s="24"/>
      <c r="O63" s="24"/>
      <c r="P63" s="24"/>
      <c r="Q63" s="120" t="s">
        <v>106</v>
      </c>
      <c r="R63" s="121" t="s">
        <v>83</v>
      </c>
      <c r="S63" s="122" t="s">
        <v>84</v>
      </c>
      <c r="T63" s="123" t="s">
        <v>85</v>
      </c>
      <c r="U63" s="122" t="s">
        <v>86</v>
      </c>
      <c r="V63" s="123" t="s">
        <v>87</v>
      </c>
      <c r="W63" s="122" t="s">
        <v>100</v>
      </c>
      <c r="X63" s="121" t="s">
        <v>88</v>
      </c>
      <c r="Y63" s="124" t="s">
        <v>89</v>
      </c>
    </row>
    <row r="64" spans="1:25" ht="18.75" x14ac:dyDescent="0.25">
      <c r="Q64" s="125" t="s">
        <v>96</v>
      </c>
      <c r="R64" s="128">
        <f>SUMIF($G$6:$G$58,$Q64,R$6:R$58)</f>
        <v>7</v>
      </c>
      <c r="S64" s="94">
        <f>SUMIF($G$6:$G$58,$Q64,S$6:S$58)</f>
        <v>27</v>
      </c>
      <c r="T64" s="94">
        <f>SUMIF($G$6:$G$58,$Q64,T$6:T$58)</f>
        <v>0</v>
      </c>
      <c r="U64" s="94">
        <f>SUMIF($G$6:$G$58,$Q64,U$6:U$58)</f>
        <v>0</v>
      </c>
      <c r="V64" s="94">
        <f>SUMIF($G$6:$G$58,$Q64,V$6:V$58)</f>
        <v>0</v>
      </c>
      <c r="W64" s="94">
        <f>SUMIF($G$6:$G$58,$Q64,W$6:W$58)</f>
        <v>0</v>
      </c>
      <c r="X64" s="128">
        <f>SUMIF($G$6:$G$58,$Q64,X$6:X$58)</f>
        <v>27</v>
      </c>
      <c r="Y64" s="131">
        <f>SUMIF($G$6:$G$58,$Q64,Y$6:Y$58)</f>
        <v>34</v>
      </c>
    </row>
    <row r="65" spans="6:25" ht="18.75" x14ac:dyDescent="0.25">
      <c r="Q65" s="126" t="s">
        <v>97</v>
      </c>
      <c r="R65" s="129">
        <f>SUMIF($G$6:$G$58,$Q65,R$6:R$58)</f>
        <v>0</v>
      </c>
      <c r="S65" s="92">
        <f>SUMIF($G$6:$G$58,$Q65,S$6:S$58)</f>
        <v>0</v>
      </c>
      <c r="T65" s="92">
        <f>SUMIF($G$6:$G$58,$Q65,T$6:T$58)</f>
        <v>0</v>
      </c>
      <c r="U65" s="92">
        <f>SUMIF($G$6:$G$58,$Q65,U$6:U$58)</f>
        <v>0</v>
      </c>
      <c r="V65" s="92">
        <f>SUMIF($G$6:$G$58,$Q65,V$6:V$58)</f>
        <v>0</v>
      </c>
      <c r="W65" s="92">
        <f>SUMIF($G$6:$G$58,$Q65,W$6:W$58)</f>
        <v>0</v>
      </c>
      <c r="X65" s="129">
        <f>SUMIF($G$6:$G$58,$Q65,X$6:X$58)</f>
        <v>0</v>
      </c>
      <c r="Y65" s="132">
        <f>SUMIF($G$6:$G$58,$Q65,Y$6:Y$58)</f>
        <v>0</v>
      </c>
    </row>
    <row r="66" spans="6:25" ht="18.75" x14ac:dyDescent="0.25">
      <c r="F66" s="181"/>
      <c r="Q66" s="126" t="s">
        <v>98</v>
      </c>
      <c r="R66" s="129">
        <f>SUMIF($G$6:$G$58,$Q66,R$6:R$58)</f>
        <v>0</v>
      </c>
      <c r="S66" s="92">
        <f>SUMIF($G$6:$G$58,$Q66,S$6:S$58)</f>
        <v>0</v>
      </c>
      <c r="T66" s="92">
        <f>SUMIF($G$6:$G$58,$Q66,T$6:T$58)</f>
        <v>0</v>
      </c>
      <c r="U66" s="92">
        <f>SUMIF($G$6:$G$58,$Q66,U$6:U$58)</f>
        <v>0</v>
      </c>
      <c r="V66" s="92">
        <f>SUMIF($G$6:$G$58,$Q66,V$6:V$58)</f>
        <v>0</v>
      </c>
      <c r="W66" s="92">
        <f>SUMIF($G$6:$G$58,$Q66,W$6:W$58)</f>
        <v>0</v>
      </c>
      <c r="X66" s="129">
        <f>SUMIF($G$6:$G$58,$Q66,X$6:X$58)</f>
        <v>0</v>
      </c>
      <c r="Y66" s="132">
        <f>SUMIF($G$6:$G$58,$Q66,Y$6:Y$58)</f>
        <v>0</v>
      </c>
    </row>
    <row r="67" spans="6:25" ht="18.75" x14ac:dyDescent="0.25">
      <c r="Q67" s="126" t="s">
        <v>103</v>
      </c>
      <c r="R67" s="129">
        <f>SUMIF($G$6:$G$58,$Q67,R$6:R$58)</f>
        <v>0</v>
      </c>
      <c r="S67" s="92">
        <f>SUMIF($G$6:$G$58,$Q67,S$6:S$58)</f>
        <v>0</v>
      </c>
      <c r="T67" s="92">
        <f>SUMIF($G$6:$G$58,$Q67,T$6:T$58)</f>
        <v>0</v>
      </c>
      <c r="U67" s="92">
        <f>SUMIF($G$6:$G$58,$Q67,U$6:U$58)</f>
        <v>0</v>
      </c>
      <c r="V67" s="92">
        <f>SUMIF($G$6:$G$58,$Q67,V$6:V$58)</f>
        <v>0</v>
      </c>
      <c r="W67" s="92">
        <f>SUMIF($G$6:$G$58,$Q67,W$6:W$58)</f>
        <v>0</v>
      </c>
      <c r="X67" s="129">
        <f>SUMIF($G$6:$G$58,$Q67,X$6:X$58)</f>
        <v>0</v>
      </c>
      <c r="Y67" s="132">
        <f>SUMIF($G$6:$G$58,$Q67,Y$6:Y$58)</f>
        <v>0</v>
      </c>
    </row>
    <row r="68" spans="6:25" ht="18.75" x14ac:dyDescent="0.25">
      <c r="Q68" s="126" t="s">
        <v>104</v>
      </c>
      <c r="R68" s="129">
        <f>SUMIF($G$6:$G$58,$Q68,R$6:R$58)</f>
        <v>0</v>
      </c>
      <c r="S68" s="92">
        <f>SUMIF($G$6:$G$58,$Q68,S$6:S$58)</f>
        <v>0</v>
      </c>
      <c r="T68" s="92">
        <f>SUMIF($G$6:$G$58,$Q68,T$6:T$58)</f>
        <v>0</v>
      </c>
      <c r="U68" s="92">
        <f>SUMIF($G$6:$G$58,$Q68,U$6:U$58)</f>
        <v>0</v>
      </c>
      <c r="V68" s="92">
        <f>SUMIF($G$6:$G$58,$Q68,V$6:V$58)</f>
        <v>0</v>
      </c>
      <c r="W68" s="92">
        <f>SUMIF($G$6:$G$58,$Q68,W$6:W$58)</f>
        <v>0</v>
      </c>
      <c r="X68" s="129">
        <f>SUMIF($G$6:$G$58,$Q68,X$6:X$58)</f>
        <v>0</v>
      </c>
      <c r="Y68" s="132">
        <f>SUMIF($G$6:$G$58,$Q68,Y$6:Y$58)</f>
        <v>0</v>
      </c>
    </row>
    <row r="69" spans="6:25" ht="19.5" thickBot="1" x14ac:dyDescent="0.3">
      <c r="Q69" s="127" t="s">
        <v>105</v>
      </c>
      <c r="R69" s="130">
        <f>SUMIF($G$6:$G$58,$Q69,R$6:R$58)</f>
        <v>0</v>
      </c>
      <c r="S69" s="93">
        <f>SUMIF($G$6:$G$58,$Q69,S$6:S$58)</f>
        <v>0</v>
      </c>
      <c r="T69" s="93">
        <f>SUMIF($G$6:$G$58,$Q69,T$6:T$58)</f>
        <v>0</v>
      </c>
      <c r="U69" s="93">
        <f>SUMIF($G$6:$G$58,$Q69,U$6:U$58)</f>
        <v>0</v>
      </c>
      <c r="V69" s="93">
        <f>SUMIF($G$6:$G$58,$Q69,V$6:V$58)</f>
        <v>0</v>
      </c>
      <c r="W69" s="93">
        <f>SUMIF($G$6:$G$58,$Q69,W$6:W$58)</f>
        <v>0</v>
      </c>
      <c r="X69" s="130">
        <f>SUMIF($G$6:$G$58,$Q69,X$6:X$58)</f>
        <v>0</v>
      </c>
      <c r="Y69" s="133">
        <f>SUMIF($G$6:$G$58,$Q69,Y$6:Y$58)</f>
        <v>0</v>
      </c>
    </row>
    <row r="70" spans="6:25" ht="19.5" thickBot="1" x14ac:dyDescent="0.3">
      <c r="R70" s="118">
        <f>SUM(R64:R69)</f>
        <v>7</v>
      </c>
      <c r="S70" s="119">
        <f t="shared" ref="S70:Y70" si="4">SUM(S64:S69)</f>
        <v>27</v>
      </c>
      <c r="T70" s="119">
        <f t="shared" si="4"/>
        <v>0</v>
      </c>
      <c r="U70" s="119">
        <f t="shared" si="4"/>
        <v>0</v>
      </c>
      <c r="V70" s="119">
        <f t="shared" si="4"/>
        <v>0</v>
      </c>
      <c r="W70" s="119">
        <f t="shared" si="4"/>
        <v>0</v>
      </c>
      <c r="X70" s="119">
        <f t="shared" si="4"/>
        <v>27</v>
      </c>
      <c r="Y70" s="134">
        <f t="shared" si="4"/>
        <v>34</v>
      </c>
    </row>
  </sheetData>
  <sheetProtection selectLockedCells="1"/>
  <mergeCells count="11">
    <mergeCell ref="B14:B31"/>
    <mergeCell ref="B32:B38"/>
    <mergeCell ref="B39:B52"/>
    <mergeCell ref="B53:B54"/>
    <mergeCell ref="B7:B13"/>
    <mergeCell ref="B55:B58"/>
    <mergeCell ref="I4:L4"/>
    <mergeCell ref="P4:Y4"/>
    <mergeCell ref="M4:O4"/>
    <mergeCell ref="B63:H63"/>
    <mergeCell ref="D60:H61"/>
  </mergeCells>
  <dataValidations count="2">
    <dataValidation type="list" allowBlank="1" showInputMessage="1" showErrorMessage="1" sqref="H6:H58">
      <formula1>"AUCUNE,FACILE,MOYENNE,DIFFICILE"</formula1>
    </dataValidation>
    <dataValidation type="list" allowBlank="1" showInputMessage="1" showErrorMessage="1" sqref="G6:G58">
      <formula1>"0.1,0.2,0.3,0.4,0.5,0.6"</formula1>
    </dataValidation>
  </dataValidations>
  <pageMargins left="0.25" right="0.25" top="0.75" bottom="0.75" header="0.3" footer="0.3"/>
  <pageSetup paperSize="9" scale="34" fitToHeight="0"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pageSetUpPr fitToPage="1"/>
  </sheetPr>
  <dimension ref="A1:BG60"/>
  <sheetViews>
    <sheetView topLeftCell="A22" zoomScale="85" zoomScaleNormal="85" workbookViewId="0">
      <selection activeCell="R1" sqref="R1"/>
    </sheetView>
  </sheetViews>
  <sheetFormatPr baseColWidth="10" defaultColWidth="9.140625" defaultRowHeight="15" x14ac:dyDescent="0.25"/>
  <cols>
    <col min="1" max="1" width="50.7109375" style="30" customWidth="1"/>
    <col min="2" max="8" width="8.7109375" style="30" customWidth="1"/>
    <col min="9" max="9" width="18" style="30" customWidth="1"/>
    <col min="10" max="10" width="11.42578125" style="30" bestFit="1" customWidth="1"/>
    <col min="11" max="11" width="22.5703125" style="30" bestFit="1" customWidth="1"/>
    <col min="12" max="12" width="28.140625" style="30" bestFit="1" customWidth="1"/>
    <col min="13" max="13" width="22.5703125" style="30" bestFit="1" customWidth="1"/>
    <col min="14" max="15" width="10.7109375" style="30" customWidth="1"/>
    <col min="16" max="16" width="25.42578125" style="30" customWidth="1"/>
    <col min="17" max="17" width="13.28515625" style="30" customWidth="1"/>
    <col min="18" max="19" width="10.7109375" style="30" customWidth="1"/>
    <col min="20" max="20" width="13.140625" style="30" bestFit="1" customWidth="1"/>
    <col min="21" max="21" width="14.85546875" style="30" customWidth="1"/>
    <col min="22" max="16384" width="9.140625" style="30"/>
  </cols>
  <sheetData>
    <row r="1" spans="1:59" ht="30" customHeight="1" x14ac:dyDescent="0.45">
      <c r="A1" s="29"/>
      <c r="B1" s="29"/>
      <c r="C1" s="29"/>
      <c r="F1" s="31" t="s">
        <v>0</v>
      </c>
      <c r="G1" s="31" t="s">
        <v>0</v>
      </c>
      <c r="H1" s="29"/>
      <c r="I1" s="29"/>
      <c r="J1" s="32"/>
      <c r="K1" s="29"/>
      <c r="L1" s="29"/>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row>
    <row r="2" spans="1:59" ht="30" customHeight="1" x14ac:dyDescent="0.45">
      <c r="A2" s="29"/>
      <c r="B2" s="29"/>
      <c r="C2" s="29"/>
      <c r="F2" s="31" t="s">
        <v>49</v>
      </c>
      <c r="G2" s="31"/>
      <c r="H2" s="29"/>
      <c r="I2" s="29"/>
      <c r="J2" s="32"/>
      <c r="K2" s="29"/>
      <c r="L2" s="29"/>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row>
    <row r="3" spans="1:59" x14ac:dyDescent="0.25">
      <c r="A3" s="29"/>
      <c r="B3" s="29"/>
      <c r="C3" s="29"/>
      <c r="D3" s="34"/>
      <c r="E3" s="29"/>
      <c r="F3" s="29"/>
      <c r="G3" s="29"/>
      <c r="H3" s="29"/>
      <c r="I3" s="29"/>
      <c r="J3" s="34"/>
      <c r="K3" s="29"/>
      <c r="L3" s="29"/>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c r="BF3" s="35"/>
      <c r="BG3" s="35"/>
    </row>
    <row r="4" spans="1:59" ht="15" customHeight="1" x14ac:dyDescent="0.45">
      <c r="A4" s="29"/>
      <c r="I4" s="29"/>
      <c r="J4" s="32"/>
      <c r="K4" s="31"/>
      <c r="L4" s="32"/>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row>
    <row r="5" spans="1:59" s="36" customFormat="1" ht="34.5" customHeight="1" thickBot="1" x14ac:dyDescent="0.3">
      <c r="B5" s="256" t="s">
        <v>51</v>
      </c>
      <c r="C5" s="257"/>
      <c r="D5" s="257"/>
      <c r="E5" s="256" t="s">
        <v>52</v>
      </c>
      <c r="F5" s="257"/>
      <c r="G5" s="257"/>
      <c r="H5" s="257"/>
      <c r="I5" s="254" t="s">
        <v>94</v>
      </c>
      <c r="K5" s="37"/>
    </row>
    <row r="6" spans="1:59" s="36" customFormat="1" ht="116.25" customHeight="1" thickBot="1" x14ac:dyDescent="0.3">
      <c r="A6" s="38" t="s">
        <v>64</v>
      </c>
      <c r="B6" s="106" t="s">
        <v>45</v>
      </c>
      <c r="C6" s="106" t="s">
        <v>46</v>
      </c>
      <c r="D6" s="106" t="s">
        <v>50</v>
      </c>
      <c r="E6" s="106" t="s">
        <v>92</v>
      </c>
      <c r="F6" s="106" t="s">
        <v>45</v>
      </c>
      <c r="G6" s="106" t="s">
        <v>46</v>
      </c>
      <c r="H6" s="106" t="s">
        <v>50</v>
      </c>
      <c r="I6" s="255"/>
      <c r="J6" s="39" t="s">
        <v>54</v>
      </c>
      <c r="K6" s="40" t="s">
        <v>65</v>
      </c>
      <c r="L6" s="40" t="s">
        <v>53</v>
      </c>
      <c r="M6" s="40" t="s">
        <v>68</v>
      </c>
      <c r="N6" s="41" t="s">
        <v>69</v>
      </c>
    </row>
    <row r="7" spans="1:59" ht="35.1" customHeight="1" x14ac:dyDescent="0.25">
      <c r="A7" s="56" t="s">
        <v>74</v>
      </c>
      <c r="B7" s="258">
        <f>COUNTIF(TFC!$H$6:$H$58,B6)</f>
        <v>52</v>
      </c>
      <c r="C7" s="258">
        <f>COUNTIF(TFC!$H$6:$H$58,C6)</f>
        <v>1</v>
      </c>
      <c r="D7" s="258">
        <f>COUNTIF(TFC!$H$6:$H$58,D6)</f>
        <v>0</v>
      </c>
      <c r="E7" s="260"/>
      <c r="F7" s="260"/>
      <c r="G7" s="260"/>
      <c r="H7" s="260"/>
      <c r="I7" s="262"/>
      <c r="J7" s="42">
        <f>MROUND(TFC!$R$59,0.5)</f>
        <v>7</v>
      </c>
      <c r="K7" s="64"/>
      <c r="L7" s="65"/>
      <c r="M7" s="43">
        <v>1</v>
      </c>
      <c r="N7" s="63">
        <f>MROUND(J7/M7,0.5)</f>
        <v>7</v>
      </c>
    </row>
    <row r="8" spans="1:59" ht="35.1" customHeight="1" thickBot="1" x14ac:dyDescent="0.3">
      <c r="A8" s="58" t="s">
        <v>59</v>
      </c>
      <c r="B8" s="259"/>
      <c r="C8" s="259"/>
      <c r="D8" s="259"/>
      <c r="E8" s="261"/>
      <c r="F8" s="261"/>
      <c r="G8" s="261"/>
      <c r="H8" s="261"/>
      <c r="I8" s="263"/>
      <c r="J8" s="59">
        <f>MROUND(TFC!$S$59,0.5)</f>
        <v>27</v>
      </c>
      <c r="K8" s="66">
        <v>150000</v>
      </c>
      <c r="L8" s="67">
        <f t="shared" ref="L8:L12" si="0">J8*K8</f>
        <v>4050000</v>
      </c>
      <c r="M8" s="57">
        <v>1</v>
      </c>
      <c r="N8" s="62">
        <f>MROUND(J8/M8,0.5)</f>
        <v>27</v>
      </c>
    </row>
    <row r="9" spans="1:59" ht="35.1" customHeight="1" x14ac:dyDescent="0.25">
      <c r="A9" s="44" t="s">
        <v>56</v>
      </c>
      <c r="B9" s="47"/>
      <c r="C9" s="47"/>
      <c r="D9" s="47"/>
      <c r="E9" s="110"/>
      <c r="F9" s="258">
        <f>TFC!$J$59</f>
        <v>0</v>
      </c>
      <c r="G9" s="258">
        <f>TFC!$K$59</f>
        <v>0</v>
      </c>
      <c r="H9" s="258">
        <f>TFC!$L$59</f>
        <v>0</v>
      </c>
      <c r="I9" s="263"/>
      <c r="J9" s="48">
        <f>MROUND(TFC!$T$59,0.5)</f>
        <v>0</v>
      </c>
      <c r="K9" s="66">
        <v>200000</v>
      </c>
      <c r="L9" s="67">
        <f t="shared" si="0"/>
        <v>0</v>
      </c>
      <c r="M9" s="46">
        <v>1</v>
      </c>
      <c r="N9" s="60">
        <f t="shared" ref="N9:N12" si="1">MROUND(J9/M9,0.5)</f>
        <v>0</v>
      </c>
    </row>
    <row r="10" spans="1:59" ht="35.1" customHeight="1" x14ac:dyDescent="0.25">
      <c r="A10" s="44" t="s">
        <v>66</v>
      </c>
      <c r="B10" s="49"/>
      <c r="C10" s="49"/>
      <c r="D10" s="49"/>
      <c r="E10" s="102">
        <f>TFC!$I$59</f>
        <v>0</v>
      </c>
      <c r="F10" s="259"/>
      <c r="G10" s="259"/>
      <c r="H10" s="259"/>
      <c r="I10" s="264"/>
      <c r="J10" s="48">
        <f>MROUND(TFC!$U$59,0.5)</f>
        <v>0</v>
      </c>
      <c r="K10" s="66">
        <v>150000</v>
      </c>
      <c r="L10" s="67">
        <f t="shared" si="0"/>
        <v>0</v>
      </c>
      <c r="M10" s="46">
        <v>1</v>
      </c>
      <c r="N10" s="61">
        <f t="shared" si="1"/>
        <v>0</v>
      </c>
    </row>
    <row r="11" spans="1:59" ht="35.1" customHeight="1" x14ac:dyDescent="0.25">
      <c r="A11" s="44" t="s">
        <v>57</v>
      </c>
      <c r="B11" s="49"/>
      <c r="C11" s="49"/>
      <c r="D11" s="49"/>
      <c r="E11" s="47"/>
      <c r="F11" s="47"/>
      <c r="G11" s="47"/>
      <c r="H11" s="47"/>
      <c r="I11" s="111">
        <f>TFC!$N$59</f>
        <v>0</v>
      </c>
      <c r="J11" s="45">
        <f>MROUND(TFC!$V$59,0.5)</f>
        <v>0</v>
      </c>
      <c r="K11" s="66">
        <v>150000</v>
      </c>
      <c r="L11" s="67">
        <f t="shared" si="0"/>
        <v>0</v>
      </c>
      <c r="M11" s="46">
        <v>1</v>
      </c>
      <c r="N11" s="61">
        <f t="shared" si="1"/>
        <v>0</v>
      </c>
    </row>
    <row r="12" spans="1:59" ht="35.1" customHeight="1" thickBot="1" x14ac:dyDescent="0.3">
      <c r="A12" s="50" t="s">
        <v>95</v>
      </c>
      <c r="B12" s="51"/>
      <c r="C12" s="51"/>
      <c r="D12" s="51"/>
      <c r="E12" s="51"/>
      <c r="F12" s="51"/>
      <c r="G12" s="51"/>
      <c r="H12" s="49"/>
      <c r="I12" s="101">
        <f>TFC!$M$59+TFC!$N$59</f>
        <v>0</v>
      </c>
      <c r="J12" s="53">
        <f>MROUND(TFC!$W$59,0.5)</f>
        <v>0</v>
      </c>
      <c r="K12" s="85">
        <v>150000</v>
      </c>
      <c r="L12" s="86">
        <f t="shared" si="0"/>
        <v>0</v>
      </c>
      <c r="M12" s="87">
        <v>1</v>
      </c>
      <c r="N12" s="88">
        <f t="shared" si="1"/>
        <v>0</v>
      </c>
    </row>
    <row r="13" spans="1:59" ht="39.950000000000003" customHeight="1" thickBot="1" x14ac:dyDescent="0.3">
      <c r="H13" s="252" t="s">
        <v>99</v>
      </c>
      <c r="I13" s="253"/>
      <c r="J13" s="89">
        <f>SUM(J7:J12)</f>
        <v>34</v>
      </c>
      <c r="K13" s="90"/>
      <c r="L13" s="184">
        <f>SUM(L8:L12)</f>
        <v>4050000</v>
      </c>
      <c r="M13" s="90"/>
      <c r="N13" s="91">
        <f>SUM(N7:N12)</f>
        <v>34</v>
      </c>
    </row>
    <row r="14" spans="1:59" ht="15.75" thickBot="1" x14ac:dyDescent="0.3">
      <c r="J14" s="52"/>
    </row>
    <row r="15" spans="1:59" ht="35.1" customHeight="1" x14ac:dyDescent="0.25">
      <c r="H15" s="270" t="s">
        <v>159</v>
      </c>
      <c r="I15" s="271"/>
      <c r="J15" s="42">
        <f>MROUND($N$13*90%,0.5)</f>
        <v>30.5</v>
      </c>
      <c r="K15" s="148">
        <v>275000</v>
      </c>
      <c r="L15" s="68">
        <f t="shared" ref="L15:L18" si="2">J15*K15</f>
        <v>8387500</v>
      </c>
    </row>
    <row r="16" spans="1:59" ht="35.1" customHeight="1" x14ac:dyDescent="0.25">
      <c r="H16" s="276" t="s">
        <v>160</v>
      </c>
      <c r="I16" s="277"/>
      <c r="J16" s="147">
        <f>MROUND($N$13/5*0.5,0.5)</f>
        <v>3.5</v>
      </c>
      <c r="K16" s="66">
        <v>300000</v>
      </c>
      <c r="L16" s="69">
        <f t="shared" si="2"/>
        <v>1050000</v>
      </c>
    </row>
    <row r="17" spans="2:14" ht="35.1" customHeight="1" x14ac:dyDescent="0.25">
      <c r="H17" s="272" t="s">
        <v>101</v>
      </c>
      <c r="I17" s="273"/>
      <c r="J17" s="99">
        <f>MROUND($J$7/3,0.5)</f>
        <v>2.5</v>
      </c>
      <c r="K17" s="66">
        <v>200000</v>
      </c>
      <c r="L17" s="69">
        <f t="shared" si="2"/>
        <v>500000</v>
      </c>
    </row>
    <row r="18" spans="2:14" ht="35.1" customHeight="1" thickBot="1" x14ac:dyDescent="0.3">
      <c r="H18" s="272" t="s">
        <v>102</v>
      </c>
      <c r="I18" s="273"/>
      <c r="J18" s="99">
        <f>ROUNDUP($N$13/5,0)</f>
        <v>7</v>
      </c>
      <c r="K18" s="66">
        <v>275000</v>
      </c>
      <c r="L18" s="69">
        <f t="shared" si="2"/>
        <v>1925000</v>
      </c>
    </row>
    <row r="19" spans="2:14" ht="39.950000000000003" customHeight="1" thickBot="1" x14ac:dyDescent="0.3">
      <c r="H19" s="274" t="s">
        <v>67</v>
      </c>
      <c r="I19" s="275"/>
      <c r="J19" s="54">
        <f>J13+SUM(J15:J18)</f>
        <v>77.5</v>
      </c>
      <c r="K19" s="55"/>
      <c r="L19" s="183">
        <f>L13+SUM(L15:L18)</f>
        <v>15912500</v>
      </c>
    </row>
    <row r="20" spans="2:14" ht="30.75" customHeight="1" x14ac:dyDescent="0.25">
      <c r="H20" s="81"/>
      <c r="I20" s="81"/>
      <c r="J20" s="82"/>
      <c r="K20" s="83"/>
      <c r="L20" s="84"/>
    </row>
    <row r="21" spans="2:14" ht="15.75" thickBot="1" x14ac:dyDescent="0.3"/>
    <row r="22" spans="2:14" ht="30" customHeight="1" thickBot="1" x14ac:dyDescent="0.3">
      <c r="B22" s="267" t="s">
        <v>75</v>
      </c>
      <c r="C22" s="268"/>
      <c r="D22" s="268"/>
      <c r="E22" s="268"/>
      <c r="F22" s="268"/>
      <c r="G22" s="268"/>
      <c r="H22" s="268"/>
      <c r="I22" s="269"/>
      <c r="J22" s="117" t="s">
        <v>79</v>
      </c>
      <c r="K22" s="71" t="s">
        <v>65</v>
      </c>
      <c r="L22" s="72" t="s">
        <v>53</v>
      </c>
      <c r="N22" s="182"/>
    </row>
    <row r="23" spans="2:14" ht="30" customHeight="1" x14ac:dyDescent="0.25">
      <c r="B23" s="167">
        <v>1</v>
      </c>
      <c r="C23" s="283" t="str">
        <f>HLOOKUP(Paramètres!$D$11,Paramètres!$F$49:$S$81,($B23-1)*2+2,FALSE)</f>
        <v>Analyse du CDC ou de l’EDB réalisée en amont</v>
      </c>
      <c r="D23" s="284"/>
      <c r="E23" s="284"/>
      <c r="F23" s="284"/>
      <c r="G23" s="284"/>
      <c r="H23" s="284"/>
      <c r="I23" s="284"/>
      <c r="J23" s="73">
        <f>HLOOKUP(Paramètres!$D$11,Paramètres!$F$49:$S$81,($B23-1)*2+3,FALSE)</f>
        <v>1</v>
      </c>
      <c r="K23" s="76"/>
      <c r="L23" s="97">
        <f t="shared" ref="L23:L29" si="3">J23*K23</f>
        <v>0</v>
      </c>
    </row>
    <row r="24" spans="2:14" ht="30" customHeight="1" x14ac:dyDescent="0.25">
      <c r="B24" s="168">
        <v>2</v>
      </c>
      <c r="C24" s="265" t="str">
        <f>HLOOKUP(Paramètres!$D$11,Paramètres!$F$49:$S$81,($B24-1)*2+2,FALSE)</f>
        <v>Préparation et organisation du projet</v>
      </c>
      <c r="D24" s="266"/>
      <c r="E24" s="266"/>
      <c r="F24" s="266"/>
      <c r="G24" s="266"/>
      <c r="H24" s="266"/>
      <c r="I24" s="266"/>
      <c r="J24" s="74">
        <f>HLOOKUP(Paramètres!$D$11,Paramètres!$F$49:$S$81,($B24-1)*2+3,FALSE)</f>
        <v>3</v>
      </c>
      <c r="K24" s="77"/>
      <c r="L24" s="98">
        <f t="shared" si="3"/>
        <v>0</v>
      </c>
    </row>
    <row r="25" spans="2:14" ht="30" customHeight="1" x14ac:dyDescent="0.25">
      <c r="B25" s="169">
        <v>3</v>
      </c>
      <c r="C25" s="278" t="str">
        <f>HLOOKUP(Paramètres!$D$11,Paramètres!$F$49:$S$81,($B25-1)*2+2,FALSE)</f>
        <v>Réunion de démarrage avec le Client</v>
      </c>
      <c r="D25" s="279"/>
      <c r="E25" s="279"/>
      <c r="F25" s="279"/>
      <c r="G25" s="279"/>
      <c r="H25" s="279"/>
      <c r="I25" s="279"/>
      <c r="J25" s="75">
        <f>HLOOKUP(Paramètres!$D$11,Paramètres!$F$49:$S$81,($B25-1)*2+3,FALSE)</f>
        <v>1</v>
      </c>
      <c r="K25" s="78"/>
      <c r="L25" s="98">
        <f t="shared" si="3"/>
        <v>0</v>
      </c>
    </row>
    <row r="26" spans="2:14" ht="30" customHeight="1" x14ac:dyDescent="0.25">
      <c r="B26" s="168">
        <v>4</v>
      </c>
      <c r="C26" s="265" t="str">
        <f>HLOOKUP(Paramètres!$D$11,Paramètres!$F$49:$S$81,($B26-1)*2+2,FALSE)</f>
        <v>Rédaction des SFG</v>
      </c>
      <c r="D26" s="266"/>
      <c r="E26" s="266"/>
      <c r="F26" s="266"/>
      <c r="G26" s="266"/>
      <c r="H26" s="266"/>
      <c r="I26" s="266"/>
      <c r="J26" s="74">
        <f>HLOOKUP(Paramètres!$D$11,Paramètres!$F$49:$S$81,($B26-1)*2+3,FALSE)</f>
        <v>7</v>
      </c>
      <c r="K26" s="79"/>
      <c r="L26" s="98">
        <f t="shared" si="3"/>
        <v>0</v>
      </c>
    </row>
    <row r="27" spans="2:14" ht="30" customHeight="1" x14ac:dyDescent="0.25">
      <c r="B27" s="169">
        <v>5</v>
      </c>
      <c r="C27" s="278" t="str">
        <f>HLOOKUP(Paramètres!$D$11,Paramètres!$F$49:$S$81,($B27-1)*2+2,FALSE)</f>
        <v>Rédaction des SFD ou DDC</v>
      </c>
      <c r="D27" s="279"/>
      <c r="E27" s="279"/>
      <c r="F27" s="279"/>
      <c r="G27" s="279"/>
      <c r="H27" s="279"/>
      <c r="I27" s="279"/>
      <c r="J27" s="75">
        <f>HLOOKUP(Paramètres!$D$11,Paramètres!$F$49:$S$81,($B27-1)*2+3,FALSE)</f>
        <v>3.5</v>
      </c>
      <c r="K27" s="80"/>
      <c r="L27" s="98">
        <f t="shared" si="3"/>
        <v>0</v>
      </c>
    </row>
    <row r="28" spans="2:14" ht="30" customHeight="1" x14ac:dyDescent="0.25">
      <c r="B28" s="168">
        <v>6</v>
      </c>
      <c r="C28" s="265" t="str">
        <f>HLOOKUP(Paramètres!$D$11,Paramètres!$F$49:$S$81,($B28-1)*2+2,FALSE)</f>
        <v>Réalisation et présentation des maquettes</v>
      </c>
      <c r="D28" s="266"/>
      <c r="E28" s="266"/>
      <c r="F28" s="266"/>
      <c r="G28" s="266"/>
      <c r="H28" s="266"/>
      <c r="I28" s="266"/>
      <c r="J28" s="74">
        <f>HLOOKUP(Paramètres!$D$11,Paramètres!$F$49:$S$81,($B28-1)*2+3,FALSE)</f>
        <v>0</v>
      </c>
      <c r="K28" s="77"/>
      <c r="L28" s="98">
        <f t="shared" si="3"/>
        <v>0</v>
      </c>
    </row>
    <row r="29" spans="2:14" ht="30" customHeight="1" x14ac:dyDescent="0.25">
      <c r="B29" s="169">
        <v>7</v>
      </c>
      <c r="C29" s="278" t="str">
        <f>HLOOKUP(Paramètres!$D$11,Paramètres!$F$49:$S$81,($B29-1)*2+2,FALSE)</f>
        <v>Développement des sous-versions Sprints 0.m.s</v>
      </c>
      <c r="D29" s="279"/>
      <c r="E29" s="279"/>
      <c r="F29" s="279"/>
      <c r="G29" s="279"/>
      <c r="H29" s="279"/>
      <c r="I29" s="279"/>
      <c r="J29" s="75">
        <f>HLOOKUP(Paramètres!$D$11,Paramètres!$F$49:$S$81,($B29-1)*2+3,FALSE)</f>
        <v>70.5</v>
      </c>
      <c r="K29" s="80"/>
      <c r="L29" s="98">
        <f t="shared" si="3"/>
        <v>0</v>
      </c>
    </row>
    <row r="30" spans="2:14" ht="30" customHeight="1" x14ac:dyDescent="0.25">
      <c r="B30" s="168">
        <v>8</v>
      </c>
      <c r="C30" s="265" t="str">
        <f>HLOOKUP(Paramètres!$D$11,Paramètres!$F$49:$S$81,($B30-1)*2+2,FALSE)</f>
        <v>Rcette/livraison/installation et présentation des sous-versions</v>
      </c>
      <c r="D30" s="266"/>
      <c r="E30" s="266"/>
      <c r="F30" s="266"/>
      <c r="G30" s="266"/>
      <c r="H30" s="266"/>
      <c r="I30" s="266"/>
      <c r="J30" s="74">
        <f>HLOOKUP(Paramètres!$D$11,Paramètres!$F$49:$S$81,($B30-1)*2+3,FALSE)</f>
        <v>0</v>
      </c>
      <c r="K30" s="77"/>
      <c r="L30" s="98">
        <f t="shared" ref="L30:L38" si="4">J30*K30</f>
        <v>0</v>
      </c>
    </row>
    <row r="31" spans="2:14" ht="30" customHeight="1" x14ac:dyDescent="0.25">
      <c r="B31" s="169">
        <v>9</v>
      </c>
      <c r="C31" s="278" t="str">
        <f>HLOOKUP(Paramètres!$D$11,Paramètres!$F$49:$S$81,($B31-1)*2+2,FALSE)</f>
        <v>Rédaction des documents techniques et fonctionnels</v>
      </c>
      <c r="D31" s="279"/>
      <c r="E31" s="279"/>
      <c r="F31" s="279"/>
      <c r="G31" s="279"/>
      <c r="H31" s="279"/>
      <c r="I31" s="279"/>
      <c r="J31" s="75">
        <f>HLOOKUP(Paramètres!$D$11,Paramètres!$F$49:$S$81,($B31-1)*2+3,FALSE)</f>
        <v>10</v>
      </c>
      <c r="K31" s="78"/>
      <c r="L31" s="98">
        <f t="shared" si="4"/>
        <v>0</v>
      </c>
    </row>
    <row r="32" spans="2:14" ht="30" customHeight="1" x14ac:dyDescent="0.25">
      <c r="B32" s="168">
        <v>10</v>
      </c>
      <c r="C32" s="265" t="str">
        <f>HLOOKUP(Paramètres!$D$11,Paramètres!$F$49:$S$81,($B32-1)*2+2,FALSE)</f>
        <v>Packaging de la version finale 1.0.0 et livraison/installation</v>
      </c>
      <c r="D32" s="266"/>
      <c r="E32" s="266"/>
      <c r="F32" s="266"/>
      <c r="G32" s="266"/>
      <c r="H32" s="266"/>
      <c r="I32" s="266"/>
      <c r="J32" s="74">
        <f>HLOOKUP(Paramètres!$D$11,Paramètres!$F$49:$S$81,($B32-1)*2+3,FALSE)</f>
        <v>1</v>
      </c>
      <c r="K32" s="77"/>
      <c r="L32" s="98">
        <f t="shared" si="4"/>
        <v>0</v>
      </c>
    </row>
    <row r="33" spans="2:12" ht="30" customHeight="1" x14ac:dyDescent="0.25">
      <c r="B33" s="169">
        <v>11</v>
      </c>
      <c r="C33" s="278" t="str">
        <f>HLOOKUP(Paramètres!$D$11,Paramètres!$F$49:$S$81,($B33-1)*2+2,FALSE)</f>
        <v>Assistance à la recette utilisateur</v>
      </c>
      <c r="D33" s="279"/>
      <c r="E33" s="279"/>
      <c r="F33" s="279"/>
      <c r="G33" s="279"/>
      <c r="H33" s="279"/>
      <c r="I33" s="279"/>
      <c r="J33" s="75">
        <f>HLOOKUP(Paramètres!$D$11,Paramètres!$F$49:$S$81,($B33-1)*2+3,FALSE)</f>
        <v>7</v>
      </c>
      <c r="K33" s="78"/>
      <c r="L33" s="98">
        <f t="shared" si="4"/>
        <v>0</v>
      </c>
    </row>
    <row r="34" spans="2:12" ht="30" customHeight="1" x14ac:dyDescent="0.25">
      <c r="B34" s="168">
        <v>12</v>
      </c>
      <c r="C34" s="265" t="str">
        <f>HLOOKUP(Paramètres!$D$11,Paramètres!$F$49:$S$81,($B34-1)*2+2,FALSE)</f>
        <v>Conduite du changement et 2 sessions de formation</v>
      </c>
      <c r="D34" s="266"/>
      <c r="E34" s="266"/>
      <c r="F34" s="266"/>
      <c r="G34" s="266"/>
      <c r="H34" s="266"/>
      <c r="I34" s="266"/>
      <c r="J34" s="74">
        <f>HLOOKUP(Paramètres!$D$11,Paramètres!$F$49:$S$81,($B34-1)*2+3,FALSE)</f>
        <v>2.5</v>
      </c>
      <c r="K34" s="77"/>
      <c r="L34" s="98">
        <f t="shared" si="4"/>
        <v>0</v>
      </c>
    </row>
    <row r="35" spans="2:12" ht="30" customHeight="1" x14ac:dyDescent="0.25">
      <c r="B35" s="169">
        <v>13</v>
      </c>
      <c r="C35" s="278" t="str">
        <f>HLOOKUP(Paramètres!$D$11,Paramètres!$F$49:$S$81,($B35-1)*2+2,FALSE)</f>
        <v>Rédaction des documents administratifs</v>
      </c>
      <c r="D35" s="279"/>
      <c r="E35" s="279"/>
      <c r="F35" s="279"/>
      <c r="G35" s="279"/>
      <c r="H35" s="279"/>
      <c r="I35" s="279"/>
      <c r="J35" s="75">
        <f>HLOOKUP(Paramètres!$D$11,Paramètres!$F$49:$S$81,($B35-1)*2+3,FALSE)</f>
        <v>4</v>
      </c>
      <c r="K35" s="78"/>
      <c r="L35" s="98">
        <f t="shared" ref="L35:L36" si="5">J35*K35</f>
        <v>0</v>
      </c>
    </row>
    <row r="36" spans="2:12" ht="30" customHeight="1" x14ac:dyDescent="0.25">
      <c r="B36" s="168">
        <v>14</v>
      </c>
      <c r="C36" s="265" t="str">
        <f>HLOOKUP(Paramètres!$D$11,Paramètres!$F$49:$S$81,($B36-1)*2+2,FALSE)</f>
        <v>Pilotage et suivi commercial</v>
      </c>
      <c r="D36" s="266"/>
      <c r="E36" s="266"/>
      <c r="F36" s="266"/>
      <c r="G36" s="266"/>
      <c r="H36" s="266"/>
      <c r="I36" s="266"/>
      <c r="J36" s="74" t="e">
        <f>HLOOKUP(Paramètres!$D$11,Paramètres!$F$49:$S$81,($B36-1)*2+3,FALSE)</f>
        <v>#VALUE!</v>
      </c>
      <c r="K36" s="77"/>
      <c r="L36" s="98" t="e">
        <f t="shared" si="5"/>
        <v>#VALUE!</v>
      </c>
    </row>
    <row r="37" spans="2:12" ht="30" customHeight="1" x14ac:dyDescent="0.25">
      <c r="B37" s="169">
        <v>15</v>
      </c>
      <c r="C37" s="278" t="str">
        <f>HLOOKUP(Paramètres!$D$11,Paramètres!$F$49:$S$81,($B37-1)*2+2,FALSE)</f>
        <v>Assistance au démarrage</v>
      </c>
      <c r="D37" s="279"/>
      <c r="E37" s="279"/>
      <c r="F37" s="279"/>
      <c r="G37" s="279"/>
      <c r="H37" s="279"/>
      <c r="I37" s="279"/>
      <c r="J37" s="75">
        <f>HLOOKUP(Paramètres!$D$11,Paramètres!$F$49:$S$81,($B37-1)*2+3,FALSE)</f>
        <v>5</v>
      </c>
      <c r="K37" s="78"/>
      <c r="L37" s="98">
        <f t="shared" si="4"/>
        <v>0</v>
      </c>
    </row>
    <row r="38" spans="2:12" ht="30" customHeight="1" thickBot="1" x14ac:dyDescent="0.3">
      <c r="B38" s="170">
        <v>16</v>
      </c>
      <c r="C38" s="285">
        <f>HLOOKUP(Paramètres!$D$11,Paramètres!$F$49:$S$81,($B38-1)*2+2,FALSE)</f>
        <v>0</v>
      </c>
      <c r="D38" s="286"/>
      <c r="E38" s="286"/>
      <c r="F38" s="286"/>
      <c r="G38" s="286"/>
      <c r="H38" s="286"/>
      <c r="I38" s="286"/>
      <c r="J38" s="74">
        <f>HLOOKUP(Paramètres!$D$11,Paramètres!$F$49:$S$81,($B38-1)*2+3,FALSE)</f>
        <v>0</v>
      </c>
      <c r="K38" s="77"/>
      <c r="L38" s="98">
        <f t="shared" si="4"/>
        <v>0</v>
      </c>
    </row>
    <row r="39" spans="2:12" ht="30" customHeight="1" thickBot="1" x14ac:dyDescent="0.3">
      <c r="B39" s="280" t="s">
        <v>80</v>
      </c>
      <c r="C39" s="281"/>
      <c r="D39" s="281"/>
      <c r="E39" s="281"/>
      <c r="F39" s="281"/>
      <c r="G39" s="281"/>
      <c r="H39" s="281"/>
      <c r="I39" s="282"/>
      <c r="J39" s="171" t="e">
        <f>SUM(J23:J38)</f>
        <v>#VALUE!</v>
      </c>
      <c r="K39" s="95" t="e">
        <f>AVERAGE(K23:K38)</f>
        <v>#DIV/0!</v>
      </c>
      <c r="L39" s="96" t="e">
        <f>SUM(L23:L38)</f>
        <v>#VALUE!</v>
      </c>
    </row>
    <row r="49" spans="3:11" x14ac:dyDescent="0.25">
      <c r="C49"/>
      <c r="D49"/>
      <c r="E49"/>
      <c r="F49"/>
      <c r="G49"/>
      <c r="H49"/>
      <c r="I49"/>
      <c r="J49"/>
      <c r="K49"/>
    </row>
    <row r="50" spans="3:11" x14ac:dyDescent="0.25">
      <c r="C50"/>
      <c r="D50"/>
      <c r="E50"/>
      <c r="F50"/>
      <c r="G50"/>
      <c r="H50"/>
      <c r="I50"/>
      <c r="J50"/>
      <c r="K50"/>
    </row>
    <row r="51" spans="3:11" x14ac:dyDescent="0.25">
      <c r="C51"/>
      <c r="D51"/>
      <c r="E51"/>
      <c r="F51"/>
      <c r="G51"/>
      <c r="H51"/>
      <c r="I51"/>
      <c r="J51"/>
      <c r="K51"/>
    </row>
    <row r="52" spans="3:11" x14ac:dyDescent="0.25">
      <c r="C52"/>
      <c r="D52"/>
      <c r="E52"/>
    </row>
    <row r="53" spans="3:11" x14ac:dyDescent="0.25">
      <c r="C53"/>
      <c r="D53"/>
      <c r="E53"/>
    </row>
    <row r="54" spans="3:11" x14ac:dyDescent="0.25">
      <c r="C54"/>
      <c r="D54"/>
      <c r="E54"/>
    </row>
    <row r="55" spans="3:11" x14ac:dyDescent="0.25">
      <c r="C55"/>
      <c r="D55"/>
      <c r="E55"/>
    </row>
    <row r="56" spans="3:11" x14ac:dyDescent="0.25">
      <c r="C56"/>
      <c r="D56"/>
      <c r="E56"/>
    </row>
    <row r="57" spans="3:11" x14ac:dyDescent="0.25">
      <c r="C57"/>
      <c r="D57"/>
      <c r="E57"/>
    </row>
    <row r="58" spans="3:11" x14ac:dyDescent="0.25">
      <c r="C58"/>
      <c r="D58"/>
      <c r="E58"/>
    </row>
    <row r="59" spans="3:11" x14ac:dyDescent="0.25">
      <c r="C59"/>
      <c r="D59"/>
      <c r="E59"/>
    </row>
    <row r="60" spans="3:11" x14ac:dyDescent="0.25">
      <c r="C60"/>
      <c r="D60"/>
      <c r="E60"/>
    </row>
  </sheetData>
  <sheetProtection selectLockedCells="1"/>
  <mergeCells count="38">
    <mergeCell ref="C31:I31"/>
    <mergeCell ref="B39:I39"/>
    <mergeCell ref="C23:I23"/>
    <mergeCell ref="C24:I24"/>
    <mergeCell ref="C25:I25"/>
    <mergeCell ref="C26:I26"/>
    <mergeCell ref="C32:I32"/>
    <mergeCell ref="C33:I33"/>
    <mergeCell ref="C34:I34"/>
    <mergeCell ref="C37:I37"/>
    <mergeCell ref="C38:I38"/>
    <mergeCell ref="C35:I35"/>
    <mergeCell ref="C36:I36"/>
    <mergeCell ref="C27:I27"/>
    <mergeCell ref="C28:I28"/>
    <mergeCell ref="C29:I29"/>
    <mergeCell ref="C30:I30"/>
    <mergeCell ref="B22:I22"/>
    <mergeCell ref="H15:I15"/>
    <mergeCell ref="H17:I17"/>
    <mergeCell ref="H19:I19"/>
    <mergeCell ref="H18:I18"/>
    <mergeCell ref="H16:I16"/>
    <mergeCell ref="H13:I13"/>
    <mergeCell ref="I5:I6"/>
    <mergeCell ref="B5:D5"/>
    <mergeCell ref="E5:H5"/>
    <mergeCell ref="H9:H10"/>
    <mergeCell ref="G9:G10"/>
    <mergeCell ref="B7:B8"/>
    <mergeCell ref="C7:C8"/>
    <mergeCell ref="D7:D8"/>
    <mergeCell ref="E7:E8"/>
    <mergeCell ref="G7:G8"/>
    <mergeCell ref="H7:H8"/>
    <mergeCell ref="I7:I10"/>
    <mergeCell ref="F7:F8"/>
    <mergeCell ref="F9:F10"/>
  </mergeCells>
  <pageMargins left="0.17" right="0.17" top="0.37" bottom="0.4" header="0.3" footer="0.3"/>
  <pageSetup paperSize="9" scale="64"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19</vt:i4>
      </vt:variant>
    </vt:vector>
  </HeadingPairs>
  <TitlesOfParts>
    <vt:vector size="22" baseType="lpstr">
      <vt:lpstr>Paramètres</vt:lpstr>
      <vt:lpstr>TFC</vt:lpstr>
      <vt:lpstr>Charges et couts</vt:lpstr>
      <vt:lpstr>CDC_QUALITE</vt:lpstr>
      <vt:lpstr>CLIENT</vt:lpstr>
      <vt:lpstr>DATE_DEB</vt:lpstr>
      <vt:lpstr>DATE_FIN</vt:lpstr>
      <vt:lpstr>ENV_PROD</vt:lpstr>
      <vt:lpstr>ENV_RECETTE</vt:lpstr>
      <vt:lpstr>LANGAGE</vt:lpstr>
      <vt:lpstr>LANGAGES</vt:lpstr>
      <vt:lpstr>PRODUITS_DESC</vt:lpstr>
      <vt:lpstr>PRODUITS_TRIGRAMMES</vt:lpstr>
      <vt:lpstr>PROJET</vt:lpstr>
      <vt:lpstr>TYPE_APPLI</vt:lpstr>
      <vt:lpstr>TYPE_SERVEUR_APPLI</vt:lpstr>
      <vt:lpstr>TYPE_SERVEUR_BDD</vt:lpstr>
      <vt:lpstr>TYPES_APPLI</vt:lpstr>
      <vt:lpstr>TYPES_SERVEUR_APPLI</vt:lpstr>
      <vt:lpstr>TYPES_SERVEUR_BDD</vt:lpstr>
      <vt:lpstr>'Charges et couts'!Zone_d_impression</vt:lpstr>
      <vt:lpstr>TFC!Zone_d_impression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2025-07-22T14:37:21Z</dcterms:modified>
</cp:coreProperties>
</file>