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634a5845336a0/Desktop/"/>
    </mc:Choice>
  </mc:AlternateContent>
  <xr:revisionPtr revIDLastSave="1056" documentId="13_ncr:1_{FE53885C-F810-4D63-AA01-AF12E157661C}" xr6:coauthVersionLast="47" xr6:coauthVersionMax="47" xr10:uidLastSave="{018BD096-9837-4CAF-9590-87A0B78D326D}"/>
  <bookViews>
    <workbookView xWindow="-108" yWindow="-108" windowWidth="23256" windowHeight="12456" firstSheet="1" activeTab="2" xr2:uid="{85B3D877-F01C-4DF1-88B9-508E23243AD1}"/>
  </bookViews>
  <sheets>
    <sheet name="Asset Schedule" sheetId="10" r:id="rId1"/>
    <sheet name="Debt Schedule" sheetId="11" r:id="rId2"/>
    <sheet name="Reserve Schedule" sheetId="12" r:id="rId3"/>
    <sheet name="Assumption Sheet" sheetId="6" r:id="rId4"/>
    <sheet name="P&amp;L Sheet" sheetId="1" r:id="rId5"/>
    <sheet name="Balance Sheet" sheetId="2" r:id="rId6"/>
    <sheet name="Cash Flow Sheet" sheetId="9" r:id="rId7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9" l="1"/>
  <c r="J41" i="9"/>
  <c r="G29" i="9"/>
  <c r="H29" i="9"/>
  <c r="I29" i="9"/>
  <c r="J29" i="9"/>
  <c r="F29" i="9"/>
  <c r="L26" i="9"/>
  <c r="M26" i="9"/>
  <c r="N26" i="9"/>
  <c r="O26" i="9"/>
  <c r="K26" i="9"/>
  <c r="L9" i="9"/>
  <c r="M9" i="9"/>
  <c r="N9" i="9"/>
  <c r="O9" i="9"/>
  <c r="K9" i="9"/>
  <c r="O14" i="11"/>
  <c r="G8" i="9"/>
  <c r="H8" i="9"/>
  <c r="I8" i="9"/>
  <c r="J8" i="9"/>
  <c r="F8" i="9"/>
  <c r="J7" i="9"/>
  <c r="G57" i="6"/>
  <c r="H57" i="6"/>
  <c r="I57" i="6"/>
  <c r="J57" i="6"/>
  <c r="F57" i="6"/>
  <c r="G43" i="9"/>
  <c r="H41" i="9" s="1"/>
  <c r="H43" i="9"/>
  <c r="I43" i="9"/>
  <c r="J43" i="9"/>
  <c r="K41" i="9" s="1"/>
  <c r="F43" i="9"/>
  <c r="G41" i="9" s="1"/>
  <c r="F41" i="9"/>
  <c r="G6" i="9"/>
  <c r="H6" i="9"/>
  <c r="I6" i="9"/>
  <c r="J6" i="9"/>
  <c r="F6" i="9"/>
  <c r="G35" i="9"/>
  <c r="H35" i="9"/>
  <c r="I35" i="9"/>
  <c r="J35" i="9"/>
  <c r="F35" i="9"/>
  <c r="G34" i="9"/>
  <c r="H34" i="9"/>
  <c r="I34" i="9"/>
  <c r="J34" i="9"/>
  <c r="F34" i="9"/>
  <c r="G19" i="9"/>
  <c r="H19" i="9"/>
  <c r="I19" i="9"/>
  <c r="J19" i="9"/>
  <c r="F19" i="9"/>
  <c r="G17" i="9"/>
  <c r="H17" i="9"/>
  <c r="I17" i="9"/>
  <c r="J17" i="9"/>
  <c r="F17" i="9"/>
  <c r="G28" i="9"/>
  <c r="H28" i="9"/>
  <c r="I28" i="9"/>
  <c r="J28" i="9"/>
  <c r="L27" i="9"/>
  <c r="M27" i="9"/>
  <c r="N27" i="9"/>
  <c r="O27" i="9"/>
  <c r="G27" i="9"/>
  <c r="H27" i="9"/>
  <c r="I27" i="9"/>
  <c r="J27" i="9"/>
  <c r="K27" i="9"/>
  <c r="F27" i="9"/>
  <c r="G20" i="9"/>
  <c r="H20" i="9"/>
  <c r="I20" i="9"/>
  <c r="J20" i="9"/>
  <c r="F20" i="9"/>
  <c r="I18" i="9"/>
  <c r="J18" i="9"/>
  <c r="G16" i="9"/>
  <c r="H16" i="9"/>
  <c r="I16" i="9"/>
  <c r="J16" i="9"/>
  <c r="F16" i="9"/>
  <c r="G15" i="9"/>
  <c r="H15" i="9"/>
  <c r="I15" i="9"/>
  <c r="J15" i="9"/>
  <c r="F15" i="9"/>
  <c r="F5" i="9"/>
  <c r="G5" i="9"/>
  <c r="H5" i="9"/>
  <c r="I5" i="9"/>
  <c r="J5" i="9"/>
  <c r="E45" i="6"/>
  <c r="F45" i="6"/>
  <c r="G45" i="6"/>
  <c r="H45" i="6"/>
  <c r="I45" i="6"/>
  <c r="J45" i="6"/>
  <c r="G35" i="6"/>
  <c r="H35" i="6"/>
  <c r="I35" i="6"/>
  <c r="J35" i="6"/>
  <c r="F35" i="6"/>
  <c r="E37" i="6"/>
  <c r="K52" i="2"/>
  <c r="L52" i="2" s="1"/>
  <c r="M52" i="2" s="1"/>
  <c r="N52" i="2" s="1"/>
  <c r="O52" i="2" s="1"/>
  <c r="K25" i="6"/>
  <c r="I38" i="6"/>
  <c r="J38" i="6"/>
  <c r="L8" i="12"/>
  <c r="M8" i="12" s="1"/>
  <c r="N8" i="12" s="1"/>
  <c r="O8" i="12" s="1"/>
  <c r="K8" i="12"/>
  <c r="L9" i="12"/>
  <c r="M9" i="12" s="1"/>
  <c r="N9" i="12" s="1"/>
  <c r="O9" i="12" s="1"/>
  <c r="K9" i="12"/>
  <c r="K11" i="12"/>
  <c r="L11" i="12" s="1"/>
  <c r="M11" i="12" s="1"/>
  <c r="N11" i="12" s="1"/>
  <c r="O11" i="12" s="1"/>
  <c r="L15" i="12"/>
  <c r="M15" i="12" s="1"/>
  <c r="N15" i="12" s="1"/>
  <c r="O15" i="12" s="1"/>
  <c r="K15" i="12"/>
  <c r="G55" i="6"/>
  <c r="H55" i="6"/>
  <c r="I55" i="6"/>
  <c r="J55" i="6"/>
  <c r="F55" i="6"/>
  <c r="K55" i="6" s="1"/>
  <c r="J16" i="12"/>
  <c r="F17" i="6"/>
  <c r="G17" i="6"/>
  <c r="H17" i="6"/>
  <c r="I17" i="6"/>
  <c r="J17" i="6"/>
  <c r="E17" i="6"/>
  <c r="G16" i="6"/>
  <c r="H16" i="6"/>
  <c r="I16" i="6"/>
  <c r="J16" i="6"/>
  <c r="F16" i="6"/>
  <c r="F53" i="6"/>
  <c r="G53" i="6"/>
  <c r="H53" i="6"/>
  <c r="I53" i="6"/>
  <c r="J53" i="6"/>
  <c r="E53" i="6"/>
  <c r="J51" i="6"/>
  <c r="F51" i="6"/>
  <c r="G51" i="6"/>
  <c r="H51" i="6"/>
  <c r="I51" i="6"/>
  <c r="E51" i="6"/>
  <c r="F44" i="2"/>
  <c r="G44" i="2"/>
  <c r="H44" i="2"/>
  <c r="I44" i="2"/>
  <c r="I50" i="6" s="1"/>
  <c r="J44" i="2"/>
  <c r="J50" i="6" s="1"/>
  <c r="E44" i="2"/>
  <c r="E50" i="6" s="1"/>
  <c r="K36" i="2"/>
  <c r="J39" i="9" l="1"/>
  <c r="I39" i="9"/>
  <c r="F39" i="9"/>
  <c r="H39" i="9"/>
  <c r="G39" i="9"/>
  <c r="K45" i="6"/>
  <c r="K57" i="6"/>
  <c r="L55" i="6"/>
  <c r="M55" i="6" s="1"/>
  <c r="N55" i="6" s="1"/>
  <c r="O55" i="6" s="1"/>
  <c r="K14" i="12"/>
  <c r="K17" i="6"/>
  <c r="L17" i="6" s="1"/>
  <c r="M17" i="6" s="1"/>
  <c r="N17" i="6" s="1"/>
  <c r="H50" i="6"/>
  <c r="G50" i="6"/>
  <c r="K16" i="6"/>
  <c r="K28" i="1" s="1"/>
  <c r="K6" i="9" s="1"/>
  <c r="F50" i="6"/>
  <c r="K53" i="6"/>
  <c r="L53" i="6" s="1"/>
  <c r="M53" i="6" s="1"/>
  <c r="K51" i="6"/>
  <c r="E16" i="12"/>
  <c r="F16" i="12"/>
  <c r="G16" i="12"/>
  <c r="H16" i="12"/>
  <c r="I16" i="12"/>
  <c r="F5" i="12"/>
  <c r="G5" i="12"/>
  <c r="H5" i="12"/>
  <c r="I5" i="12"/>
  <c r="J5" i="12"/>
  <c r="E5" i="12"/>
  <c r="I6" i="12" l="1"/>
  <c r="K5" i="12"/>
  <c r="L14" i="12"/>
  <c r="M14" i="12" s="1"/>
  <c r="N14" i="12" s="1"/>
  <c r="O14" i="12" s="1"/>
  <c r="L57" i="6"/>
  <c r="L16" i="6"/>
  <c r="M16" i="6" s="1"/>
  <c r="N16" i="6" s="1"/>
  <c r="O16" i="6" s="1"/>
  <c r="K29" i="1"/>
  <c r="O17" i="6"/>
  <c r="N53" i="6"/>
  <c r="O53" i="6" s="1"/>
  <c r="L51" i="6"/>
  <c r="K6" i="2" l="1"/>
  <c r="K34" i="9" s="1"/>
  <c r="L5" i="12"/>
  <c r="M57" i="6"/>
  <c r="L28" i="1"/>
  <c r="M51" i="6"/>
  <c r="M5" i="12" l="1"/>
  <c r="L6" i="2"/>
  <c r="L34" i="9" s="1"/>
  <c r="L29" i="1"/>
  <c r="L6" i="9"/>
  <c r="N57" i="6"/>
  <c r="M28" i="1"/>
  <c r="M6" i="9" s="1"/>
  <c r="N51" i="6"/>
  <c r="N5" i="12" l="1"/>
  <c r="M6" i="2"/>
  <c r="M34" i="9" s="1"/>
  <c r="M29" i="1"/>
  <c r="N28" i="1"/>
  <c r="N6" i="9" s="1"/>
  <c r="O57" i="6"/>
  <c r="O51" i="6"/>
  <c r="O5" i="12" l="1"/>
  <c r="O6" i="2" s="1"/>
  <c r="N6" i="2"/>
  <c r="N34" i="9" s="1"/>
  <c r="O28" i="1"/>
  <c r="O29" i="1" s="1"/>
  <c r="N29" i="1"/>
  <c r="K8" i="11"/>
  <c r="K14" i="11"/>
  <c r="L11" i="11" s="1"/>
  <c r="I7" i="11"/>
  <c r="J7" i="11"/>
  <c r="O34" i="9" l="1"/>
  <c r="O6" i="9"/>
  <c r="L14" i="11"/>
  <c r="M11" i="11" s="1"/>
  <c r="M14" i="11" s="1"/>
  <c r="N11" i="11" s="1"/>
  <c r="N14" i="11" s="1"/>
  <c r="K12" i="2"/>
  <c r="K35" i="9" s="1"/>
  <c r="L5" i="11"/>
  <c r="L8" i="11" s="1"/>
  <c r="K16" i="11"/>
  <c r="L16" i="11" l="1"/>
  <c r="L12" i="2"/>
  <c r="L35" i="9" s="1"/>
  <c r="M5" i="11"/>
  <c r="M8" i="11" s="1"/>
  <c r="O11" i="11"/>
  <c r="J13" i="11" l="1"/>
  <c r="I12" i="11"/>
  <c r="H13" i="11"/>
  <c r="G12" i="11"/>
  <c r="F12" i="11"/>
  <c r="G7" i="11"/>
  <c r="H7" i="11"/>
  <c r="F7" i="11"/>
  <c r="G17" i="11"/>
  <c r="H17" i="11"/>
  <c r="I17" i="11"/>
  <c r="J17" i="11"/>
  <c r="F17" i="11"/>
  <c r="G16" i="11"/>
  <c r="H16" i="11"/>
  <c r="I16" i="11"/>
  <c r="J16" i="11"/>
  <c r="F16" i="11"/>
  <c r="G11" i="11"/>
  <c r="H11" i="11"/>
  <c r="I11" i="11"/>
  <c r="J11" i="11"/>
  <c r="K11" i="11"/>
  <c r="F11" i="11"/>
  <c r="G5" i="11"/>
  <c r="H5" i="11"/>
  <c r="I5" i="11"/>
  <c r="J5" i="11"/>
  <c r="K5" i="11"/>
  <c r="F5" i="11"/>
  <c r="K17" i="11" l="1"/>
  <c r="L17" i="11"/>
  <c r="K13" i="1"/>
  <c r="K36" i="9" s="1"/>
  <c r="M17" i="11"/>
  <c r="N5" i="11"/>
  <c r="N8" i="11" s="1"/>
  <c r="M12" i="2"/>
  <c r="M35" i="9" s="1"/>
  <c r="M16" i="11"/>
  <c r="M13" i="1" s="1"/>
  <c r="M36" i="9" s="1"/>
  <c r="M8" i="9" l="1"/>
  <c r="K8" i="9"/>
  <c r="N17" i="11"/>
  <c r="O17" i="11" s="1"/>
  <c r="L13" i="1"/>
  <c r="L36" i="9" s="1"/>
  <c r="N16" i="11"/>
  <c r="N13" i="1" s="1"/>
  <c r="N36" i="9" s="1"/>
  <c r="J11" i="10"/>
  <c r="F14" i="10"/>
  <c r="H14" i="10"/>
  <c r="I14" i="10"/>
  <c r="J14" i="10"/>
  <c r="E14" i="10"/>
  <c r="E13" i="10"/>
  <c r="F10" i="10" s="1"/>
  <c r="F13" i="10" s="1"/>
  <c r="F48" i="2"/>
  <c r="G48" i="2"/>
  <c r="H48" i="2"/>
  <c r="I48" i="2"/>
  <c r="J48" i="2"/>
  <c r="F43" i="2"/>
  <c r="E43" i="2"/>
  <c r="F40" i="2"/>
  <c r="G40" i="2"/>
  <c r="H40" i="2"/>
  <c r="H43" i="2" s="1"/>
  <c r="I40" i="2"/>
  <c r="I43" i="2" s="1"/>
  <c r="J40" i="2"/>
  <c r="J43" i="2" s="1"/>
  <c r="E40" i="2"/>
  <c r="H25" i="6" l="1"/>
  <c r="H30" i="6"/>
  <c r="H43" i="6"/>
  <c r="I25" i="6"/>
  <c r="I30" i="6"/>
  <c r="I43" i="6"/>
  <c r="E25" i="6"/>
  <c r="E30" i="6"/>
  <c r="E43" i="6"/>
  <c r="F30" i="6"/>
  <c r="F25" i="6"/>
  <c r="F43" i="6"/>
  <c r="J25" i="6"/>
  <c r="J30" i="6"/>
  <c r="J43" i="6"/>
  <c r="L8" i="9"/>
  <c r="N8" i="9"/>
  <c r="J42" i="6"/>
  <c r="J48" i="6"/>
  <c r="K48" i="6" s="1"/>
  <c r="J49" i="6"/>
  <c r="J47" i="6"/>
  <c r="J7" i="10"/>
  <c r="I42" i="6"/>
  <c r="I49" i="6"/>
  <c r="I47" i="6"/>
  <c r="I7" i="10"/>
  <c r="I15" i="10" s="1"/>
  <c r="H42" i="6"/>
  <c r="H47" i="6"/>
  <c r="H7" i="10"/>
  <c r="H15" i="10" s="1"/>
  <c r="F42" i="6"/>
  <c r="F47" i="6"/>
  <c r="F7" i="10"/>
  <c r="F15" i="10" s="1"/>
  <c r="J15" i="10"/>
  <c r="E42" i="6"/>
  <c r="E47" i="6"/>
  <c r="E7" i="10"/>
  <c r="E15" i="10" s="1"/>
  <c r="O5" i="11"/>
  <c r="O8" i="11" s="1"/>
  <c r="N12" i="2"/>
  <c r="N35" i="9" s="1"/>
  <c r="F12" i="10"/>
  <c r="G10" i="10"/>
  <c r="G13" i="10" s="1"/>
  <c r="L48" i="6" l="1"/>
  <c r="K49" i="6"/>
  <c r="O16" i="11"/>
  <c r="O13" i="1" s="1"/>
  <c r="O36" i="9" s="1"/>
  <c r="O12" i="2"/>
  <c r="O35" i="9" s="1"/>
  <c r="H10" i="10"/>
  <c r="H13" i="10" s="1"/>
  <c r="O8" i="9" l="1"/>
  <c r="M48" i="6"/>
  <c r="L49" i="6"/>
  <c r="I10" i="10"/>
  <c r="I13" i="10" s="1"/>
  <c r="H12" i="10"/>
  <c r="N48" i="6" l="1"/>
  <c r="M49" i="6"/>
  <c r="I12" i="10"/>
  <c r="J10" i="10"/>
  <c r="J13" i="10" s="1"/>
  <c r="O48" i="6" l="1"/>
  <c r="N49" i="6"/>
  <c r="J12" i="10"/>
  <c r="K12" i="10" s="1"/>
  <c r="K10" i="10"/>
  <c r="O49" i="6" l="1"/>
  <c r="L12" i="10"/>
  <c r="M12" i="10" s="1"/>
  <c r="I21" i="6"/>
  <c r="J21" i="6"/>
  <c r="G34" i="6"/>
  <c r="H34" i="6"/>
  <c r="I34" i="6"/>
  <c r="J34" i="6"/>
  <c r="F34" i="6"/>
  <c r="G32" i="6"/>
  <c r="H32" i="6"/>
  <c r="I32" i="6"/>
  <c r="J32" i="6"/>
  <c r="F32" i="6"/>
  <c r="J8" i="6"/>
  <c r="J6" i="6"/>
  <c r="J5" i="6"/>
  <c r="J60" i="2"/>
  <c r="J24" i="2"/>
  <c r="J22" i="2"/>
  <c r="J27" i="6" s="1"/>
  <c r="J17" i="2"/>
  <c r="J9" i="2"/>
  <c r="J30" i="1"/>
  <c r="J12" i="6"/>
  <c r="J11" i="6"/>
  <c r="J10" i="6"/>
  <c r="J9" i="6"/>
  <c r="J16" i="1"/>
  <c r="K30" i="1" l="1"/>
  <c r="L30" i="1"/>
  <c r="N12" i="10"/>
  <c r="O12" i="10" s="1"/>
  <c r="J62" i="2"/>
  <c r="J16" i="10"/>
  <c r="J30" i="2"/>
  <c r="K34" i="6"/>
  <c r="K32" i="6"/>
  <c r="J26" i="2"/>
  <c r="J28" i="2" l="1"/>
  <c r="M30" i="1"/>
  <c r="L34" i="6"/>
  <c r="J26" i="6"/>
  <c r="K26" i="6" s="1"/>
  <c r="J20" i="6"/>
  <c r="K20" i="6" s="1"/>
  <c r="J22" i="6"/>
  <c r="J44" i="6"/>
  <c r="J28" i="6"/>
  <c r="J23" i="6"/>
  <c r="L32" i="6"/>
  <c r="L26" i="6" l="1"/>
  <c r="L20" i="6"/>
  <c r="N30" i="1"/>
  <c r="O30" i="1" s="1"/>
  <c r="M34" i="6"/>
  <c r="K4" i="10"/>
  <c r="M32" i="6"/>
  <c r="M20" i="6" l="1"/>
  <c r="M26" i="6"/>
  <c r="N34" i="6"/>
  <c r="O34" i="6" s="1"/>
  <c r="N32" i="6"/>
  <c r="N26" i="6" l="1"/>
  <c r="N20" i="6"/>
  <c r="O32" i="6"/>
  <c r="K38" i="6"/>
  <c r="O20" i="6" l="1"/>
  <c r="O26" i="6"/>
  <c r="L38" i="6"/>
  <c r="F21" i="6"/>
  <c r="H21" i="6"/>
  <c r="E21" i="6"/>
  <c r="K21" i="6" l="1"/>
  <c r="M38" i="6"/>
  <c r="L21" i="6" l="1"/>
  <c r="N38" i="6"/>
  <c r="M21" i="6" l="1"/>
  <c r="N21" i="6"/>
  <c r="O21" i="6" s="1"/>
  <c r="O38" i="6"/>
  <c r="G41" i="2"/>
  <c r="I27" i="6"/>
  <c r="G14" i="10" l="1"/>
  <c r="G12" i="10" s="1"/>
  <c r="G43" i="2"/>
  <c r="E45" i="2"/>
  <c r="G16" i="10"/>
  <c r="F12" i="6"/>
  <c r="G12" i="6"/>
  <c r="H12" i="6"/>
  <c r="I12" i="6"/>
  <c r="E12" i="6"/>
  <c r="F11" i="6"/>
  <c r="G11" i="6"/>
  <c r="H11" i="6"/>
  <c r="I11" i="6"/>
  <c r="E11" i="6"/>
  <c r="E9" i="6"/>
  <c r="F9" i="6"/>
  <c r="G9" i="6"/>
  <c r="H9" i="6"/>
  <c r="I9" i="6"/>
  <c r="E10" i="6"/>
  <c r="G10" i="6"/>
  <c r="H10" i="6"/>
  <c r="I10" i="6"/>
  <c r="F10" i="6"/>
  <c r="F8" i="6"/>
  <c r="G8" i="6"/>
  <c r="H8" i="6"/>
  <c r="I8" i="6"/>
  <c r="E8" i="6"/>
  <c r="E41" i="6" l="1"/>
  <c r="F28" i="9"/>
  <c r="G30" i="6"/>
  <c r="G25" i="6"/>
  <c r="G43" i="6"/>
  <c r="E48" i="2"/>
  <c r="G42" i="6"/>
  <c r="G47" i="6"/>
  <c r="G7" i="10"/>
  <c r="G15" i="10" s="1"/>
  <c r="E16" i="10"/>
  <c r="I16" i="10"/>
  <c r="H16" i="10"/>
  <c r="F16" i="10"/>
  <c r="K12" i="6"/>
  <c r="K10" i="6"/>
  <c r="K9" i="6"/>
  <c r="K8" i="6"/>
  <c r="K43" i="6" l="1"/>
  <c r="K15" i="10"/>
  <c r="L15" i="10"/>
  <c r="M15" i="10" s="1"/>
  <c r="K47" i="6"/>
  <c r="L47" i="6" s="1"/>
  <c r="F44" i="6"/>
  <c r="H44" i="6"/>
  <c r="E44" i="6"/>
  <c r="F4" i="10"/>
  <c r="F56" i="6" s="1"/>
  <c r="I44" i="6"/>
  <c r="G44" i="6"/>
  <c r="L8" i="6"/>
  <c r="M8" i="6" s="1"/>
  <c r="N8" i="6" s="1"/>
  <c r="L10" i="6"/>
  <c r="M10" i="6" s="1"/>
  <c r="N10" i="6" s="1"/>
  <c r="F22" i="6"/>
  <c r="F28" i="6"/>
  <c r="G22" i="6"/>
  <c r="G28" i="6"/>
  <c r="E22" i="6"/>
  <c r="E28" i="6"/>
  <c r="H22" i="6"/>
  <c r="H28" i="6"/>
  <c r="H23" i="6"/>
  <c r="I28" i="6"/>
  <c r="I22" i="6"/>
  <c r="I23" i="6"/>
  <c r="K11" i="6"/>
  <c r="L9" i="6"/>
  <c r="M9" i="6" s="1"/>
  <c r="L12" i="6"/>
  <c r="M12" i="6" s="1"/>
  <c r="N12" i="6" s="1"/>
  <c r="L43" i="6" l="1"/>
  <c r="M43" i="6" s="1"/>
  <c r="M47" i="6"/>
  <c r="N47" i="6" s="1"/>
  <c r="N15" i="10"/>
  <c r="O15" i="10" s="1"/>
  <c r="F5" i="10"/>
  <c r="F26" i="9" s="1"/>
  <c r="F31" i="9" s="1"/>
  <c r="G4" i="10"/>
  <c r="G56" i="6" s="1"/>
  <c r="K56" i="6" s="1"/>
  <c r="H4" i="10"/>
  <c r="H56" i="6" s="1"/>
  <c r="J4" i="10"/>
  <c r="J56" i="6" s="1"/>
  <c r="I4" i="10"/>
  <c r="I56" i="6" s="1"/>
  <c r="K44" i="6"/>
  <c r="K22" i="6"/>
  <c r="O8" i="6"/>
  <c r="L11" i="6"/>
  <c r="M11" i="6" s="1"/>
  <c r="N11" i="6" s="1"/>
  <c r="O10" i="6"/>
  <c r="O12" i="6"/>
  <c r="K30" i="6"/>
  <c r="K28" i="6"/>
  <c r="K23" i="6"/>
  <c r="N9" i="6"/>
  <c r="O9" i="6" s="1"/>
  <c r="L56" i="6" l="1"/>
  <c r="M56" i="6" s="1"/>
  <c r="N43" i="6"/>
  <c r="O43" i="6"/>
  <c r="L22" i="6"/>
  <c r="O47" i="6"/>
  <c r="G5" i="10"/>
  <c r="G26" i="9" s="1"/>
  <c r="G31" i="9" s="1"/>
  <c r="I5" i="10"/>
  <c r="I26" i="9" s="1"/>
  <c r="I31" i="9" s="1"/>
  <c r="J5" i="10"/>
  <c r="J26" i="9" s="1"/>
  <c r="J31" i="9" s="1"/>
  <c r="H5" i="10"/>
  <c r="H26" i="9" s="1"/>
  <c r="H31" i="9" s="1"/>
  <c r="L44" i="6"/>
  <c r="L30" i="6"/>
  <c r="L23" i="6"/>
  <c r="L25" i="6"/>
  <c r="O11" i="6"/>
  <c r="L28" i="6"/>
  <c r="N56" i="6" l="1"/>
  <c r="O56" i="6" s="1"/>
  <c r="M23" i="6"/>
  <c r="M22" i="6"/>
  <c r="M28" i="6"/>
  <c r="M30" i="6"/>
  <c r="M25" i="6"/>
  <c r="M44" i="6"/>
  <c r="N23" i="6"/>
  <c r="F6" i="6"/>
  <c r="G6" i="6"/>
  <c r="H6" i="6"/>
  <c r="I6" i="6"/>
  <c r="E6" i="6"/>
  <c r="G5" i="6"/>
  <c r="H5" i="6"/>
  <c r="I5" i="6"/>
  <c r="K5" i="6" s="1"/>
  <c r="L5" i="6" s="1"/>
  <c r="F5" i="6"/>
  <c r="N25" i="6" l="1"/>
  <c r="O25" i="6" s="1"/>
  <c r="M5" i="6"/>
  <c r="N5" i="6" s="1"/>
  <c r="O23" i="6"/>
  <c r="N44" i="6"/>
  <c r="O44" i="6" s="1"/>
  <c r="N22" i="6"/>
  <c r="N30" i="6"/>
  <c r="N28" i="6"/>
  <c r="K7" i="10"/>
  <c r="K4" i="1" s="1"/>
  <c r="K47" i="2" s="1"/>
  <c r="K6" i="6"/>
  <c r="L6" i="6" s="1"/>
  <c r="M6" i="6" s="1"/>
  <c r="E16" i="1"/>
  <c r="F16" i="1"/>
  <c r="G16" i="1"/>
  <c r="H16" i="1"/>
  <c r="I16" i="1"/>
  <c r="F6" i="1"/>
  <c r="G6" i="1"/>
  <c r="H6" i="1"/>
  <c r="I6" i="1"/>
  <c r="E6" i="1"/>
  <c r="E29" i="6" s="1"/>
  <c r="E60" i="2"/>
  <c r="E62" i="2" s="1"/>
  <c r="F60" i="2"/>
  <c r="F62" i="2" s="1"/>
  <c r="G60" i="2"/>
  <c r="G62" i="2" s="1"/>
  <c r="E30" i="2"/>
  <c r="F22" i="2"/>
  <c r="E26" i="2"/>
  <c r="G22" i="2"/>
  <c r="E17" i="2"/>
  <c r="F17" i="2"/>
  <c r="G17" i="2"/>
  <c r="I29" i="6" l="1"/>
  <c r="I37" i="6"/>
  <c r="H29" i="6"/>
  <c r="H37" i="6"/>
  <c r="G29" i="6"/>
  <c r="G37" i="6"/>
  <c r="F29" i="6"/>
  <c r="F37" i="6"/>
  <c r="K57" i="2"/>
  <c r="K18" i="9" s="1"/>
  <c r="O22" i="6"/>
  <c r="O5" i="6"/>
  <c r="O28" i="6"/>
  <c r="O30" i="6"/>
  <c r="K11" i="10"/>
  <c r="K43" i="2"/>
  <c r="L4" i="10"/>
  <c r="I18" i="1"/>
  <c r="H18" i="1"/>
  <c r="H24" i="1" s="1"/>
  <c r="G18" i="1"/>
  <c r="J6" i="1"/>
  <c r="G26" i="2"/>
  <c r="H27" i="6"/>
  <c r="F26" i="2"/>
  <c r="G27" i="6"/>
  <c r="F27" i="6"/>
  <c r="E28" i="2"/>
  <c r="G30" i="2"/>
  <c r="F30" i="2"/>
  <c r="N6" i="6"/>
  <c r="O6" i="6" s="1"/>
  <c r="F18" i="1"/>
  <c r="E18" i="1"/>
  <c r="E9" i="2"/>
  <c r="F9" i="2"/>
  <c r="G9" i="2"/>
  <c r="I60" i="2"/>
  <c r="I62" i="2" s="1"/>
  <c r="H60" i="2"/>
  <c r="H62" i="2" s="1"/>
  <c r="F28" i="2" l="1"/>
  <c r="F14" i="9"/>
  <c r="F21" i="9" s="1"/>
  <c r="G28" i="2"/>
  <c r="G14" i="9"/>
  <c r="G21" i="9" s="1"/>
  <c r="H58" i="6"/>
  <c r="H4" i="9"/>
  <c r="H10" i="9" s="1"/>
  <c r="H23" i="9" s="1"/>
  <c r="H42" i="9" s="1"/>
  <c r="H41" i="6"/>
  <c r="J29" i="6"/>
  <c r="K29" i="6" s="1"/>
  <c r="K24" i="2" s="1"/>
  <c r="J37" i="6"/>
  <c r="K13" i="10"/>
  <c r="K14" i="10" s="1"/>
  <c r="K14" i="1"/>
  <c r="E24" i="1"/>
  <c r="E15" i="6"/>
  <c r="E13" i="6"/>
  <c r="E14" i="6"/>
  <c r="I13" i="6"/>
  <c r="I14" i="6"/>
  <c r="I15" i="6"/>
  <c r="G13" i="6"/>
  <c r="G14" i="6"/>
  <c r="G15" i="6"/>
  <c r="F14" i="6"/>
  <c r="F13" i="6"/>
  <c r="F15" i="6"/>
  <c r="H39" i="6"/>
  <c r="H36" i="6"/>
  <c r="H13" i="6"/>
  <c r="H15" i="6"/>
  <c r="H14" i="6"/>
  <c r="H31" i="1"/>
  <c r="H52" i="6"/>
  <c r="K38" i="2"/>
  <c r="K39" i="2"/>
  <c r="K42" i="6"/>
  <c r="K13" i="2"/>
  <c r="K21" i="2"/>
  <c r="K16" i="2"/>
  <c r="K46" i="2"/>
  <c r="K15" i="2"/>
  <c r="K23" i="2"/>
  <c r="L7" i="10"/>
  <c r="L4" i="1" s="1"/>
  <c r="L57" i="2" s="1"/>
  <c r="L18" i="9" s="1"/>
  <c r="K53" i="2"/>
  <c r="K17" i="9" s="1"/>
  <c r="J18" i="1"/>
  <c r="I24" i="1"/>
  <c r="K11" i="1"/>
  <c r="K9" i="1"/>
  <c r="K12" i="1"/>
  <c r="K5" i="1"/>
  <c r="K6" i="1" s="1"/>
  <c r="K10" i="1"/>
  <c r="K15" i="1"/>
  <c r="F24" i="1"/>
  <c r="K27" i="6"/>
  <c r="G24" i="1"/>
  <c r="I17" i="2"/>
  <c r="H17" i="2"/>
  <c r="I26" i="2"/>
  <c r="H26" i="2"/>
  <c r="H14" i="9" s="1"/>
  <c r="H21" i="9" s="1"/>
  <c r="I9" i="2"/>
  <c r="H9" i="2"/>
  <c r="I30" i="2"/>
  <c r="H30" i="2"/>
  <c r="L29" i="6" l="1"/>
  <c r="M29" i="6" s="1"/>
  <c r="I14" i="9"/>
  <c r="I21" i="9" s="1"/>
  <c r="J14" i="9"/>
  <c r="J21" i="9" s="1"/>
  <c r="K42" i="2"/>
  <c r="K5" i="9"/>
  <c r="G58" i="6"/>
  <c r="G4" i="9"/>
  <c r="G10" i="9" s="1"/>
  <c r="G23" i="9" s="1"/>
  <c r="G42" i="9" s="1"/>
  <c r="G41" i="6"/>
  <c r="I41" i="6"/>
  <c r="I58" i="6"/>
  <c r="I4" i="9"/>
  <c r="I10" i="9" s="1"/>
  <c r="I23" i="9" s="1"/>
  <c r="I42" i="9" s="1"/>
  <c r="F4" i="9"/>
  <c r="F10" i="9" s="1"/>
  <c r="F23" i="9" s="1"/>
  <c r="F42" i="9" s="1"/>
  <c r="F58" i="6"/>
  <c r="F41" i="6"/>
  <c r="L10" i="10"/>
  <c r="K44" i="2"/>
  <c r="L9" i="1"/>
  <c r="J24" i="1"/>
  <c r="J13" i="6"/>
  <c r="K13" i="6" s="1"/>
  <c r="J14" i="6"/>
  <c r="K14" i="6" s="1"/>
  <c r="L14" i="6" s="1"/>
  <c r="M14" i="6" s="1"/>
  <c r="N14" i="6" s="1"/>
  <c r="J15" i="6"/>
  <c r="K15" i="6" s="1"/>
  <c r="L15" i="6" s="1"/>
  <c r="I39" i="6"/>
  <c r="I36" i="6"/>
  <c r="K37" i="6"/>
  <c r="F39" i="6"/>
  <c r="F36" i="6"/>
  <c r="G39" i="6"/>
  <c r="G36" i="6"/>
  <c r="E36" i="6"/>
  <c r="E52" i="6"/>
  <c r="E39" i="6"/>
  <c r="E31" i="1"/>
  <c r="F31" i="1"/>
  <c r="F52" i="6"/>
  <c r="I31" i="1"/>
  <c r="I52" i="6"/>
  <c r="G31" i="1"/>
  <c r="G52" i="6"/>
  <c r="K16" i="1"/>
  <c r="K18" i="1" s="1"/>
  <c r="L42" i="6"/>
  <c r="K51" i="2"/>
  <c r="K16" i="9" s="1"/>
  <c r="K22" i="2"/>
  <c r="K41" i="2"/>
  <c r="K14" i="2" s="1"/>
  <c r="K16" i="10"/>
  <c r="K35" i="2" s="1"/>
  <c r="K40" i="2" s="1"/>
  <c r="L43" i="2"/>
  <c r="L11" i="10"/>
  <c r="L13" i="10" s="1"/>
  <c r="M4" i="10"/>
  <c r="M7" i="10" s="1"/>
  <c r="M4" i="1" s="1"/>
  <c r="L53" i="2"/>
  <c r="L17" i="9" s="1"/>
  <c r="L27" i="6"/>
  <c r="M27" i="6" s="1"/>
  <c r="N27" i="6" s="1"/>
  <c r="L15" i="1"/>
  <c r="L11" i="1"/>
  <c r="L12" i="1"/>
  <c r="L5" i="1"/>
  <c r="L6" i="1" s="1"/>
  <c r="L10" i="1"/>
  <c r="H28" i="2"/>
  <c r="I28" i="2"/>
  <c r="J41" i="6" l="1"/>
  <c r="K41" i="6" s="1"/>
  <c r="J58" i="6"/>
  <c r="J4" i="9"/>
  <c r="J10" i="9" s="1"/>
  <c r="J23" i="9" s="1"/>
  <c r="J42" i="9" s="1"/>
  <c r="J31" i="1"/>
  <c r="K58" i="6"/>
  <c r="K17" i="2"/>
  <c r="K15" i="9"/>
  <c r="J52" i="6"/>
  <c r="K52" i="6" s="1"/>
  <c r="L52" i="6" s="1"/>
  <c r="K50" i="6"/>
  <c r="L50" i="6" s="1"/>
  <c r="K20" i="2"/>
  <c r="K25" i="2"/>
  <c r="L20" i="2"/>
  <c r="L44" i="2"/>
  <c r="L25" i="2" s="1"/>
  <c r="M57" i="2"/>
  <c r="M18" i="9" s="1"/>
  <c r="M42" i="6"/>
  <c r="L37" i="6"/>
  <c r="K56" i="2"/>
  <c r="M15" i="6"/>
  <c r="N15" i="6" s="1"/>
  <c r="O15" i="6" s="1"/>
  <c r="O14" i="6"/>
  <c r="M9" i="1"/>
  <c r="M53" i="2"/>
  <c r="M17" i="9" s="1"/>
  <c r="N29" i="6"/>
  <c r="O29" i="6"/>
  <c r="J36" i="6"/>
  <c r="J39" i="6"/>
  <c r="K39" i="6" s="1"/>
  <c r="J54" i="6"/>
  <c r="K54" i="6" s="1"/>
  <c r="L54" i="6" s="1"/>
  <c r="M54" i="6" s="1"/>
  <c r="N54" i="6" s="1"/>
  <c r="O54" i="6" s="1"/>
  <c r="K23" i="1"/>
  <c r="K21" i="1"/>
  <c r="K22" i="1"/>
  <c r="L39" i="2"/>
  <c r="L38" i="2"/>
  <c r="L36" i="2"/>
  <c r="L14" i="1" s="1"/>
  <c r="L5" i="9" s="1"/>
  <c r="L13" i="2"/>
  <c r="L21" i="2"/>
  <c r="L51" i="2"/>
  <c r="L16" i="9" s="1"/>
  <c r="L22" i="2"/>
  <c r="M10" i="10"/>
  <c r="L14" i="10"/>
  <c r="L24" i="2"/>
  <c r="L15" i="2"/>
  <c r="L23" i="2"/>
  <c r="L46" i="2"/>
  <c r="L16" i="2"/>
  <c r="M43" i="2"/>
  <c r="M11" i="10"/>
  <c r="N4" i="10"/>
  <c r="N7" i="10" s="1"/>
  <c r="N4" i="1" s="1"/>
  <c r="O27" i="6"/>
  <c r="L13" i="6"/>
  <c r="M15" i="1"/>
  <c r="M11" i="1"/>
  <c r="M5" i="1"/>
  <c r="M6" i="1" s="1"/>
  <c r="M10" i="1"/>
  <c r="M12" i="1"/>
  <c r="L58" i="6" l="1"/>
  <c r="L41" i="6"/>
  <c r="M41" i="6" s="1"/>
  <c r="K26" i="2"/>
  <c r="M50" i="6"/>
  <c r="N50" i="6" s="1"/>
  <c r="M20" i="2"/>
  <c r="M44" i="2"/>
  <c r="M25" i="2" s="1"/>
  <c r="N57" i="2"/>
  <c r="N18" i="9" s="1"/>
  <c r="L56" i="2"/>
  <c r="N42" i="6"/>
  <c r="O42" i="6" s="1"/>
  <c r="L39" i="6"/>
  <c r="K36" i="6"/>
  <c r="M37" i="6"/>
  <c r="N53" i="2"/>
  <c r="N17" i="9" s="1"/>
  <c r="M39" i="6"/>
  <c r="N9" i="1"/>
  <c r="K24" i="1"/>
  <c r="K4" i="9" s="1"/>
  <c r="M52" i="6"/>
  <c r="N52" i="6" s="1"/>
  <c r="O52" i="6" s="1"/>
  <c r="L16" i="1"/>
  <c r="L18" i="1" s="1"/>
  <c r="L21" i="1" s="1"/>
  <c r="L42" i="2"/>
  <c r="M39" i="2"/>
  <c r="M38" i="2"/>
  <c r="M36" i="2"/>
  <c r="L26" i="2"/>
  <c r="L14" i="9" s="1"/>
  <c r="M21" i="2"/>
  <c r="M13" i="2"/>
  <c r="M51" i="2"/>
  <c r="M16" i="9" s="1"/>
  <c r="M22" i="2"/>
  <c r="N43" i="2"/>
  <c r="N11" i="10"/>
  <c r="M24" i="2"/>
  <c r="M15" i="2"/>
  <c r="M23" i="2"/>
  <c r="M46" i="2"/>
  <c r="M16" i="2"/>
  <c r="L41" i="2"/>
  <c r="L14" i="2" s="1"/>
  <c r="L16" i="10"/>
  <c r="L35" i="2" s="1"/>
  <c r="L40" i="2" s="1"/>
  <c r="M13" i="10"/>
  <c r="O4" i="10"/>
  <c r="M13" i="6"/>
  <c r="N13" i="6" s="1"/>
  <c r="O13" i="6" s="1"/>
  <c r="N10" i="1"/>
  <c r="N5" i="1"/>
  <c r="N6" i="1" s="1"/>
  <c r="N15" i="1"/>
  <c r="N11" i="1"/>
  <c r="N12" i="1"/>
  <c r="N41" i="6" l="1"/>
  <c r="O41" i="6" s="1"/>
  <c r="K37" i="9"/>
  <c r="K39" i="9" s="1"/>
  <c r="M58" i="6"/>
  <c r="L17" i="2"/>
  <c r="L15" i="9"/>
  <c r="K28" i="2"/>
  <c r="K14" i="9"/>
  <c r="K45" i="2"/>
  <c r="K28" i="9" s="1"/>
  <c r="K55" i="2"/>
  <c r="K29" i="9" s="1"/>
  <c r="O50" i="6"/>
  <c r="N36" i="2"/>
  <c r="N14" i="1" s="1"/>
  <c r="N20" i="2"/>
  <c r="N44" i="2"/>
  <c r="N25" i="2" s="1"/>
  <c r="N39" i="6"/>
  <c r="L36" i="6"/>
  <c r="M36" i="6" s="1"/>
  <c r="K59" i="2"/>
  <c r="K20" i="9" s="1"/>
  <c r="N51" i="2"/>
  <c r="N16" i="9" s="1"/>
  <c r="M56" i="2"/>
  <c r="N37" i="6"/>
  <c r="K10" i="12"/>
  <c r="K7" i="9" s="1"/>
  <c r="K10" i="9" s="1"/>
  <c r="K12" i="12"/>
  <c r="K31" i="1"/>
  <c r="L23" i="1"/>
  <c r="L22" i="1"/>
  <c r="K58" i="2"/>
  <c r="K19" i="9" s="1"/>
  <c r="L37" i="2"/>
  <c r="M14" i="1"/>
  <c r="M5" i="9" s="1"/>
  <c r="L28" i="2"/>
  <c r="N39" i="2"/>
  <c r="N38" i="2"/>
  <c r="N13" i="2"/>
  <c r="N21" i="2"/>
  <c r="M26" i="2"/>
  <c r="M14" i="9" s="1"/>
  <c r="N22" i="2"/>
  <c r="N10" i="10"/>
  <c r="N13" i="10" s="1"/>
  <c r="M14" i="10"/>
  <c r="N24" i="2"/>
  <c r="N15" i="2"/>
  <c r="N23" i="2"/>
  <c r="N46" i="2"/>
  <c r="N16" i="2"/>
  <c r="O7" i="10"/>
  <c r="O4" i="1" s="1"/>
  <c r="O5" i="1" s="1"/>
  <c r="O6" i="1" s="1"/>
  <c r="K31" i="9" l="1"/>
  <c r="K21" i="9"/>
  <c r="K23" i="9" s="1"/>
  <c r="N58" i="6"/>
  <c r="N16" i="1"/>
  <c r="N18" i="1" s="1"/>
  <c r="N21" i="1" s="1"/>
  <c r="N5" i="9"/>
  <c r="M37" i="2"/>
  <c r="N42" i="2"/>
  <c r="O15" i="1"/>
  <c r="O53" i="2"/>
  <c r="O17" i="9" s="1"/>
  <c r="O9" i="1"/>
  <c r="O51" i="2" s="1"/>
  <c r="O16" i="9" s="1"/>
  <c r="O57" i="2"/>
  <c r="O18" i="9" s="1"/>
  <c r="O11" i="1"/>
  <c r="O10" i="1"/>
  <c r="O12" i="1"/>
  <c r="O39" i="6"/>
  <c r="N36" i="6"/>
  <c r="O36" i="6" s="1"/>
  <c r="K35" i="6"/>
  <c r="O37" i="6"/>
  <c r="N56" i="2"/>
  <c r="K16" i="12"/>
  <c r="L24" i="1"/>
  <c r="L37" i="9" s="1"/>
  <c r="L39" i="9" s="1"/>
  <c r="M16" i="1"/>
  <c r="M18" i="1" s="1"/>
  <c r="M42" i="2"/>
  <c r="N23" i="1"/>
  <c r="N26" i="2"/>
  <c r="N14" i="9" s="1"/>
  <c r="O11" i="10"/>
  <c r="O43" i="2"/>
  <c r="M41" i="2"/>
  <c r="M14" i="2" s="1"/>
  <c r="M16" i="10"/>
  <c r="M35" i="2" s="1"/>
  <c r="M40" i="2" s="1"/>
  <c r="O10" i="10"/>
  <c r="N14" i="10"/>
  <c r="K42" i="9" l="1"/>
  <c r="K43" i="9" s="1"/>
  <c r="N22" i="1"/>
  <c r="O58" i="6"/>
  <c r="L45" i="2"/>
  <c r="L28" i="9" s="1"/>
  <c r="L4" i="9"/>
  <c r="L10" i="9" s="1"/>
  <c r="M17" i="2"/>
  <c r="M28" i="2" s="1"/>
  <c r="M15" i="9"/>
  <c r="O22" i="2"/>
  <c r="O20" i="2"/>
  <c r="O44" i="2"/>
  <c r="O25" i="2" s="1"/>
  <c r="L55" i="2" a="1"/>
  <c r="L55" i="2" s="1"/>
  <c r="L29" i="9" s="1"/>
  <c r="O56" i="2"/>
  <c r="L31" i="1"/>
  <c r="L59" i="2"/>
  <c r="L20" i="9" s="1"/>
  <c r="L35" i="6"/>
  <c r="M35" i="6" s="1"/>
  <c r="N35" i="6" s="1"/>
  <c r="O35" i="6" s="1"/>
  <c r="K8" i="2"/>
  <c r="K9" i="2" s="1"/>
  <c r="L12" i="12"/>
  <c r="L58" i="2"/>
  <c r="L19" i="9" s="1"/>
  <c r="L10" i="12"/>
  <c r="L7" i="9" s="1"/>
  <c r="M23" i="1"/>
  <c r="M22" i="1"/>
  <c r="M21" i="1"/>
  <c r="N24" i="1"/>
  <c r="N37" i="9" s="1"/>
  <c r="N39" i="9" s="1"/>
  <c r="O39" i="2"/>
  <c r="O38" i="2"/>
  <c r="O36" i="2"/>
  <c r="O13" i="2"/>
  <c r="O21" i="2"/>
  <c r="O13" i="10"/>
  <c r="O14" i="10" s="1"/>
  <c r="O41" i="2" s="1"/>
  <c r="O14" i="2" s="1"/>
  <c r="N41" i="2"/>
  <c r="N14" i="2" s="1"/>
  <c r="N16" i="10"/>
  <c r="N35" i="2" s="1"/>
  <c r="N40" i="2" s="1"/>
  <c r="O24" i="2"/>
  <c r="O15" i="2"/>
  <c r="O23" i="2"/>
  <c r="O46" i="2"/>
  <c r="O16" i="2"/>
  <c r="L31" i="9" l="1"/>
  <c r="L41" i="9"/>
  <c r="K54" i="2"/>
  <c r="K60" i="2" s="1"/>
  <c r="O15" i="9"/>
  <c r="L21" i="9"/>
  <c r="L23" i="9" s="1"/>
  <c r="L42" i="9" s="1"/>
  <c r="N45" i="2"/>
  <c r="N4" i="9"/>
  <c r="N17" i="2"/>
  <c r="N28" i="2" s="1"/>
  <c r="N15" i="9"/>
  <c r="K30" i="2"/>
  <c r="N59" i="2"/>
  <c r="L16" i="12"/>
  <c r="N58" i="2"/>
  <c r="N12" i="12"/>
  <c r="N10" i="12"/>
  <c r="N7" i="9" s="1"/>
  <c r="N31" i="1"/>
  <c r="M24" i="1"/>
  <c r="M37" i="9" s="1"/>
  <c r="M39" i="9" s="1"/>
  <c r="N37" i="2"/>
  <c r="O14" i="1"/>
  <c r="O5" i="9" s="1"/>
  <c r="O26" i="2"/>
  <c r="O14" i="9" s="1"/>
  <c r="O16" i="10"/>
  <c r="O35" i="2" s="1"/>
  <c r="O40" i="2" s="1"/>
  <c r="O17" i="2"/>
  <c r="L43" i="9" l="1"/>
  <c r="N10" i="9"/>
  <c r="M45" i="2"/>
  <c r="M28" i="9" s="1"/>
  <c r="M4" i="9"/>
  <c r="N28" i="9"/>
  <c r="L8" i="2"/>
  <c r="M59" i="2"/>
  <c r="M20" i="9" s="1"/>
  <c r="M55" i="2" a="1"/>
  <c r="M55" i="2" s="1"/>
  <c r="M29" i="9" s="1"/>
  <c r="N16" i="12"/>
  <c r="M58" i="2"/>
  <c r="M19" i="9" s="1"/>
  <c r="M12" i="12"/>
  <c r="M10" i="12"/>
  <c r="M7" i="9" s="1"/>
  <c r="M31" i="1"/>
  <c r="O16" i="1"/>
  <c r="O18" i="1" s="1"/>
  <c r="O21" i="1" s="1"/>
  <c r="O42" i="2"/>
  <c r="O28" i="2"/>
  <c r="M31" i="9" l="1"/>
  <c r="M10" i="9"/>
  <c r="M41" i="9"/>
  <c r="L54" i="2"/>
  <c r="N19" i="9"/>
  <c r="M21" i="9"/>
  <c r="M23" i="9" s="1"/>
  <c r="M42" i="9" s="1"/>
  <c r="N55" i="2" a="1"/>
  <c r="N55" i="2" s="1"/>
  <c r="N29" i="9" s="1"/>
  <c r="N31" i="9" s="1"/>
  <c r="N20" i="9"/>
  <c r="L9" i="2"/>
  <c r="L30" i="2"/>
  <c r="O22" i="1"/>
  <c r="O23" i="1"/>
  <c r="M16" i="12"/>
  <c r="N8" i="2"/>
  <c r="M43" i="9" l="1"/>
  <c r="N21" i="9"/>
  <c r="N23" i="9" s="1"/>
  <c r="N42" i="9" s="1"/>
  <c r="O24" i="1"/>
  <c r="O37" i="9" s="1"/>
  <c r="O39" i="9" s="1"/>
  <c r="N9" i="2"/>
  <c r="N30" i="2"/>
  <c r="M8" i="2"/>
  <c r="N41" i="9" l="1"/>
  <c r="N43" i="9" s="1"/>
  <c r="M54" i="2"/>
  <c r="O45" i="2"/>
  <c r="O28" i="9" s="1"/>
  <c r="O4" i="9"/>
  <c r="O31" i="1"/>
  <c r="O59" i="2"/>
  <c r="O20" i="9" s="1"/>
  <c r="O55" i="2" a="1"/>
  <c r="O55" i="2" s="1"/>
  <c r="O29" i="9" s="1"/>
  <c r="O58" i="2"/>
  <c r="O19" i="9" s="1"/>
  <c r="O10" i="12"/>
  <c r="O7" i="9" s="1"/>
  <c r="O12" i="12"/>
  <c r="M9" i="2"/>
  <c r="M30" i="2"/>
  <c r="M60" i="2"/>
  <c r="L60" i="2"/>
  <c r="O31" i="9" l="1"/>
  <c r="O41" i="9"/>
  <c r="N54" i="2"/>
  <c r="N60" i="2" s="1"/>
  <c r="O10" i="9"/>
  <c r="O21" i="9"/>
  <c r="O16" i="12"/>
  <c r="O23" i="9" l="1"/>
  <c r="O42" i="9" s="1"/>
  <c r="O43" i="9"/>
  <c r="O54" i="2" s="1"/>
  <c r="O60" i="2" s="1"/>
  <c r="O8" i="2"/>
  <c r="O9" i="2" s="1"/>
  <c r="O30" i="2" l="1"/>
  <c r="L45" i="6"/>
  <c r="K48" i="2"/>
  <c r="K62" i="2" s="1"/>
  <c r="L47" i="2" l="1"/>
  <c r="L48" i="2" s="1"/>
  <c r="L62" i="2" s="1"/>
  <c r="M45" i="6"/>
  <c r="N45" i="6" s="1"/>
  <c r="N47" i="2" s="1"/>
  <c r="M47" i="2" l="1"/>
  <c r="M48" i="2" s="1"/>
  <c r="M62" i="2" s="1"/>
  <c r="N48" i="2"/>
  <c r="N62" i="2" s="1"/>
  <c r="O45" i="6"/>
  <c r="O47" i="2" s="1"/>
  <c r="O48" i="2" l="1"/>
  <c r="O6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<sst xmlns="http://schemas.openxmlformats.org/spreadsheetml/2006/main" count="296" uniqueCount="214">
  <si>
    <t>Asset Schedule</t>
  </si>
  <si>
    <t>(All numbers in INR Lakhs unless specified)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</si>
  <si>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</si>
  <si>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</si>
  <si>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</si>
  <si>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</si>
  <si>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</si>
  <si>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</si>
  <si>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</si>
  <si>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</si>
  <si>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</si>
  <si>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</si>
  <si>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</si>
  <si>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Opening Gross Block</t>
  </si>
  <si>
    <t>Add:CAPEX</t>
  </si>
  <si>
    <t>Less:Disposal Of Assets</t>
  </si>
  <si>
    <t>Closing Gross Block</t>
  </si>
  <si>
    <t>Accumulated  Depreciation</t>
  </si>
  <si>
    <t>Opening Balance</t>
  </si>
  <si>
    <t>Add:Current Year Depreciation</t>
  </si>
  <si>
    <t>Less:Depreciation Non-Expense</t>
  </si>
  <si>
    <t>Closing Accumulated Depreciation</t>
  </si>
  <si>
    <t>As stated in Balance Sheet</t>
  </si>
  <si>
    <t>As a % of Gross Block</t>
  </si>
  <si>
    <t>Net Block</t>
  </si>
  <si>
    <t>Debt Schedule</t>
  </si>
  <si>
    <t>Secured Loan</t>
  </si>
  <si>
    <t>Add:New Issues</t>
  </si>
  <si>
    <t>Less:Repayments</t>
  </si>
  <si>
    <t>Closing Balance</t>
  </si>
  <si>
    <t>Unsecured Loan</t>
  </si>
  <si>
    <t>Average Loan Outstanding</t>
  </si>
  <si>
    <t>Interest Rate (in %)</t>
  </si>
  <si>
    <t>Assumption Sheet</t>
  </si>
  <si>
    <t>P&amp;L Assumptions</t>
  </si>
  <si>
    <t xml:space="preserve">Revenue </t>
  </si>
  <si>
    <t>Revenue From Operations Growth Rate</t>
  </si>
  <si>
    <t>Other Income as a % of Revenue from Operations</t>
  </si>
  <si>
    <t>Costs</t>
  </si>
  <si>
    <t>Cost of materials consumed as a % of  revenue from operations</t>
  </si>
  <si>
    <t>Purchase of stock in trade as a % of revenue from operations</t>
  </si>
  <si>
    <t>Change in inventories of finished goods,work in progress and stock as a % of Rev from Oper</t>
  </si>
  <si>
    <t>Employee Benefit Expenses as a % of Revenue From Operations</t>
  </si>
  <si>
    <t>Other Expenses as a % of revenue from operations</t>
  </si>
  <si>
    <t>Balance Sheet Assumptions</t>
  </si>
  <si>
    <t>Non Current Liabilities</t>
  </si>
  <si>
    <t>Long Term Lease Liabilities as a % of Gross Block</t>
  </si>
  <si>
    <t>Deferred Tax Liabilities as a % of Depreciation</t>
  </si>
  <si>
    <t>Other non current liabilities as a % of  Gross Block</t>
  </si>
  <si>
    <t>Other long term financial liabilities as % of Gross Block</t>
  </si>
  <si>
    <t>Current Liabilities</t>
  </si>
  <si>
    <t>Short Term Borrowings as a % of Gross Block</t>
  </si>
  <si>
    <t>Lease Liabilities as a % of Gross Block</t>
  </si>
  <si>
    <t>Days Payable Outstanding</t>
  </si>
  <si>
    <t>Other financial liablities as a % of Gross Block</t>
  </si>
  <si>
    <t>Other current liabilities as a %  of Total Revenue</t>
  </si>
  <si>
    <t>Short Term Provisions as a % of Gross Block</t>
  </si>
  <si>
    <t>Current Assets</t>
  </si>
  <si>
    <t>Days Sales Of Inventory</t>
  </si>
  <si>
    <t>Current Investments Growth Rate</t>
  </si>
  <si>
    <t>Days Sales Outstanding</t>
  </si>
  <si>
    <t>Current Tax Assets(net) as a % of Total Revenue</t>
  </si>
  <si>
    <t>Loans as a % of Revenue From Operations</t>
  </si>
  <si>
    <t>Non Current Assets</t>
  </si>
  <si>
    <t>Non Current Investments as a % of Gross Block</t>
  </si>
  <si>
    <t>Other Non Current Assets as a % of revenue from operations</t>
  </si>
  <si>
    <t>Profit &amp; Loss Statement</t>
  </si>
  <si>
    <t>as on 31st March</t>
  </si>
  <si>
    <t>All numbers in INR Lakhs unless specified</t>
  </si>
  <si>
    <t>Revenue From Operations</t>
  </si>
  <si>
    <t>Other Income</t>
  </si>
  <si>
    <t>Total Income</t>
  </si>
  <si>
    <t>Expenses</t>
  </si>
  <si>
    <t>Cost of materials consumed</t>
  </si>
  <si>
    <t>Purchase of stock-in trade</t>
  </si>
  <si>
    <t>Changes in inventories of finished goods,work in progress and stock in trade</t>
  </si>
  <si>
    <t>Employee benefit expenses</t>
  </si>
  <si>
    <t>Financial costs</t>
  </si>
  <si>
    <t>Depreciation and Amortization Expenses</t>
  </si>
  <si>
    <t>Other expenses</t>
  </si>
  <si>
    <t>Total Expenses</t>
  </si>
  <si>
    <t>Profit Before Tax</t>
  </si>
  <si>
    <t>Tax Expenses:</t>
  </si>
  <si>
    <t>Current Tax</t>
  </si>
  <si>
    <t>Deferred Tax</t>
  </si>
  <si>
    <t>Tax adjustments relating to earlier years</t>
  </si>
  <si>
    <t>Profit for the period</t>
  </si>
  <si>
    <t>Other comprehensive income</t>
  </si>
  <si>
    <t>Items that will not be reclassified to profit or loss</t>
  </si>
  <si>
    <t>Remeasurements of the defined benefit plans</t>
  </si>
  <si>
    <t>Income tax related to items that will not be reclassified to profit or loss</t>
  </si>
  <si>
    <t>Foreign currency transition reserve</t>
  </si>
  <si>
    <t>Total Comprehensive Income For The Period</t>
  </si>
  <si>
    <t>Balance Statement</t>
  </si>
  <si>
    <t>As on 31st March</t>
  </si>
  <si>
    <t>Equities And Liabilities</t>
  </si>
  <si>
    <t>Equity</t>
  </si>
  <si>
    <t>Shares to be allotted</t>
  </si>
  <si>
    <t>Other Equity</t>
  </si>
  <si>
    <t>Total Shareholder's Equity</t>
  </si>
  <si>
    <t>Long Term Borrowings</t>
  </si>
  <si>
    <t>Lease Liabilities</t>
  </si>
  <si>
    <t>Deferred Tax Liabilities(net)</t>
  </si>
  <si>
    <t>Other non current liabilities</t>
  </si>
  <si>
    <t>Other financial liabilities</t>
  </si>
  <si>
    <t>Total Non Current Liabilities</t>
  </si>
  <si>
    <t>Short Term Borrowings</t>
  </si>
  <si>
    <t xml:space="preserve">Lease Liabilities </t>
  </si>
  <si>
    <t>Trade Payables</t>
  </si>
  <si>
    <t>Other current liabilities</t>
  </si>
  <si>
    <t>Short Term Provisions</t>
  </si>
  <si>
    <t>Total Current Liabilities</t>
  </si>
  <si>
    <r>
      <rPr>
        <b/>
        <sz val="11"/>
        <color theme="1"/>
        <rFont val="Calibri"/>
        <family val="2"/>
        <scheme val="minor"/>
      </rPr>
      <t>Total Liabilities</t>
    </r>
    <r>
      <rPr>
        <sz val="11"/>
        <color theme="1"/>
        <rFont val="Calibri"/>
        <family val="2"/>
        <scheme val="minor"/>
      </rPr>
      <t xml:space="preserve"> </t>
    </r>
  </si>
  <si>
    <t>Total Liabilities and Shareholder's Equity</t>
  </si>
  <si>
    <t>Assets</t>
  </si>
  <si>
    <t>Fixed Assets</t>
  </si>
  <si>
    <t>Tangible Assets(net value)/net PPE</t>
  </si>
  <si>
    <t>Other Intangible Assets(net)</t>
  </si>
  <si>
    <t>Intangible Assets Under Development</t>
  </si>
  <si>
    <t>Right to Use Assets</t>
  </si>
  <si>
    <t>Goodwill</t>
  </si>
  <si>
    <t>Accumulated Depreciation(on tangibles)</t>
  </si>
  <si>
    <t>Amortization/Impairment(on intangibles)</t>
  </si>
  <si>
    <t>Gross Block</t>
  </si>
  <si>
    <t>Capital WIP</t>
  </si>
  <si>
    <t>Non Current Investments</t>
  </si>
  <si>
    <t>Other Non Current Assets</t>
  </si>
  <si>
    <t>Total Non Current Assets</t>
  </si>
  <si>
    <t>Inventories</t>
  </si>
  <si>
    <t>Investments</t>
  </si>
  <si>
    <t>Trade Recievables</t>
  </si>
  <si>
    <t>Cash and Cash Equivalents</t>
  </si>
  <si>
    <t>Bank Balances other than C&amp;CE</t>
  </si>
  <si>
    <t>Current Tax Assets(net)</t>
  </si>
  <si>
    <t xml:space="preserve">Loans </t>
  </si>
  <si>
    <t>Other financial assets</t>
  </si>
  <si>
    <t>Other current assets</t>
  </si>
  <si>
    <t>Total Current Assets</t>
  </si>
  <si>
    <t>Total Assets</t>
  </si>
  <si>
    <t>Cash Flow Statment</t>
  </si>
  <si>
    <t>All Numbers are in INR Lakhs unless specified</t>
  </si>
  <si>
    <t>Ratios</t>
  </si>
  <si>
    <t>Return On Gross Block</t>
  </si>
  <si>
    <t>Reserve Schedule</t>
  </si>
  <si>
    <t>Share Capital</t>
  </si>
  <si>
    <t>Equity Share Capital</t>
  </si>
  <si>
    <t>Reserve And Surplus</t>
  </si>
  <si>
    <t>Capital Reserve</t>
  </si>
  <si>
    <t>Securities Premium</t>
  </si>
  <si>
    <t>General Reserve</t>
  </si>
  <si>
    <t>Retained Earnings</t>
  </si>
  <si>
    <t>Other Comprehensive Income</t>
  </si>
  <si>
    <t>Other Items Of Comprehensive Income</t>
  </si>
  <si>
    <t>Employee Share Base Payment Reserve</t>
  </si>
  <si>
    <t xml:space="preserve">Equity Share Capital </t>
  </si>
  <si>
    <t>Other Intangible Assets(net) as a % of Gross Block</t>
  </si>
  <si>
    <t>Right To Use Assets by Gross Block</t>
  </si>
  <si>
    <t>Goodwill to Gross Block</t>
  </si>
  <si>
    <t>Amortisation expense as a % of Intangible Assets</t>
  </si>
  <si>
    <t xml:space="preserve">Intangible Assets </t>
  </si>
  <si>
    <t>Intangible Assets as a % of Gross Block</t>
  </si>
  <si>
    <t xml:space="preserve">Amortisation Expense to Net Intangible Asset </t>
  </si>
  <si>
    <t>Current Tax Paid as a % of PBT</t>
  </si>
  <si>
    <t>Deferred Tax as a % of PBT</t>
  </si>
  <si>
    <t>Tax related to items frome earlier years as a % of PBT</t>
  </si>
  <si>
    <t xml:space="preserve">Retained Earnings to PAT </t>
  </si>
  <si>
    <t>Income tax related to items that will not be reclassified to profit or loss to respective items</t>
  </si>
  <si>
    <t>Remeasurements of the defined benefit plans growth rate</t>
  </si>
  <si>
    <t>Income tax related to items that will not be reclassified to profit or loss as a % of these items</t>
  </si>
  <si>
    <t>Non Controlling Interest</t>
  </si>
  <si>
    <t>ESPR as a % of PAT</t>
  </si>
  <si>
    <t>ONCI growth rate %</t>
  </si>
  <si>
    <t>Bank Balances Other Than C&amp;CE as a % of PAT</t>
  </si>
  <si>
    <t>Other financial assets as a % of PAT</t>
  </si>
  <si>
    <t>Bank Balances Other Than C&amp;CE growth rate</t>
  </si>
  <si>
    <t>Capital WIP as a % of PAT</t>
  </si>
  <si>
    <t>Revenue to Gross Block</t>
  </si>
  <si>
    <t>Cashflow From Operations</t>
  </si>
  <si>
    <t>PAT</t>
  </si>
  <si>
    <t>Net Changes in Working Capital</t>
  </si>
  <si>
    <t>Add:Increase in Current Liabilities</t>
  </si>
  <si>
    <t>Add:Increase in Deferred Tax Liability</t>
  </si>
  <si>
    <t>Less:Increase in Inventories</t>
  </si>
  <si>
    <t>Less:Increase in Loans</t>
  </si>
  <si>
    <t>Less:Increase in Other Current Assets</t>
  </si>
  <si>
    <t>Net Change in Working Capital</t>
  </si>
  <si>
    <t>Cash Flow from Operations</t>
  </si>
  <si>
    <t>Cashflow From Investing Activities</t>
  </si>
  <si>
    <t>Less:CAPEX</t>
  </si>
  <si>
    <t>Add:Disposal of Assets</t>
  </si>
  <si>
    <t>Less:Increase in Capital WIP</t>
  </si>
  <si>
    <t>Less:Increase in Investments</t>
  </si>
  <si>
    <t>Cash Flow from Investing Activities</t>
  </si>
  <si>
    <t>Add:Depreciation and Amortization</t>
  </si>
  <si>
    <t>Less:Increase in Trade Recievables</t>
  </si>
  <si>
    <t>Less:Increase in Other Financial Assets</t>
  </si>
  <si>
    <t>Cashflow From Financing Activities</t>
  </si>
  <si>
    <t>Add:Increase in Share Capital</t>
  </si>
  <si>
    <t>Add:Increase in Long-term Borrowings</t>
  </si>
  <si>
    <t>Less:Increase in Bank Balances</t>
  </si>
  <si>
    <t>Less:Finance Costs paid</t>
  </si>
  <si>
    <t>Less:Remeasurement of Net Defined Benefit Plans</t>
  </si>
  <si>
    <t>Cash and Cash Equivalents at the beginning of the year</t>
  </si>
  <si>
    <t>Add:Increase in Cash and Cash Equivalents</t>
  </si>
  <si>
    <t xml:space="preserve">Less:Dividends paid </t>
  </si>
  <si>
    <t>Finance Cost paid to Finance Costs</t>
  </si>
  <si>
    <t>Less:Derivatives</t>
  </si>
  <si>
    <t>Cash Flow from Financing Activities</t>
  </si>
  <si>
    <t>Dividend to PAT</t>
  </si>
  <si>
    <t>Add:Employee Share Base Payment Reserve</t>
  </si>
  <si>
    <t>Add:Financial Costs</t>
  </si>
  <si>
    <t>Add:Profit/Loss from Disposal of Assets</t>
  </si>
  <si>
    <t>Operating Profit Before Working Capital Changes</t>
  </si>
  <si>
    <t>Cash and Cash Equivalents at the end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</si>
</sst>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6" fillId="0" borderId="0" xfId="0" applyFont="1"/>
    <xf numFmtId="2" fontId="6" fillId="0" borderId="0" xfId="0" applyNumberFormat="1" applyFont="1"/>
    <xf numFmtId="4" fontId="6" fillId="0" borderId="0" xfId="0" applyNumberFormat="1" applyFont="1"/>
    <xf numFmtId="2" fontId="1" fillId="0" borderId="1" xfId="0" applyNumberFormat="1" applyFont="1" applyBorder="1"/>
    <xf numFmtId="4" fontId="1" fillId="0" borderId="1" xfId="0" applyNumberFormat="1" applyFont="1" applyBorder="1"/>
    <xf numFmtId="10" fontId="0" fillId="0" borderId="0" xfId="1" applyNumberFormat="1" applyFont="1"/>
    <xf numFmtId="10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0" fontId="7" fillId="0" borderId="0" xfId="0" applyFont="1"/>
    <xf numFmtId="2" fontId="7" fillId="0" borderId="0" xfId="0" applyNumberFormat="1" applyFont="1"/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0" fontId="0" fillId="0" borderId="2" xfId="0" applyBorder="1"/>
    <xf numFmtId="0" fontId="8" fillId="0" borderId="0" xfId="0" applyFont="1"/>
    <xf numFmtId="2" fontId="9" fillId="0" borderId="0" xfId="0" applyNumberFormat="1" applyFont="1"/>
    <xf numFmtId="0" fontId="9" fillId="0" borderId="0" xfId="0" applyFont="1"/>
    <xf numFmtId="2" fontId="1" fillId="0" borderId="0" xfId="0" applyNumberFormat="1" applyFont="1"/>
    <xf numFmtId="2" fontId="7" fillId="0" borderId="2" xfId="0" applyNumberFormat="1" applyFont="1" applyBorder="1"/>
    <xf numFmtId="2" fontId="0" fillId="0" borderId="2" xfId="0" applyNumberFormat="1" applyBorder="1"/>
    <xf numFmtId="10" fontId="0" fillId="0" borderId="0" xfId="1" quotePrefix="1" applyNumberFormat="1" applyFont="1"/>
    <xf numFmtId="165" fontId="0" fillId="0" borderId="0" xfId="0" applyNumberFormat="1"/>
    <xf numFmtId="2" fontId="0" fillId="0" borderId="0" xfId="1" applyNumberFormat="1" applyFont="1"/>
    <xf numFmtId="0" fontId="1" fillId="0" borderId="3" xfId="0" applyFont="1" applyBorder="1"/>
    <xf numFmtId="0" fontId="1" fillId="0" borderId="2" xfId="0" applyFont="1" applyBorder="1"/>
    <xf numFmtId="10" fontId="1" fillId="0" borderId="2" xfId="1" applyNumberFormat="1" applyFont="1" applyBorder="1"/>
    <xf numFmtId="10" fontId="1" fillId="0" borderId="2" xfId="0" applyNumberFormat="1" applyFont="1" applyBorder="1"/>
    <xf numFmtId="0" fontId="1" fillId="0" borderId="4" xfId="0" applyFont="1" applyBorder="1"/>
    <xf numFmtId="0" fontId="0" fillId="0" borderId="5" xfId="0" applyBorder="1"/>
    <xf numFmtId="2" fontId="0" fillId="0" borderId="5" xfId="0" applyNumberFormat="1" applyBorder="1"/>
    <xf numFmtId="2" fontId="6" fillId="0" borderId="2" xfId="0" applyNumberFormat="1" applyFont="1" applyBorder="1"/>
    <xf numFmtId="0" fontId="0" fillId="2" borderId="0" xfId="0" applyFill="1" applyAlignment="1">
      <alignment horizontal="center"/>
    </xf>
    <xf numFmtId="10" fontId="1" fillId="0" borderId="5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EE3A-4243-4C5D-B378-BA495559FA72}">
  <dimension ref="A1:Z16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7" sqref="N7"/>
    </sheetView>
  </sheetViews>
  <sheetFormatPr defaultRowHeight="14.4" x14ac:dyDescent="0.3"/>
  <cols>
    <col min="1" max="2" width="3.33203125" customWidth="1"/>
    <col min="3" max="3" width="34.6640625" customWidth="1"/>
    <col min="4" max="4" width="3.33203125" customWidth="1"/>
    <col min="11" max="11" width="9" bestFit="1" customWidth="1"/>
    <col min="12" max="12" width="9.5546875" bestFit="1" customWidth="1"/>
    <col min="13" max="13" width="9.6640625" bestFit="1" customWidth="1"/>
    <col min="14" max="14" width="10.6640625" bestFit="1" customWidth="1"/>
    <col min="15" max="15" width="11.6640625" bestFit="1" customWidth="1"/>
  </cols>
  <sheetData>
    <row r="1" spans="1:26" ht="18" x14ac:dyDescent="0.35">
      <c r="A1" s="5" t="s">
        <v>0</v>
      </c>
    </row>
    <row r="2" spans="1:26" x14ac:dyDescent="0.3">
      <c r="A2" s="6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4" spans="1:26" x14ac:dyDescent="0.3">
      <c r="A4" s="3" t="s">
        <v>13</v>
      </c>
      <c r="F4">
        <f t="shared" ref="F4:O4" si="0">E$7</f>
        <v>17437.16</v>
      </c>
      <c r="G4">
        <f t="shared" si="0"/>
        <v>18837.91</v>
      </c>
      <c r="H4">
        <f t="shared" si="0"/>
        <v>19740.16</v>
      </c>
      <c r="I4">
        <f t="shared" si="0"/>
        <v>20784.38</v>
      </c>
      <c r="J4">
        <f t="shared" si="0"/>
        <v>21561.940000000002</v>
      </c>
      <c r="K4">
        <f t="shared" si="0"/>
        <v>24583.039999999997</v>
      </c>
      <c r="L4">
        <f t="shared" si="0"/>
        <v>75583.039999999994</v>
      </c>
      <c r="M4">
        <f t="shared" si="0"/>
        <v>77743.039999999994</v>
      </c>
      <c r="N4" s="21">
        <f t="shared" si="0"/>
        <v>90743.039999999994</v>
      </c>
      <c r="O4" s="21">
        <f t="shared" si="0"/>
        <v>94743.039999999994</v>
      </c>
    </row>
    <row r="5" spans="1:26" x14ac:dyDescent="0.3">
      <c r="A5" t="s">
        <v>14</v>
      </c>
      <c r="F5">
        <f>F7-F4-F6</f>
        <v>1385.91</v>
      </c>
      <c r="G5">
        <f t="shared" ref="G5:J5" si="1">G7-G4-G6</f>
        <v>898.37</v>
      </c>
      <c r="H5">
        <f t="shared" si="1"/>
        <v>1029.8500000000013</v>
      </c>
      <c r="I5">
        <f t="shared" si="1"/>
        <v>588.92000000000132</v>
      </c>
      <c r="J5">
        <f t="shared" si="1"/>
        <v>2969.6699999999951</v>
      </c>
      <c r="K5" s="21">
        <v>55000</v>
      </c>
      <c r="L5" s="21">
        <v>3000</v>
      </c>
      <c r="M5" s="21">
        <v>16000</v>
      </c>
      <c r="N5" s="21">
        <v>5000</v>
      </c>
      <c r="O5" s="21">
        <v>10000</v>
      </c>
      <c r="Q5" s="20"/>
    </row>
    <row r="6" spans="1:26" x14ac:dyDescent="0.3">
      <c r="A6" s="23" t="s">
        <v>15</v>
      </c>
      <c r="B6" s="23"/>
      <c r="C6" s="23"/>
      <c r="D6" s="23"/>
      <c r="E6" s="23"/>
      <c r="F6" s="23">
        <v>14.84</v>
      </c>
      <c r="G6" s="23">
        <v>3.88</v>
      </c>
      <c r="H6" s="23">
        <v>14.37</v>
      </c>
      <c r="I6" s="23">
        <v>188.64</v>
      </c>
      <c r="J6" s="23">
        <v>51.43</v>
      </c>
      <c r="K6" s="29">
        <v>4000</v>
      </c>
      <c r="L6" s="29">
        <v>840</v>
      </c>
      <c r="M6" s="29">
        <v>3000</v>
      </c>
      <c r="N6" s="29">
        <v>1000</v>
      </c>
      <c r="O6" s="29">
        <v>2000</v>
      </c>
      <c r="Q6" s="21"/>
    </row>
    <row r="7" spans="1:26" x14ac:dyDescent="0.3">
      <c r="A7" s="3" t="s">
        <v>16</v>
      </c>
      <c r="E7" s="3">
        <f>'Balance Sheet'!E$43</f>
        <v>17437.16</v>
      </c>
      <c r="F7" s="3">
        <f>'Balance Sheet'!F$43</f>
        <v>18837.91</v>
      </c>
      <c r="G7" s="3">
        <f>'Balance Sheet'!G$43</f>
        <v>19740.16</v>
      </c>
      <c r="H7" s="3">
        <f>'Balance Sheet'!H$43</f>
        <v>20784.38</v>
      </c>
      <c r="I7" s="3">
        <f>'Balance Sheet'!I$43</f>
        <v>21561.940000000002</v>
      </c>
      <c r="J7" s="3">
        <f>'Balance Sheet'!J$43</f>
        <v>24583.039999999997</v>
      </c>
      <c r="K7" s="27">
        <f>SUM(K4:K5)-K6</f>
        <v>75583.039999999994</v>
      </c>
      <c r="L7" s="27">
        <f>SUM(L4:L5)-L6</f>
        <v>77743.039999999994</v>
      </c>
      <c r="M7" s="27">
        <f t="shared" ref="M7:O7" si="2">SUM(M4:M5)-M6</f>
        <v>90743.039999999994</v>
      </c>
      <c r="N7" s="27">
        <f t="shared" si="2"/>
        <v>94743.039999999994</v>
      </c>
      <c r="O7" s="27">
        <f t="shared" si="2"/>
        <v>102743.03999999999</v>
      </c>
      <c r="P7" s="20"/>
      <c r="Q7" s="32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F8" s="20"/>
      <c r="G8" s="20"/>
      <c r="H8" s="20"/>
      <c r="I8" s="20"/>
      <c r="J8" s="20"/>
      <c r="K8" s="20"/>
      <c r="L8" s="20"/>
      <c r="M8" s="20"/>
      <c r="N8" s="20"/>
      <c r="O8" s="20"/>
      <c r="R8" s="21"/>
    </row>
    <row r="9" spans="1:26" x14ac:dyDescent="0.3">
      <c r="A9" s="3" t="s">
        <v>17</v>
      </c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26" x14ac:dyDescent="0.3">
      <c r="A10" t="s">
        <v>18</v>
      </c>
      <c r="F10">
        <f>E$13</f>
        <v>1280.6400000000001</v>
      </c>
      <c r="G10">
        <f t="shared" ref="G10:O10" si="3">F$13</f>
        <v>2131.12</v>
      </c>
      <c r="H10">
        <f t="shared" si="3"/>
        <v>3083.94</v>
      </c>
      <c r="I10">
        <f t="shared" si="3"/>
        <v>4036.7200000000003</v>
      </c>
      <c r="J10">
        <f t="shared" si="3"/>
        <v>5037.0700000000006</v>
      </c>
      <c r="K10" s="21">
        <f t="shared" si="3"/>
        <v>6286.6600000000008</v>
      </c>
      <c r="L10" s="21">
        <f t="shared" si="3"/>
        <v>9716.0311135014545</v>
      </c>
      <c r="M10" s="21">
        <f t="shared" si="3"/>
        <v>13368.067154997367</v>
      </c>
      <c r="N10" s="21">
        <f t="shared" si="3"/>
        <v>17658.441185379394</v>
      </c>
      <c r="O10" s="21">
        <f t="shared" si="3"/>
        <v>22122.342029309704</v>
      </c>
    </row>
    <row r="11" spans="1:26" x14ac:dyDescent="0.3">
      <c r="A11" s="3" t="s">
        <v>19</v>
      </c>
      <c r="E11" s="21">
        <v>623.4</v>
      </c>
      <c r="F11">
        <v>850.48</v>
      </c>
      <c r="G11">
        <v>952.82</v>
      </c>
      <c r="H11">
        <v>952.78</v>
      </c>
      <c r="I11">
        <v>1000.35</v>
      </c>
      <c r="J11">
        <f>1249.59</f>
        <v>1249.5899999999999</v>
      </c>
      <c r="K11" s="21">
        <f>K7*K15</f>
        <v>3429.3711135014541</v>
      </c>
      <c r="L11" s="21">
        <f t="shared" ref="L11:O11" si="4">L7*L15</f>
        <v>3652.0360414959118</v>
      </c>
      <c r="M11" s="21">
        <f t="shared" si="4"/>
        <v>4290.3740303820277</v>
      </c>
      <c r="N11" s="21">
        <f t="shared" si="4"/>
        <v>4463.9008439303107</v>
      </c>
      <c r="O11" s="21">
        <f t="shared" si="4"/>
        <v>4862.6558307139903</v>
      </c>
    </row>
    <row r="12" spans="1:26" x14ac:dyDescent="0.3">
      <c r="A12" s="23" t="s">
        <v>20</v>
      </c>
      <c r="B12" s="23"/>
      <c r="C12" s="23"/>
      <c r="D12" s="23"/>
      <c r="E12" s="23"/>
      <c r="F12" s="23">
        <f>F13-F14</f>
        <v>13.960000000000036</v>
      </c>
      <c r="G12" s="23">
        <f t="shared" ref="G12:J12" si="5">G13-G14</f>
        <v>22.059999999999945</v>
      </c>
      <c r="H12" s="23">
        <f t="shared" si="5"/>
        <v>27.820000000000164</v>
      </c>
      <c r="I12" s="23">
        <f t="shared" si="5"/>
        <v>668.17000000000098</v>
      </c>
      <c r="J12" s="23">
        <f t="shared" si="5"/>
        <v>904.38000000000102</v>
      </c>
      <c r="K12" s="29">
        <f>AVERAGE(I12:J12)</f>
        <v>786.275000000001</v>
      </c>
      <c r="L12" s="29">
        <f t="shared" ref="L12:O12" si="6">AVERAGE(J12:K12)</f>
        <v>845.32750000000101</v>
      </c>
      <c r="M12" s="29">
        <f t="shared" si="6"/>
        <v>815.801250000001</v>
      </c>
      <c r="N12" s="29">
        <f t="shared" si="6"/>
        <v>830.56437500000106</v>
      </c>
      <c r="O12" s="29">
        <f t="shared" si="6"/>
        <v>823.18281250000109</v>
      </c>
    </row>
    <row r="13" spans="1:26" x14ac:dyDescent="0.3">
      <c r="A13" s="3" t="s">
        <v>21</v>
      </c>
      <c r="E13" s="3">
        <f>'Balance Sheet'!E$41</f>
        <v>1280.6400000000001</v>
      </c>
      <c r="F13" s="3">
        <f>SUM(F10:F11)</f>
        <v>2131.12</v>
      </c>
      <c r="G13" s="3">
        <f t="shared" ref="G13:O13" si="7">SUM(G10:G11)</f>
        <v>3083.94</v>
      </c>
      <c r="H13" s="3">
        <f t="shared" si="7"/>
        <v>4036.7200000000003</v>
      </c>
      <c r="I13" s="3">
        <f t="shared" si="7"/>
        <v>5037.0700000000006</v>
      </c>
      <c r="J13" s="3">
        <f t="shared" si="7"/>
        <v>6286.6600000000008</v>
      </c>
      <c r="K13" s="27">
        <f t="shared" si="7"/>
        <v>9716.0311135014545</v>
      </c>
      <c r="L13" s="27">
        <f t="shared" si="7"/>
        <v>13368.067154997367</v>
      </c>
      <c r="M13" s="27">
        <f t="shared" si="7"/>
        <v>17658.441185379394</v>
      </c>
      <c r="N13" s="27">
        <f t="shared" si="7"/>
        <v>22122.342029309704</v>
      </c>
      <c r="O13" s="27">
        <f t="shared" si="7"/>
        <v>26984.997860023694</v>
      </c>
    </row>
    <row r="14" spans="1:26" x14ac:dyDescent="0.3">
      <c r="A14" t="s">
        <v>22</v>
      </c>
      <c r="E14">
        <f>'Balance Sheet'!E$41</f>
        <v>1280.6400000000001</v>
      </c>
      <c r="F14">
        <f>'Balance Sheet'!F$41</f>
        <v>2117.16</v>
      </c>
      <c r="G14">
        <f>'Balance Sheet'!G$41</f>
        <v>3061.88</v>
      </c>
      <c r="H14">
        <f>'Balance Sheet'!H$41</f>
        <v>4008.9</v>
      </c>
      <c r="I14">
        <f>'Balance Sheet'!I$41</f>
        <v>4368.8999999999996</v>
      </c>
      <c r="J14">
        <f>'Balance Sheet'!J$41</f>
        <v>5382.28</v>
      </c>
      <c r="K14" s="21">
        <f>K13-K12</f>
        <v>8929.756113501453</v>
      </c>
      <c r="L14" s="21">
        <f t="shared" ref="L14:O14" si="8">L13-L12</f>
        <v>12522.739654997366</v>
      </c>
      <c r="M14" s="21">
        <f t="shared" si="8"/>
        <v>16842.639935379393</v>
      </c>
      <c r="N14" s="21">
        <f t="shared" si="8"/>
        <v>21291.777654309702</v>
      </c>
      <c r="O14" s="21">
        <f t="shared" si="8"/>
        <v>26161.815047523691</v>
      </c>
    </row>
    <row r="15" spans="1:26" x14ac:dyDescent="0.3">
      <c r="A15" s="3" t="s">
        <v>23</v>
      </c>
      <c r="E15" s="14">
        <f t="shared" ref="E15:J15" si="9">E11/E7</f>
        <v>3.5751234719415319E-2</v>
      </c>
      <c r="F15" s="14">
        <f t="shared" si="9"/>
        <v>4.5147258905048386E-2</v>
      </c>
      <c r="G15" s="14">
        <f t="shared" si="9"/>
        <v>4.8268099144079889E-2</v>
      </c>
      <c r="H15" s="14">
        <f t="shared" si="9"/>
        <v>4.5841155714050646E-2</v>
      </c>
      <c r="I15" s="14">
        <f t="shared" si="9"/>
        <v>4.6394248383958024E-2</v>
      </c>
      <c r="J15" s="14">
        <f t="shared" si="9"/>
        <v>5.0831386191455573E-2</v>
      </c>
      <c r="K15" s="15">
        <f>AVERAGE(E15:J15)</f>
        <v>4.5372230509667967E-2</v>
      </c>
      <c r="L15" s="15">
        <f t="shared" ref="L15:O15" si="10">AVERAGE(F15:K15)</f>
        <v>4.6975729808043425E-2</v>
      </c>
      <c r="M15" s="15">
        <f t="shared" si="10"/>
        <v>4.7280474958542588E-2</v>
      </c>
      <c r="N15" s="15">
        <f t="shared" si="10"/>
        <v>4.7115870927619707E-2</v>
      </c>
      <c r="O15" s="15">
        <f t="shared" si="10"/>
        <v>4.7328323463214549E-2</v>
      </c>
    </row>
    <row r="16" spans="1:26" x14ac:dyDescent="0.3">
      <c r="A16" s="7" t="s">
        <v>24</v>
      </c>
      <c r="B16" s="8"/>
      <c r="C16" s="8"/>
      <c r="D16" s="8"/>
      <c r="E16" s="7">
        <f>'Balance Sheet'!E$40</f>
        <v>16156.52</v>
      </c>
      <c r="F16" s="7">
        <f>'Balance Sheet'!F$40</f>
        <v>16720.75</v>
      </c>
      <c r="G16" s="7">
        <f>'Balance Sheet'!G$40</f>
        <v>16678.28</v>
      </c>
      <c r="H16" s="7">
        <f>'Balance Sheet'!H$40</f>
        <v>16775.48</v>
      </c>
      <c r="I16" s="7">
        <f>'Balance Sheet'!I$40</f>
        <v>17193.04</v>
      </c>
      <c r="J16" s="7">
        <f>'Balance Sheet'!J$40</f>
        <v>19200.759999999998</v>
      </c>
      <c r="K16" s="12">
        <f>K7-K14</f>
        <v>66653.283886498539</v>
      </c>
      <c r="L16" s="12">
        <f t="shared" ref="L16:O16" si="11">L7-L14</f>
        <v>65220.30034500263</v>
      </c>
      <c r="M16" s="12">
        <f t="shared" si="11"/>
        <v>73900.400064620597</v>
      </c>
      <c r="N16" s="12">
        <f t="shared" si="11"/>
        <v>73451.262345690295</v>
      </c>
      <c r="O16" s="12">
        <f t="shared" si="11"/>
        <v>76581.224952476303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2E23-409E-4045-B6CB-D3D2AB7EFC52}">
  <dimension ref="A1:Q2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R18" sqref="R18"/>
    </sheetView>
  </sheetViews>
  <sheetFormatPr defaultRowHeight="14.4" x14ac:dyDescent="0.3"/>
  <cols>
    <col min="1" max="2" width="3.33203125" customWidth="1"/>
    <col min="3" max="3" width="36.6640625" customWidth="1"/>
    <col min="4" max="4" width="3.33203125" customWidth="1"/>
    <col min="11" max="12" width="9.5546875" bestFit="1" customWidth="1"/>
    <col min="15" max="15" width="9.21875" bestFit="1" customWidth="1"/>
  </cols>
  <sheetData>
    <row r="1" spans="1:17" ht="18" x14ac:dyDescent="0.35">
      <c r="A1" s="5" t="s">
        <v>25</v>
      </c>
    </row>
    <row r="2" spans="1:17" x14ac:dyDescent="0.3">
      <c r="A2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4" spans="1:17" x14ac:dyDescent="0.3">
      <c r="A4" s="3" t="s">
        <v>26</v>
      </c>
    </row>
    <row r="5" spans="1:17" x14ac:dyDescent="0.3">
      <c r="A5" t="s">
        <v>18</v>
      </c>
      <c r="F5">
        <f>E8</f>
        <v>6688.77</v>
      </c>
      <c r="G5">
        <f t="shared" ref="G5:K5" si="0">F8</f>
        <v>5366.47</v>
      </c>
      <c r="H5">
        <f t="shared" si="0"/>
        <v>3747.47</v>
      </c>
      <c r="I5">
        <f t="shared" si="0"/>
        <v>3253.51</v>
      </c>
      <c r="J5" s="21">
        <f t="shared" si="0"/>
        <v>2448.6999999999998</v>
      </c>
      <c r="K5" s="21">
        <f t="shared" si="0"/>
        <v>1778.2</v>
      </c>
      <c r="L5" s="21">
        <f t="shared" ref="L5" si="1">K8</f>
        <v>36443.079999999994</v>
      </c>
      <c r="M5" s="21">
        <f t="shared" ref="M5" si="2">L8</f>
        <v>36443.079999999994</v>
      </c>
      <c r="N5" s="21">
        <f t="shared" ref="N5" si="3">M8</f>
        <v>37443.079999999994</v>
      </c>
      <c r="O5" s="21">
        <f t="shared" ref="O5" si="4">N8</f>
        <v>38843.079999999994</v>
      </c>
      <c r="Q5" s="21"/>
    </row>
    <row r="6" spans="1:17" x14ac:dyDescent="0.3">
      <c r="A6" t="s">
        <v>27</v>
      </c>
      <c r="K6" s="21">
        <v>34664.879999999997</v>
      </c>
    </row>
    <row r="7" spans="1:17" x14ac:dyDescent="0.3">
      <c r="A7" s="23" t="s">
        <v>28</v>
      </c>
      <c r="B7" s="23"/>
      <c r="C7" s="23"/>
      <c r="D7" s="23"/>
      <c r="E7" s="23"/>
      <c r="F7" s="29">
        <f>F8-F5</f>
        <v>-1322.3000000000002</v>
      </c>
      <c r="G7" s="29">
        <f t="shared" ref="G7:J7" si="5">G8-G5</f>
        <v>-1619.0000000000005</v>
      </c>
      <c r="H7" s="29">
        <f t="shared" si="5"/>
        <v>-493.95999999999958</v>
      </c>
      <c r="I7" s="29">
        <f t="shared" si="5"/>
        <v>-804.8100000000004</v>
      </c>
      <c r="J7" s="29">
        <f t="shared" si="5"/>
        <v>-670.49999999999977</v>
      </c>
      <c r="K7" s="29">
        <v>0</v>
      </c>
      <c r="L7" s="29">
        <v>0</v>
      </c>
      <c r="M7" s="29">
        <v>1000</v>
      </c>
      <c r="N7" s="29">
        <v>1400</v>
      </c>
      <c r="O7" s="29">
        <v>1800</v>
      </c>
    </row>
    <row r="8" spans="1:17" x14ac:dyDescent="0.3">
      <c r="A8" s="3" t="s">
        <v>29</v>
      </c>
      <c r="B8" s="3"/>
      <c r="C8" s="3"/>
      <c r="D8" s="3"/>
      <c r="E8" s="3">
        <v>6688.77</v>
      </c>
      <c r="F8" s="3">
        <v>5366.47</v>
      </c>
      <c r="G8" s="3">
        <v>3747.47</v>
      </c>
      <c r="H8" s="3">
        <v>3253.51</v>
      </c>
      <c r="I8" s="27">
        <v>2448.6999999999998</v>
      </c>
      <c r="J8" s="27">
        <v>1778.2</v>
      </c>
      <c r="K8" s="27">
        <f>SUM(K5:K7)</f>
        <v>36443.079999999994</v>
      </c>
      <c r="L8" s="27">
        <f t="shared" ref="L8:O8" si="6">SUM(L5:L7)</f>
        <v>36443.079999999994</v>
      </c>
      <c r="M8" s="27">
        <f t="shared" si="6"/>
        <v>37443.079999999994</v>
      </c>
      <c r="N8" s="27">
        <f t="shared" si="6"/>
        <v>38843.079999999994</v>
      </c>
      <c r="O8" s="27">
        <f t="shared" si="6"/>
        <v>40643.079999999994</v>
      </c>
      <c r="P8" s="27"/>
      <c r="Q8" s="27"/>
    </row>
    <row r="10" spans="1:17" x14ac:dyDescent="0.3">
      <c r="A10" s="3" t="s">
        <v>30</v>
      </c>
    </row>
    <row r="11" spans="1:17" x14ac:dyDescent="0.3">
      <c r="A11" t="s">
        <v>18</v>
      </c>
      <c r="F11">
        <f>E14</f>
        <v>476.38</v>
      </c>
      <c r="G11">
        <f t="shared" ref="G11:K11" si="7">F14</f>
        <v>498.96</v>
      </c>
      <c r="H11">
        <f t="shared" si="7"/>
        <v>524.69000000000005</v>
      </c>
      <c r="I11">
        <f t="shared" si="7"/>
        <v>438.95</v>
      </c>
      <c r="J11">
        <f t="shared" si="7"/>
        <v>456.32</v>
      </c>
      <c r="K11">
        <f t="shared" si="7"/>
        <v>401.12</v>
      </c>
      <c r="L11" s="21">
        <f t="shared" ref="L11" si="8">K14</f>
        <v>5736.24</v>
      </c>
      <c r="M11" s="21">
        <f t="shared" ref="M11" si="9">L14</f>
        <v>5736.24</v>
      </c>
      <c r="N11" s="21">
        <f t="shared" ref="N11" si="10">M14</f>
        <v>5696.24</v>
      </c>
      <c r="O11" s="21">
        <f t="shared" ref="O11" si="11">N14</f>
        <v>5636.24</v>
      </c>
    </row>
    <row r="12" spans="1:17" x14ac:dyDescent="0.3">
      <c r="A12" t="s">
        <v>27</v>
      </c>
      <c r="F12">
        <f>F14-F11</f>
        <v>22.579999999999984</v>
      </c>
      <c r="G12">
        <f>G14-G11</f>
        <v>25.730000000000075</v>
      </c>
      <c r="I12">
        <f>I14-I11</f>
        <v>17.370000000000005</v>
      </c>
      <c r="K12">
        <v>5335.12</v>
      </c>
      <c r="L12" s="21"/>
      <c r="M12" s="21"/>
      <c r="N12" s="21"/>
      <c r="O12" s="21"/>
    </row>
    <row r="13" spans="1:17" x14ac:dyDescent="0.3">
      <c r="A13" t="s">
        <v>28</v>
      </c>
      <c r="H13">
        <f>H14-H11</f>
        <v>-85.740000000000066</v>
      </c>
      <c r="J13">
        <f>J14-J11</f>
        <v>-55.199999999999989</v>
      </c>
      <c r="K13" s="21">
        <v>0</v>
      </c>
      <c r="L13" s="21">
        <v>0</v>
      </c>
      <c r="M13" s="21">
        <v>-40</v>
      </c>
      <c r="N13" s="21">
        <v>-60</v>
      </c>
      <c r="O13" s="21">
        <v>-80</v>
      </c>
    </row>
    <row r="14" spans="1:17" x14ac:dyDescent="0.3">
      <c r="A14" s="7" t="s">
        <v>29</v>
      </c>
      <c r="B14" s="7"/>
      <c r="C14" s="7"/>
      <c r="D14" s="7"/>
      <c r="E14" s="7">
        <v>476.38</v>
      </c>
      <c r="F14" s="7">
        <v>498.96</v>
      </c>
      <c r="G14" s="7">
        <v>524.69000000000005</v>
      </c>
      <c r="H14" s="7">
        <v>438.95</v>
      </c>
      <c r="I14" s="7">
        <v>456.32</v>
      </c>
      <c r="J14" s="7">
        <v>401.12</v>
      </c>
      <c r="K14" s="12">
        <f>SUM(K11:K13)</f>
        <v>5736.24</v>
      </c>
      <c r="L14" s="12">
        <f>SUM(L11:L13)</f>
        <v>5736.24</v>
      </c>
      <c r="M14" s="12">
        <f t="shared" ref="M14:O14" si="12">SUM(M11:M13)</f>
        <v>5696.24</v>
      </c>
      <c r="N14" s="12">
        <f t="shared" si="12"/>
        <v>5636.24</v>
      </c>
      <c r="O14" s="12">
        <f t="shared" si="12"/>
        <v>5556.24</v>
      </c>
    </row>
    <row r="16" spans="1:17" x14ac:dyDescent="0.3">
      <c r="A16" s="37" t="s">
        <v>31</v>
      </c>
      <c r="B16" s="38"/>
      <c r="C16" s="38"/>
      <c r="D16" s="38"/>
      <c r="E16" s="38"/>
      <c r="F16" s="39">
        <f>AVERAGE(F5,F8,F11,F14)</f>
        <v>3257.645</v>
      </c>
      <c r="G16" s="39">
        <f t="shared" ref="G16:O16" si="13">AVERAGE(G5,G8,G11,G14)</f>
        <v>2534.3975</v>
      </c>
      <c r="H16" s="39">
        <f t="shared" si="13"/>
        <v>1991.155</v>
      </c>
      <c r="I16" s="39">
        <f t="shared" si="13"/>
        <v>1649.37</v>
      </c>
      <c r="J16" s="39">
        <f t="shared" si="13"/>
        <v>1271.0849999999998</v>
      </c>
      <c r="K16" s="39">
        <f t="shared" si="13"/>
        <v>11089.659999999998</v>
      </c>
      <c r="L16" s="39">
        <f t="shared" si="13"/>
        <v>21089.66</v>
      </c>
      <c r="M16" s="39">
        <f t="shared" si="13"/>
        <v>21329.66</v>
      </c>
      <c r="N16" s="39">
        <f t="shared" si="13"/>
        <v>21904.66</v>
      </c>
      <c r="O16" s="39">
        <f t="shared" si="13"/>
        <v>22669.66</v>
      </c>
    </row>
    <row r="17" spans="1:15" x14ac:dyDescent="0.3">
      <c r="A17" s="33" t="s">
        <v>32</v>
      </c>
      <c r="B17" s="34"/>
      <c r="C17" s="34"/>
      <c r="D17" s="34"/>
      <c r="E17" s="34"/>
      <c r="F17" s="35">
        <f>'P&amp;L Sheet'!F$13/F$16</f>
        <v>0.51641906960396233</v>
      </c>
      <c r="G17" s="35">
        <f>'P&amp;L Sheet'!G$13/G$16</f>
        <v>0.49771198085541046</v>
      </c>
      <c r="H17" s="35">
        <f>'P&amp;L Sheet'!H$13/H$16</f>
        <v>0.5496960306957519</v>
      </c>
      <c r="I17" s="35">
        <f>'P&amp;L Sheet'!I$13/I$16</f>
        <v>0.56968418244541863</v>
      </c>
      <c r="J17" s="35">
        <f>'P&amp;L Sheet'!J$13/J$16</f>
        <v>0.88607764232919128</v>
      </c>
      <c r="K17" s="36">
        <f>AVERAGE(I17:J17)</f>
        <v>0.7278809123873049</v>
      </c>
      <c r="L17" s="36">
        <f t="shared" ref="L17:O17" si="14">AVERAGE(J17:K17)</f>
        <v>0.80697927735824804</v>
      </c>
      <c r="M17" s="36">
        <f t="shared" si="14"/>
        <v>0.76743009487277647</v>
      </c>
      <c r="N17" s="36">
        <f t="shared" si="14"/>
        <v>0.7872046861155122</v>
      </c>
      <c r="O17" s="42">
        <f t="shared" si="14"/>
        <v>0.77731739049414439</v>
      </c>
    </row>
    <row r="19" spans="1:15" x14ac:dyDescent="0.3">
      <c r="E19" s="14"/>
      <c r="F19" s="14"/>
      <c r="G19" s="14"/>
      <c r="H19" s="14"/>
      <c r="I19" s="14"/>
      <c r="J19" s="14"/>
      <c r="K19" s="15"/>
      <c r="L19" s="15"/>
      <c r="M19" s="15"/>
      <c r="N19" s="15"/>
      <c r="O19" s="15"/>
    </row>
    <row r="20" spans="1:15" x14ac:dyDescent="0.3">
      <c r="E20" s="14"/>
      <c r="F20" s="14"/>
      <c r="G20" s="14"/>
      <c r="H20" s="14"/>
      <c r="I20" s="14"/>
      <c r="J20" s="14"/>
      <c r="K20" s="15"/>
      <c r="L20" s="15"/>
      <c r="M20" s="15"/>
      <c r="N20" s="15"/>
      <c r="O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C37E-C877-42B4-AA1C-A489DC467E9D}">
  <dimension ref="A1:O18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2" sqref="O22"/>
    </sheetView>
  </sheetViews>
  <sheetFormatPr defaultRowHeight="14.4" x14ac:dyDescent="0.3"/>
  <cols>
    <col min="1" max="2" width="3.33203125" customWidth="1"/>
    <col min="3" max="3" width="30" customWidth="1"/>
    <col min="4" max="4" width="3.33203125" customWidth="1"/>
    <col min="11" max="11" width="9.5546875" bestFit="1" customWidth="1"/>
    <col min="15" max="15" width="8.88671875" customWidth="1"/>
  </cols>
  <sheetData>
    <row r="1" spans="1:15" ht="18" x14ac:dyDescent="0.35">
      <c r="A1" s="5" t="s">
        <v>143</v>
      </c>
    </row>
    <row r="2" spans="1:15" x14ac:dyDescent="0.3">
      <c r="A2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2" t="s">
        <v>12</v>
      </c>
    </row>
    <row r="4" spans="1:15" x14ac:dyDescent="0.3">
      <c r="A4" s="3" t="s">
        <v>144</v>
      </c>
    </row>
    <row r="5" spans="1:15" x14ac:dyDescent="0.3">
      <c r="A5" t="s">
        <v>145</v>
      </c>
      <c r="E5" s="21">
        <f>'Balance Sheet'!E6</f>
        <v>3524</v>
      </c>
      <c r="F5" s="21">
        <f>'Balance Sheet'!F6</f>
        <v>3524</v>
      </c>
      <c r="G5" s="21">
        <f>'Balance Sheet'!G6</f>
        <v>3524</v>
      </c>
      <c r="H5" s="21">
        <f>'Balance Sheet'!H6</f>
        <v>3524</v>
      </c>
      <c r="I5" s="21">
        <f>'Balance Sheet'!I6</f>
        <v>3524</v>
      </c>
      <c r="J5" s="21">
        <f>'Balance Sheet'!J6</f>
        <v>3807.85</v>
      </c>
      <c r="K5" s="21">
        <f>J5</f>
        <v>3807.85</v>
      </c>
      <c r="L5" s="21">
        <f t="shared" ref="L5:O5" si="0">K5</f>
        <v>3807.85</v>
      </c>
      <c r="M5" s="21">
        <f t="shared" si="0"/>
        <v>3807.85</v>
      </c>
      <c r="N5" s="21">
        <f t="shared" si="0"/>
        <v>3807.85</v>
      </c>
      <c r="O5" s="21">
        <f t="shared" si="0"/>
        <v>3807.85</v>
      </c>
    </row>
    <row r="6" spans="1:15" x14ac:dyDescent="0.3">
      <c r="E6" s="21"/>
      <c r="F6" s="21"/>
      <c r="G6" s="21"/>
      <c r="H6" s="21"/>
      <c r="I6" s="21">
        <f>J5-I5</f>
        <v>283.84999999999991</v>
      </c>
      <c r="J6" s="21"/>
    </row>
    <row r="7" spans="1:15" x14ac:dyDescent="0.3">
      <c r="A7" s="3" t="s">
        <v>146</v>
      </c>
    </row>
    <row r="8" spans="1:15" x14ac:dyDescent="0.3">
      <c r="A8" t="s">
        <v>147</v>
      </c>
      <c r="E8">
        <v>37.32</v>
      </c>
      <c r="F8">
        <v>37.32</v>
      </c>
      <c r="G8">
        <v>37.32</v>
      </c>
      <c r="H8">
        <v>37.32</v>
      </c>
      <c r="I8">
        <v>37.32</v>
      </c>
      <c r="J8">
        <v>37.32</v>
      </c>
      <c r="K8" s="21">
        <f>J8</f>
        <v>37.32</v>
      </c>
      <c r="L8" s="21">
        <f t="shared" ref="L8:O8" si="1">K8</f>
        <v>37.32</v>
      </c>
      <c r="M8" s="21">
        <f t="shared" si="1"/>
        <v>37.32</v>
      </c>
      <c r="N8" s="21">
        <f t="shared" si="1"/>
        <v>37.32</v>
      </c>
      <c r="O8" s="21">
        <f t="shared" si="1"/>
        <v>37.32</v>
      </c>
    </row>
    <row r="9" spans="1:15" x14ac:dyDescent="0.3">
      <c r="A9" t="s">
        <v>148</v>
      </c>
      <c r="E9">
        <v>1172.1500000000001</v>
      </c>
      <c r="F9">
        <v>1172.1500000000001</v>
      </c>
      <c r="G9">
        <v>1172.1500000000001</v>
      </c>
      <c r="H9">
        <v>1172.1600000000001</v>
      </c>
      <c r="I9">
        <v>1172.1600000000001</v>
      </c>
      <c r="J9">
        <v>1172.1600000000001</v>
      </c>
      <c r="K9" s="21">
        <f>J9</f>
        <v>1172.1600000000001</v>
      </c>
      <c r="L9" s="21">
        <f t="shared" ref="L9:O9" si="2">K9</f>
        <v>1172.1600000000001</v>
      </c>
      <c r="M9" s="21">
        <f t="shared" si="2"/>
        <v>1172.1600000000001</v>
      </c>
      <c r="N9" s="21">
        <f t="shared" si="2"/>
        <v>1172.1600000000001</v>
      </c>
      <c r="O9" s="21">
        <f t="shared" si="2"/>
        <v>1172.1600000000001</v>
      </c>
    </row>
    <row r="10" spans="1:15" x14ac:dyDescent="0.3">
      <c r="A10" t="s">
        <v>153</v>
      </c>
      <c r="J10">
        <v>227.15</v>
      </c>
      <c r="K10" s="21">
        <f>'Assumption Sheet'!K54*'P&amp;L Sheet'!K24</f>
        <v>137.1588841444148</v>
      </c>
      <c r="L10" s="21">
        <f>'Assumption Sheet'!L54*'P&amp;L Sheet'!L24</f>
        <v>125.44703855677372</v>
      </c>
      <c r="M10" s="21">
        <f>'Assumption Sheet'!M54*'P&amp;L Sheet'!M24</f>
        <v>203.55631883768604</v>
      </c>
      <c r="N10" s="21">
        <f>'Assumption Sheet'!N54*'P&amp;L Sheet'!N24</f>
        <v>253.58000442804212</v>
      </c>
      <c r="O10" s="21">
        <f>'Assumption Sheet'!O54*'P&amp;L Sheet'!O24</f>
        <v>345.1195495490187</v>
      </c>
    </row>
    <row r="11" spans="1:15" x14ac:dyDescent="0.3">
      <c r="A11" t="s">
        <v>149</v>
      </c>
      <c r="E11" s="21">
        <v>550</v>
      </c>
      <c r="F11" s="21">
        <v>550</v>
      </c>
      <c r="G11" s="21">
        <v>550</v>
      </c>
      <c r="H11" s="21">
        <v>550</v>
      </c>
      <c r="I11" s="21">
        <v>550</v>
      </c>
      <c r="J11" s="21">
        <v>550</v>
      </c>
      <c r="K11" s="21">
        <f>J11</f>
        <v>550</v>
      </c>
      <c r="L11" s="21">
        <f t="shared" ref="L11:O11" si="3">K11</f>
        <v>550</v>
      </c>
      <c r="M11" s="21">
        <f t="shared" si="3"/>
        <v>550</v>
      </c>
      <c r="N11" s="21">
        <f t="shared" si="3"/>
        <v>550</v>
      </c>
      <c r="O11" s="21">
        <f t="shared" si="3"/>
        <v>550</v>
      </c>
    </row>
    <row r="12" spans="1:15" x14ac:dyDescent="0.3">
      <c r="A12" t="s">
        <v>150</v>
      </c>
      <c r="E12">
        <v>2057.88</v>
      </c>
      <c r="F12">
        <v>4128.8599999999997</v>
      </c>
      <c r="G12">
        <v>6465.85</v>
      </c>
      <c r="H12">
        <v>7785.56</v>
      </c>
      <c r="I12">
        <v>11058.03</v>
      </c>
      <c r="J12">
        <v>14904.77</v>
      </c>
      <c r="K12">
        <f>'P&amp;L Sheet'!K24*'Assumption Sheet'!K52</f>
        <v>7869.5757075448964</v>
      </c>
      <c r="L12" s="21">
        <f>'P&amp;L Sheet'!L24*'Assumption Sheet'!L52</f>
        <v>7697.8636100700442</v>
      </c>
      <c r="M12">
        <f>'P&amp;L Sheet'!M24*'Assumption Sheet'!M52</f>
        <v>13200.752858183349</v>
      </c>
      <c r="N12">
        <f>'P&amp;L Sheet'!N24*'Assumption Sheet'!N52</f>
        <v>17178.5902386669</v>
      </c>
      <c r="O12">
        <f>'P&amp;L Sheet'!O24*'Assumption Sheet'!O52</f>
        <v>21843.943772360755</v>
      </c>
    </row>
    <row r="13" spans="1:15" x14ac:dyDescent="0.3">
      <c r="A13" s="3" t="s">
        <v>151</v>
      </c>
    </row>
    <row r="14" spans="1:15" x14ac:dyDescent="0.3">
      <c r="A14" t="s">
        <v>152</v>
      </c>
      <c r="E14">
        <v>-29.02</v>
      </c>
      <c r="F14" s="21">
        <v>-41.9</v>
      </c>
      <c r="G14">
        <v>-86.33</v>
      </c>
      <c r="H14">
        <v>-63.72</v>
      </c>
      <c r="I14">
        <v>-111.57</v>
      </c>
      <c r="J14">
        <v>-127.33</v>
      </c>
      <c r="K14" s="21">
        <f>J14*(1+'Assumption Sheet'!K55)</f>
        <v>-173.55351248711514</v>
      </c>
      <c r="L14" s="21">
        <f>K14*(1+'Assumption Sheet'!L55)</f>
        <v>-236.55714832808633</v>
      </c>
      <c r="M14" s="21">
        <f>L14*(1+'Assumption Sheet'!M55)</f>
        <v>-322.43245108203001</v>
      </c>
      <c r="N14" s="21">
        <f>M14*(1+'Assumption Sheet'!N55)</f>
        <v>-439.48232486543816</v>
      </c>
      <c r="O14" s="21">
        <f>N14*(1+'Assumption Sheet'!O55)</f>
        <v>-599.02380551637646</v>
      </c>
    </row>
    <row r="15" spans="1:15" x14ac:dyDescent="0.3">
      <c r="A15" s="23" t="s">
        <v>169</v>
      </c>
      <c r="B15" s="23"/>
      <c r="C15" s="23"/>
      <c r="D15" s="23"/>
      <c r="E15" s="23"/>
      <c r="F15" s="29"/>
      <c r="G15" s="23"/>
      <c r="H15" s="23"/>
      <c r="I15" s="23"/>
      <c r="J15" s="23">
        <v>7.82</v>
      </c>
      <c r="K15" s="23">
        <f>J15</f>
        <v>7.82</v>
      </c>
      <c r="L15" s="23">
        <f t="shared" ref="L15:O15" si="4">K15</f>
        <v>7.82</v>
      </c>
      <c r="M15" s="23">
        <f t="shared" si="4"/>
        <v>7.82</v>
      </c>
      <c r="N15" s="23">
        <f t="shared" si="4"/>
        <v>7.82</v>
      </c>
      <c r="O15" s="23">
        <f t="shared" si="4"/>
        <v>7.82</v>
      </c>
    </row>
    <row r="16" spans="1:15" x14ac:dyDescent="0.3">
      <c r="A16" s="3" t="s">
        <v>98</v>
      </c>
      <c r="E16" s="3">
        <f t="shared" ref="E16:G16" si="5">SUM(E8:E12,E14)</f>
        <v>3788.3300000000004</v>
      </c>
      <c r="F16" s="3">
        <f t="shared" si="5"/>
        <v>5846.43</v>
      </c>
      <c r="G16" s="3">
        <f t="shared" si="5"/>
        <v>8138.99</v>
      </c>
      <c r="H16" s="3">
        <f>SUM(H8:H12,H14)</f>
        <v>9481.3200000000015</v>
      </c>
      <c r="I16" s="3">
        <f>SUM(I8:I12,I14)</f>
        <v>12705.94</v>
      </c>
      <c r="J16" s="3">
        <f>SUM(J8:J12,J14:J15)</f>
        <v>16771.89</v>
      </c>
      <c r="K16" s="3">
        <f t="shared" ref="K16:O16" si="6">SUM(K8:K12,K14:K15)</f>
        <v>9600.4810792021963</v>
      </c>
      <c r="L16" s="27">
        <f t="shared" si="6"/>
        <v>9354.0535002987326</v>
      </c>
      <c r="M16" s="3">
        <f t="shared" si="6"/>
        <v>14849.176725939004</v>
      </c>
      <c r="N16" s="3">
        <f t="shared" si="6"/>
        <v>18759.987918229504</v>
      </c>
      <c r="O16" s="27">
        <f t="shared" si="6"/>
        <v>23357.3395163934</v>
      </c>
    </row>
    <row r="17" spans="10:10" x14ac:dyDescent="0.3">
      <c r="J17" s="14"/>
    </row>
    <row r="18" spans="10:10" x14ac:dyDescent="0.3">
      <c r="J1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C7B4-1ABC-4235-83DE-6E9465DB40B6}">
  <dimension ref="A1:O58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R53" sqref="R53"/>
    </sheetView>
  </sheetViews>
  <sheetFormatPr defaultRowHeight="14.4" x14ac:dyDescent="0.3"/>
  <cols>
    <col min="1" max="2" width="3.33203125" customWidth="1"/>
    <col min="3" max="3" width="68.77734375" customWidth="1"/>
    <col min="4" max="4" width="3.33203125" customWidth="1"/>
    <col min="5" max="5" width="12" bestFit="1" customWidth="1"/>
    <col min="6" max="8" width="9.5546875" bestFit="1" customWidth="1"/>
    <col min="11" max="11" width="10.5546875" bestFit="1" customWidth="1"/>
  </cols>
  <sheetData>
    <row r="1" spans="1:15" x14ac:dyDescent="0.3">
      <c r="A1" s="3" t="s">
        <v>33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</row>
    <row r="2" spans="1:15" x14ac:dyDescent="0.3"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3">
      <c r="A3" s="3" t="s">
        <v>34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x14ac:dyDescent="0.3">
      <c r="A4" s="3" t="s">
        <v>35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3">
      <c r="A5" t="s">
        <v>36</v>
      </c>
      <c r="F5" s="14">
        <f>'P&amp;L Sheet'!F$4/'P&amp;L Sheet'!E$4-1</f>
        <v>0.24043561188093676</v>
      </c>
      <c r="G5" s="14">
        <f>'P&amp;L Sheet'!G$4/'P&amp;L Sheet'!F$4-1</f>
        <v>8.5148841645692475E-3</v>
      </c>
      <c r="H5" s="14">
        <f>'P&amp;L Sheet'!H$4/'P&amp;L Sheet'!G$4-1</f>
        <v>-0.27234348230573069</v>
      </c>
      <c r="I5" s="14">
        <f>'P&amp;L Sheet'!I$4/'P&amp;L Sheet'!H$4-1</f>
        <v>0.58499794991475684</v>
      </c>
      <c r="J5" s="14">
        <f>'P&amp;L Sheet'!J$4/'P&amp;L Sheet'!I$4-1</f>
        <v>0.40270497100000924</v>
      </c>
      <c r="K5" s="15">
        <f>AVERAGE(I$5:J$5)</f>
        <v>0.49385146045738304</v>
      </c>
      <c r="L5" s="15">
        <f t="shared" ref="L5:O5" si="0">AVERAGE(J$5:K$5)</f>
        <v>0.44827821572869614</v>
      </c>
      <c r="M5" s="15">
        <f t="shared" si="0"/>
        <v>0.47106483809303956</v>
      </c>
      <c r="N5" s="15">
        <f t="shared" si="0"/>
        <v>0.45967152691086788</v>
      </c>
      <c r="O5" s="15">
        <f t="shared" si="0"/>
        <v>0.46536818250195372</v>
      </c>
    </row>
    <row r="6" spans="1:15" x14ac:dyDescent="0.3">
      <c r="A6" t="s">
        <v>37</v>
      </c>
      <c r="E6" s="14">
        <f>'P&amp;L Sheet'!E$5/'P&amp;L Sheet'!E$4</f>
        <v>1.7290843446589911E-2</v>
      </c>
      <c r="F6" s="14">
        <f>'P&amp;L Sheet'!F$5/'P&amp;L Sheet'!F$4</f>
        <v>2.0681230692263398E-2</v>
      </c>
      <c r="G6" s="14">
        <f>'P&amp;L Sheet'!G$5/'P&amp;L Sheet'!G$4</f>
        <v>3.4543010965708193E-2</v>
      </c>
      <c r="H6" s="14">
        <f>'P&amp;L Sheet'!H$5/'P&amp;L Sheet'!H$4</f>
        <v>6.1686057623458412E-2</v>
      </c>
      <c r="I6" s="14">
        <f>'P&amp;L Sheet'!I$5/'P&amp;L Sheet'!I$4</f>
        <v>2.79384498686472E-2</v>
      </c>
      <c r="J6" s="14">
        <f>'P&amp;L Sheet'!J$5/'P&amp;L Sheet'!J$4</f>
        <v>2.8417014402355868E-2</v>
      </c>
      <c r="K6" s="15">
        <f>AVERAGE(F$6:J$6)</f>
        <v>3.4653152710486614E-2</v>
      </c>
      <c r="L6" s="15">
        <f t="shared" ref="L6:O6" si="1">AVERAGE(G$6:K$6)</f>
        <v>3.7447537114131256E-2</v>
      </c>
      <c r="M6" s="15">
        <f t="shared" si="1"/>
        <v>3.8028442343815874E-2</v>
      </c>
      <c r="N6" s="15">
        <f t="shared" si="1"/>
        <v>3.3296919287887361E-2</v>
      </c>
      <c r="O6" s="15">
        <f t="shared" si="1"/>
        <v>3.4368613171735396E-2</v>
      </c>
    </row>
    <row r="7" spans="1:15" x14ac:dyDescent="0.3">
      <c r="A7" s="3" t="s">
        <v>38</v>
      </c>
      <c r="E7" s="14"/>
      <c r="F7" s="14"/>
      <c r="G7" s="14"/>
      <c r="H7" s="14"/>
      <c r="I7" s="14"/>
      <c r="J7" s="15"/>
      <c r="K7" s="15"/>
      <c r="L7" s="15"/>
      <c r="M7" s="15"/>
      <c r="N7" s="15"/>
    </row>
    <row r="8" spans="1:15" x14ac:dyDescent="0.3">
      <c r="A8" t="s">
        <v>39</v>
      </c>
      <c r="E8" s="14">
        <f>'P&amp;L Sheet'!E$9/'P&amp;L Sheet'!E$4</f>
        <v>0.4733826885368112</v>
      </c>
      <c r="F8" s="14">
        <f>'P&amp;L Sheet'!F$9/'P&amp;L Sheet'!F$4</f>
        <v>0.43876727781442915</v>
      </c>
      <c r="G8" s="14">
        <f>'P&amp;L Sheet'!G$9/'P&amp;L Sheet'!G$4</f>
        <v>0.40315143264227765</v>
      </c>
      <c r="H8" s="14">
        <f>'P&amp;L Sheet'!H$9/'P&amp;L Sheet'!H$4</f>
        <v>0.38168557845346796</v>
      </c>
      <c r="I8" s="14">
        <f>'P&amp;L Sheet'!I$9/'P&amp;L Sheet'!I$4</f>
        <v>0.40355454722534173</v>
      </c>
      <c r="J8" s="14">
        <f>'P&amp;L Sheet'!J$9/'P&amp;L Sheet'!J$4</f>
        <v>0.37721946314083332</v>
      </c>
      <c r="K8" s="15">
        <f t="shared" ref="K8:O8" si="2">AVERAGE(F$8:J$8)</f>
        <v>0.40087565985526996</v>
      </c>
      <c r="L8" s="15">
        <f t="shared" si="2"/>
        <v>0.39329733626343816</v>
      </c>
      <c r="M8" s="15">
        <f t="shared" si="2"/>
        <v>0.39132651698767024</v>
      </c>
      <c r="N8" s="15">
        <f t="shared" si="2"/>
        <v>0.39325470469451074</v>
      </c>
      <c r="O8" s="15">
        <f t="shared" si="2"/>
        <v>0.39119473618834449</v>
      </c>
    </row>
    <row r="9" spans="1:15" x14ac:dyDescent="0.3">
      <c r="A9" t="s">
        <v>40</v>
      </c>
      <c r="E9" s="14">
        <f>'P&amp;L Sheet'!E10/'P&amp;L Sheet'!E4</f>
        <v>0</v>
      </c>
      <c r="F9" s="14">
        <f>'P&amp;L Sheet'!F10/'P&amp;L Sheet'!F4</f>
        <v>4.8750099398255943E-4</v>
      </c>
      <c r="G9" s="14">
        <f>'P&amp;L Sheet'!G10/'P&amp;L Sheet'!G4</f>
        <v>1.2877060131512424E-4</v>
      </c>
      <c r="H9" s="14">
        <f>'P&amp;L Sheet'!H10/'P&amp;L Sheet'!H4</f>
        <v>2.1072589352951715E-4</v>
      </c>
      <c r="I9" s="14">
        <f>'P&amp;L Sheet'!I10/'P&amp;L Sheet'!I4</f>
        <v>2.1230817115061752E-4</v>
      </c>
      <c r="J9" s="14">
        <f>'P&amp;L Sheet'!J10/'P&amp;L Sheet'!J4</f>
        <v>1.4162096181266993E-2</v>
      </c>
      <c r="K9" s="15">
        <f t="shared" ref="K9:O9" si="3">AVERAGE(F9:J9)</f>
        <v>3.0402803682489624E-3</v>
      </c>
      <c r="L9" s="15">
        <f t="shared" si="3"/>
        <v>3.5508362431022427E-3</v>
      </c>
      <c r="M9" s="15">
        <f t="shared" si="3"/>
        <v>4.2352493714596668E-3</v>
      </c>
      <c r="N9" s="15">
        <f t="shared" si="3"/>
        <v>5.0401540670456961E-3</v>
      </c>
      <c r="O9" s="15">
        <f t="shared" si="3"/>
        <v>6.0057232462247126E-3</v>
      </c>
    </row>
    <row r="10" spans="1:15" x14ac:dyDescent="0.3">
      <c r="A10" t="s">
        <v>41</v>
      </c>
      <c r="E10" s="14">
        <f>'P&amp;L Sheet'!E11/'P&amp;L Sheet'!E4</f>
        <v>-3.3588866132271682E-2</v>
      </c>
      <c r="F10" s="14">
        <f>'P&amp;L Sheet'!F11/'P&amp;L Sheet'!F4</f>
        <v>5.8532086556201072E-3</v>
      </c>
      <c r="G10" s="14">
        <f>'P&amp;L Sheet'!G11/'P&amp;L Sheet'!G4</f>
        <v>-2.3563038954493658E-3</v>
      </c>
      <c r="H10" s="14">
        <f>'P&amp;L Sheet'!H11/'P&amp;L Sheet'!H4</f>
        <v>8.5689751588475752E-3</v>
      </c>
      <c r="I10" s="14">
        <f>'P&amp;L Sheet'!I11/'P&amp;L Sheet'!I4</f>
        <v>-4.2791433330940003E-3</v>
      </c>
      <c r="J10" s="14">
        <f>'P&amp;L Sheet'!J11/'P&amp;L Sheet'!J4</f>
        <v>5.3834333966351891E-3</v>
      </c>
      <c r="K10" s="15">
        <f t="shared" ref="K10:M10" si="4">AVERAGE(G10:J10)</f>
        <v>1.8292403317348494E-3</v>
      </c>
      <c r="L10" s="15">
        <f t="shared" si="4"/>
        <v>2.8756263885309032E-3</v>
      </c>
      <c r="M10" s="15">
        <f t="shared" si="4"/>
        <v>1.4522891959517354E-3</v>
      </c>
      <c r="N10" s="15">
        <f>AVERAGE(J10:M10)</f>
        <v>2.8851473282131691E-3</v>
      </c>
      <c r="O10" s="15">
        <f>AVERAGE(K10:N10)</f>
        <v>2.2605758111076645E-3</v>
      </c>
    </row>
    <row r="11" spans="1:15" x14ac:dyDescent="0.3">
      <c r="A11" t="s">
        <v>42</v>
      </c>
      <c r="E11" s="14">
        <f>'P&amp;L Sheet'!E12/'P&amp;L Sheet'!E4</f>
        <v>9.7697429075026126E-2</v>
      </c>
      <c r="F11" s="14">
        <f>'P&amp;L Sheet'!F12/'P&amp;L Sheet'!F4</f>
        <v>9.6664654060104077E-2</v>
      </c>
      <c r="G11" s="14">
        <f>'P&amp;L Sheet'!G12/'P&amp;L Sheet'!G4</f>
        <v>0.10567351382877392</v>
      </c>
      <c r="H11" s="14">
        <f>'P&amp;L Sheet'!H12/'P&amp;L Sheet'!H4</f>
        <v>0.1521538963326616</v>
      </c>
      <c r="I11" s="14">
        <f>'P&amp;L Sheet'!I12/'P&amp;L Sheet'!I4</f>
        <v>0.12835987128215928</v>
      </c>
      <c r="J11" s="14">
        <f>'P&amp;L Sheet'!J12/'P&amp;L Sheet'!J4</f>
        <v>0.12270975699238958</v>
      </c>
      <c r="K11" s="15">
        <f t="shared" ref="K11:O11" si="5">AVERAGE(F11:J11)</f>
        <v>0.12111233849921769</v>
      </c>
      <c r="L11" s="15">
        <f t="shared" si="5"/>
        <v>0.12600187538704041</v>
      </c>
      <c r="M11" s="15">
        <f t="shared" si="5"/>
        <v>0.13006754769869372</v>
      </c>
      <c r="N11" s="15">
        <f t="shared" si="5"/>
        <v>0.12565027797190015</v>
      </c>
      <c r="O11" s="15">
        <f t="shared" si="5"/>
        <v>0.12510835930984832</v>
      </c>
    </row>
    <row r="12" spans="1:15" x14ac:dyDescent="0.3">
      <c r="A12" t="s">
        <v>43</v>
      </c>
      <c r="E12" s="14">
        <f>'P&amp;L Sheet'!E15/'P&amp;L Sheet'!E4</f>
        <v>0.27482547569150489</v>
      </c>
      <c r="F12" s="14">
        <f>'P&amp;L Sheet'!F15/'P&amp;L Sheet'!F4</f>
        <v>0.2776801665814872</v>
      </c>
      <c r="G12" s="14">
        <f>'P&amp;L Sheet'!G15/'P&amp;L Sheet'!G4</f>
        <v>0.28263997958688808</v>
      </c>
      <c r="H12" s="14">
        <f>'P&amp;L Sheet'!H15/'P&amp;L Sheet'!H4</f>
        <v>0.28200950825724241</v>
      </c>
      <c r="I12" s="14">
        <f>'P&amp;L Sheet'!I15/'P&amp;L Sheet'!I4</f>
        <v>0.25681318564288319</v>
      </c>
      <c r="J12" s="14">
        <f>'P&amp;L Sheet'!J15/'P&amp;L Sheet'!J4</f>
        <v>0.28623157702931268</v>
      </c>
      <c r="K12" s="15">
        <f t="shared" ref="K12:O12" si="6">AVERAGE(F12:J12)</f>
        <v>0.27707488341956277</v>
      </c>
      <c r="L12" s="15">
        <f t="shared" si="6"/>
        <v>0.27695382678717778</v>
      </c>
      <c r="M12" s="15">
        <f t="shared" si="6"/>
        <v>0.27581659622723576</v>
      </c>
      <c r="N12" s="15">
        <f t="shared" si="6"/>
        <v>0.27457801382123448</v>
      </c>
      <c r="O12" s="15">
        <f t="shared" si="6"/>
        <v>0.27813097945690463</v>
      </c>
    </row>
    <row r="13" spans="1:15" x14ac:dyDescent="0.3">
      <c r="A13" t="s">
        <v>162</v>
      </c>
      <c r="E13" s="14">
        <f>'P&amp;L Sheet'!E$21/'P&amp;L Sheet'!E$18</f>
        <v>0.21548397579105577</v>
      </c>
      <c r="F13" s="14">
        <f>'P&amp;L Sheet'!F$21/'P&amp;L Sheet'!F$18</f>
        <v>0.21811130486611441</v>
      </c>
      <c r="G13" s="14">
        <f>'P&amp;L Sheet'!G$21/'P&amp;L Sheet'!G$18</f>
        <v>0.1732821763146713</v>
      </c>
      <c r="H13" s="14">
        <f>'P&amp;L Sheet'!H$21/'P&amp;L Sheet'!H$18</f>
        <v>0.17944983254256217</v>
      </c>
      <c r="I13" s="14">
        <f>'P&amp;L Sheet'!I$21/'P&amp;L Sheet'!I$18</f>
        <v>0.19139428785700896</v>
      </c>
      <c r="J13" s="14">
        <f>'P&amp;L Sheet'!J$21/'P&amp;L Sheet'!J$18</f>
        <v>0.21435989080362736</v>
      </c>
      <c r="K13" s="15">
        <f>AVERAGE(E13:J13)</f>
        <v>0.19868024469584</v>
      </c>
      <c r="L13" s="15">
        <f t="shared" ref="L13:O15" si="7">AVERAGE(F13:K13)</f>
        <v>0.19587962284663737</v>
      </c>
      <c r="M13" s="15">
        <f t="shared" si="7"/>
        <v>0.19217434251005786</v>
      </c>
      <c r="N13" s="15">
        <f t="shared" si="7"/>
        <v>0.19532303687595565</v>
      </c>
      <c r="O13" s="15">
        <f t="shared" si="7"/>
        <v>0.1979685709315212</v>
      </c>
    </row>
    <row r="14" spans="1:15" x14ac:dyDescent="0.3">
      <c r="A14" t="s">
        <v>163</v>
      </c>
      <c r="E14" s="14">
        <f>'P&amp;L Sheet'!E22/'P&amp;L Sheet'!E18</f>
        <v>0.22127444476037034</v>
      </c>
      <c r="F14" s="14">
        <f>'P&amp;L Sheet'!F22/'P&amp;L Sheet'!F18</f>
        <v>-5.2990427249918454E-2</v>
      </c>
      <c r="G14" s="14">
        <f>'P&amp;L Sheet'!G22/'P&amp;L Sheet'!G18</f>
        <v>0.12077625801752219</v>
      </c>
      <c r="H14" s="14">
        <f>'P&amp;L Sheet'!H22/'P&amp;L Sheet'!H18</f>
        <v>9.1364603684063669E-2</v>
      </c>
      <c r="I14" s="14">
        <f>'P&amp;L Sheet'!I22/'P&amp;L Sheet'!I18</f>
        <v>0.11036614899068808</v>
      </c>
      <c r="J14" s="14">
        <f>'P&amp;L Sheet'!J22/'P&amp;L Sheet'!J18</f>
        <v>9.7171025008479628E-2</v>
      </c>
      <c r="K14" s="15">
        <f>AVERAGE(E14:J14)</f>
        <v>9.7993675535200928E-2</v>
      </c>
      <c r="L14" s="15">
        <f t="shared" si="7"/>
        <v>7.7446880664339343E-2</v>
      </c>
      <c r="M14" s="15">
        <f t="shared" si="7"/>
        <v>9.9186431983382298E-2</v>
      </c>
      <c r="N14" s="15">
        <f t="shared" si="7"/>
        <v>9.5588127644358992E-2</v>
      </c>
      <c r="O14" s="15">
        <f t="shared" si="7"/>
        <v>9.6292048304408226E-2</v>
      </c>
    </row>
    <row r="15" spans="1:15" x14ac:dyDescent="0.3">
      <c r="A15" t="s">
        <v>164</v>
      </c>
      <c r="E15" s="14">
        <f>'P&amp;L Sheet'!E23/'P&amp;L Sheet'!E18</f>
        <v>4.5132260088188451E-6</v>
      </c>
      <c r="F15" s="14">
        <f>'P&amp;L Sheet'!F23/'P&amp;L Sheet'!F18</f>
        <v>8.4572045314507322E-4</v>
      </c>
      <c r="G15" s="14">
        <f>'P&amp;L Sheet'!G23/'P&amp;L Sheet'!G18</f>
        <v>7.4231633045343266E-3</v>
      </c>
      <c r="H15" s="14">
        <f>'P&amp;L Sheet'!H23/'P&amp;L Sheet'!H18</f>
        <v>0</v>
      </c>
      <c r="I15" s="14">
        <f>'P&amp;L Sheet'!I23/'P&amp;L Sheet'!I18</f>
        <v>8.183082307355792E-4</v>
      </c>
      <c r="J15" s="14">
        <f>'P&amp;L Sheet'!J23/'P&amp;L Sheet'!J18</f>
        <v>0</v>
      </c>
      <c r="K15" s="15">
        <f>AVERAGE(E15:J15)</f>
        <v>1.5152842024039662E-3</v>
      </c>
      <c r="L15" s="15">
        <f t="shared" si="7"/>
        <v>1.7670793651364907E-3</v>
      </c>
      <c r="M15" s="15">
        <f t="shared" si="7"/>
        <v>1.9206391838017267E-3</v>
      </c>
      <c r="N15" s="15">
        <f t="shared" si="7"/>
        <v>1.0035518303462938E-3</v>
      </c>
      <c r="O15" s="15">
        <f t="shared" si="7"/>
        <v>1.1708104687373426E-3</v>
      </c>
    </row>
    <row r="16" spans="1:15" x14ac:dyDescent="0.3">
      <c r="A16" t="s">
        <v>167</v>
      </c>
      <c r="E16" s="14"/>
      <c r="F16" s="14">
        <f>('P&amp;L Sheet'!F28-'P&amp;L Sheet'!E28)/'P&amp;L Sheet'!E28</f>
        <v>-2.5866454689984102</v>
      </c>
      <c r="G16" s="14">
        <f>('P&amp;L Sheet'!G28-'P&amp;L Sheet'!F28)/'P&amp;L Sheet'!F28</f>
        <v>5.2815631262525038</v>
      </c>
      <c r="H16" s="14">
        <f>('P&amp;L Sheet'!H28-'P&amp;L Sheet'!G28)/'P&amp;L Sheet'!G28</f>
        <v>-1.5090126016908598</v>
      </c>
      <c r="I16" s="14">
        <f>('P&amp;L Sheet'!I28-'P&amp;L Sheet'!H28)/'P&amp;L Sheet'!H28</f>
        <v>-3.1156377311187717</v>
      </c>
      <c r="J16" s="14">
        <f>('P&amp;L Sheet'!J28-'P&amp;L Sheet'!I28)/'P&amp;L Sheet'!I28</f>
        <v>-0.43519478595763589</v>
      </c>
      <c r="K16" s="15">
        <f>AVERAGE(F16:J16)</f>
        <v>-0.47298549230263476</v>
      </c>
      <c r="L16" s="15">
        <f t="shared" ref="L16:O16" si="8">AVERAGE(G16:K16)</f>
        <v>-5.0253496963479728E-2</v>
      </c>
      <c r="M16" s="15">
        <f t="shared" si="8"/>
        <v>-1.1166168216066763</v>
      </c>
      <c r="N16" s="15">
        <f t="shared" si="8"/>
        <v>-1.0381376655898398</v>
      </c>
      <c r="O16" s="15">
        <f t="shared" si="8"/>
        <v>-0.62263765248405323</v>
      </c>
    </row>
    <row r="17" spans="1:15" x14ac:dyDescent="0.3">
      <c r="A17" t="s">
        <v>168</v>
      </c>
      <c r="E17" s="14">
        <f>'P&amp;L Sheet'!E29/'P&amp;L Sheet'!E28</f>
        <v>0.29093799682034976</v>
      </c>
      <c r="F17" s="14">
        <f>'P&amp;L Sheet'!F29/'P&amp;L Sheet'!F28</f>
        <v>0.29058116232464926</v>
      </c>
      <c r="G17" s="14">
        <f>'P&amp;L Sheet'!G29/'P&amp;L Sheet'!G28</f>
        <v>-0.29127452544265436</v>
      </c>
      <c r="H17" s="14">
        <f>'P&amp;L Sheet'!H29/'P&amp;L Sheet'!H28</f>
        <v>-0.29113130680037602</v>
      </c>
      <c r="I17" s="14">
        <f>'P&amp;L Sheet'!I29/'P&amp;L Sheet'!I28</f>
        <v>-0.29121611613094356</v>
      </c>
      <c r="J17" s="14">
        <f>'P&amp;L Sheet'!J29/'P&amp;L Sheet'!J28</f>
        <v>-0.29110936270653026</v>
      </c>
      <c r="K17" s="15">
        <f>AVERAGE(E17:J17)</f>
        <v>-9.7202025322584193E-2</v>
      </c>
      <c r="L17" s="15">
        <f t="shared" ref="L17:O17" si="9">AVERAGE(F17:K17)</f>
        <v>-0.16189202901307317</v>
      </c>
      <c r="M17" s="15">
        <f t="shared" si="9"/>
        <v>-0.23730422756936029</v>
      </c>
      <c r="N17" s="15">
        <f t="shared" si="9"/>
        <v>-0.22830917792381122</v>
      </c>
      <c r="O17" s="15">
        <f t="shared" si="9"/>
        <v>-0.21783882311105049</v>
      </c>
    </row>
    <row r="18" spans="1:15" x14ac:dyDescent="0.3">
      <c r="A18" s="3" t="s">
        <v>44</v>
      </c>
    </row>
    <row r="19" spans="1:15" x14ac:dyDescent="0.3">
      <c r="A19" s="3" t="s">
        <v>45</v>
      </c>
    </row>
    <row r="20" spans="1:15" x14ac:dyDescent="0.3">
      <c r="A20" t="s">
        <v>46</v>
      </c>
      <c r="J20" s="30">
        <f>'Balance Sheet'!J21/'Balance Sheet'!J43</f>
        <v>1.2459809689932572E-3</v>
      </c>
      <c r="K20" s="15">
        <f>J20</f>
        <v>1.2459809689932572E-3</v>
      </c>
      <c r="L20" s="15">
        <f t="shared" ref="L20:O20" si="10">K20</f>
        <v>1.2459809689932572E-3</v>
      </c>
      <c r="M20" s="15">
        <f t="shared" si="10"/>
        <v>1.2459809689932572E-3</v>
      </c>
      <c r="N20" s="15">
        <f t="shared" si="10"/>
        <v>1.2459809689932572E-3</v>
      </c>
      <c r="O20" s="15">
        <f t="shared" si="10"/>
        <v>1.2459809689932572E-3</v>
      </c>
    </row>
    <row r="21" spans="1:15" x14ac:dyDescent="0.3">
      <c r="A21" t="s">
        <v>47</v>
      </c>
      <c r="E21" s="14">
        <f>'Balance Sheet'!E$14/'Balance Sheet'!E$41</f>
        <v>0.51104135432283859</v>
      </c>
      <c r="F21" s="14">
        <f>'Balance Sheet'!F$14/'Balance Sheet'!F$41</f>
        <v>0.24834211868729808</v>
      </c>
      <c r="G21" s="14"/>
      <c r="H21" s="14">
        <f>'Balance Sheet'!H$14/'Balance Sheet'!H$41</f>
        <v>0.30029683953204117</v>
      </c>
      <c r="I21" s="14">
        <f>'Balance Sheet'!I$14/'Balance Sheet'!I$41</f>
        <v>0.39213989791480697</v>
      </c>
      <c r="J21" s="14">
        <f>'Balance Sheet'!J$14/'Balance Sheet'!J$41</f>
        <v>0.43707127834300707</v>
      </c>
      <c r="K21" s="15">
        <f>AVERAGE(E21:J21)</f>
        <v>0.37777829775999838</v>
      </c>
      <c r="L21" s="15">
        <f t="shared" ref="L21:N21" si="11">AVERAGE(F21:K21)</f>
        <v>0.35112568644743036</v>
      </c>
      <c r="M21" s="15">
        <f t="shared" si="11"/>
        <v>0.37168239999945679</v>
      </c>
      <c r="N21" s="15">
        <f t="shared" si="11"/>
        <v>0.37168239999945679</v>
      </c>
      <c r="O21" s="15">
        <f>AVERAGE(J21:N21)</f>
        <v>0.38186801250986985</v>
      </c>
    </row>
    <row r="22" spans="1:15" x14ac:dyDescent="0.3">
      <c r="A22" t="s">
        <v>48</v>
      </c>
      <c r="E22" s="14">
        <f>'Balance Sheet'!E15/'Balance Sheet'!E43</f>
        <v>0.11789477185504979</v>
      </c>
      <c r="F22" s="14">
        <f>'Balance Sheet'!F15/'Balance Sheet'!F43</f>
        <v>7.2481501397978862E-2</v>
      </c>
      <c r="G22" s="14">
        <f>'Balance Sheet'!G15/'Balance Sheet'!G43</f>
        <v>6.8414339093502793E-2</v>
      </c>
      <c r="H22" s="14">
        <f>'Balance Sheet'!H15/'Balance Sheet'!H43</f>
        <v>3.0629732520286869E-2</v>
      </c>
      <c r="I22" s="14">
        <f>'Balance Sheet'!I15/'Balance Sheet'!I43</f>
        <v>2.3784965545771853E-2</v>
      </c>
      <c r="J22" s="14">
        <f>'Balance Sheet'!J15/'Balance Sheet'!J43</f>
        <v>6.3763472703131921E-3</v>
      </c>
      <c r="K22" s="15">
        <f>AVERAGE(E22:J22)</f>
        <v>5.326360961381723E-2</v>
      </c>
      <c r="L22" s="15">
        <f t="shared" ref="L22:O22" si="12">AVERAGE(F22:K22)</f>
        <v>4.2491749240278466E-2</v>
      </c>
      <c r="M22" s="15">
        <f t="shared" si="12"/>
        <v>3.7493457213995066E-2</v>
      </c>
      <c r="N22" s="15">
        <f t="shared" si="12"/>
        <v>3.2339976900743778E-2</v>
      </c>
      <c r="O22" s="15">
        <f t="shared" si="12"/>
        <v>3.2625017630819937E-2</v>
      </c>
    </row>
    <row r="23" spans="1:15" x14ac:dyDescent="0.3">
      <c r="A23" t="s">
        <v>49</v>
      </c>
      <c r="E23" s="14"/>
      <c r="F23" s="14"/>
      <c r="G23" s="14"/>
      <c r="H23" s="14">
        <f>'Balance Sheet'!H16/'Balance Sheet'!H43</f>
        <v>1.3002552878652141E-2</v>
      </c>
      <c r="I23" s="14">
        <f>'Balance Sheet'!I16/'Balance Sheet'!I43</f>
        <v>1.2533658845168848E-2</v>
      </c>
      <c r="J23" s="14">
        <f>'Balance Sheet'!J16/'Balance Sheet'!J43</f>
        <v>1.3728977376272423E-2</v>
      </c>
      <c r="K23" s="15">
        <f t="shared" ref="K23" si="13">AVERAGE(I23:J23)</f>
        <v>1.3131318110720635E-2</v>
      </c>
      <c r="L23" s="15">
        <f t="shared" ref="L23" si="14">AVERAGE(J23:K23)</f>
        <v>1.3430147743496528E-2</v>
      </c>
      <c r="M23" s="15">
        <f t="shared" ref="M23" si="15">AVERAGE(K23:L23)</f>
        <v>1.3280732927108581E-2</v>
      </c>
      <c r="N23" s="15">
        <f t="shared" ref="N23" si="16">AVERAGE(L23:M23)</f>
        <v>1.3355440335302554E-2</v>
      </c>
      <c r="O23" s="15">
        <f t="shared" ref="O23" si="17">AVERAGE(M23:N23)</f>
        <v>1.3318086631205567E-2</v>
      </c>
    </row>
    <row r="24" spans="1:15" x14ac:dyDescent="0.3">
      <c r="A24" s="3" t="s">
        <v>50</v>
      </c>
      <c r="E24" s="14"/>
      <c r="F24" s="14"/>
      <c r="G24" s="14"/>
      <c r="H24" s="14"/>
      <c r="I24" s="14"/>
      <c r="J24" s="15"/>
      <c r="K24" s="15"/>
      <c r="L24" s="15"/>
      <c r="M24" s="15"/>
      <c r="N24" s="15"/>
    </row>
    <row r="25" spans="1:15" x14ac:dyDescent="0.3">
      <c r="A25" t="s">
        <v>51</v>
      </c>
      <c r="E25" s="14">
        <f>'Balance Sheet'!E20/('Balance Sheet'!E43+'Balance Sheet'!E44)</f>
        <v>0.33215683944885482</v>
      </c>
      <c r="F25" s="14">
        <f>'Balance Sheet'!F20/('Balance Sheet'!F43+'Balance Sheet'!F44)</f>
        <v>0.2388701010526004</v>
      </c>
      <c r="G25" s="14">
        <f>'Balance Sheet'!G20/('Balance Sheet'!G43+'Balance Sheet'!G44)</f>
        <v>0.19289310364505821</v>
      </c>
      <c r="H25" s="14">
        <f>'Balance Sheet'!H20/('Balance Sheet'!H43+'Balance Sheet'!H44)</f>
        <v>0.19960782619548209</v>
      </c>
      <c r="I25" s="14">
        <f>'Balance Sheet'!I20/('Balance Sheet'!I43+'Balance Sheet'!I44)</f>
        <v>0.34707100773361604</v>
      </c>
      <c r="J25" s="14">
        <f>'Balance Sheet'!J20/('Balance Sheet'!J43+'Balance Sheet'!J44)</f>
        <v>0.33111312703040535</v>
      </c>
      <c r="K25" s="15">
        <f>37.26%</f>
        <v>0.37259999999999999</v>
      </c>
      <c r="L25" s="15">
        <f t="shared" ref="L25:O25" si="18">AVERAGE(G25:K25)</f>
        <v>0.28865701292091234</v>
      </c>
      <c r="M25" s="15">
        <f t="shared" si="18"/>
        <v>0.30780979477608317</v>
      </c>
      <c r="N25" s="15">
        <f t="shared" si="18"/>
        <v>0.32945018849220337</v>
      </c>
      <c r="O25" s="15">
        <f t="shared" si="18"/>
        <v>0.32592602464392084</v>
      </c>
    </row>
    <row r="26" spans="1:15" x14ac:dyDescent="0.3">
      <c r="A26" t="s">
        <v>52</v>
      </c>
      <c r="E26" s="14"/>
      <c r="F26" s="14"/>
      <c r="G26" s="14"/>
      <c r="H26" s="14"/>
      <c r="I26" s="14"/>
      <c r="J26" s="14">
        <f>'Balance Sheet'!J13/'Balance Sheet'!J43</f>
        <v>1.6198159381427197E-3</v>
      </c>
      <c r="K26" s="15">
        <f>J26</f>
        <v>1.6198159381427197E-3</v>
      </c>
      <c r="L26" s="15">
        <f t="shared" ref="L26:O26" si="19">K26</f>
        <v>1.6198159381427197E-3</v>
      </c>
      <c r="M26" s="15">
        <f t="shared" si="19"/>
        <v>1.6198159381427197E-3</v>
      </c>
      <c r="N26" s="15">
        <f t="shared" si="19"/>
        <v>1.6198159381427197E-3</v>
      </c>
      <c r="O26" s="15">
        <f t="shared" si="19"/>
        <v>1.6198159381427197E-3</v>
      </c>
    </row>
    <row r="27" spans="1:15" x14ac:dyDescent="0.3">
      <c r="A27" t="s">
        <v>53</v>
      </c>
      <c r="E27" s="14"/>
      <c r="F27" s="16">
        <f>365*(AVERAGE('Balance Sheet'!E$22:F$22)/SUM('P&amp;L Sheet'!F$9,'P&amp;L Sheet'!F$10,'P&amp;L Sheet'!F$11,'P&amp;L Sheet'!F$15))</f>
        <v>30.54843489125507</v>
      </c>
      <c r="G27" s="16">
        <f>365*(AVERAGE('Balance Sheet'!F$22:G$22)/SUM('P&amp;L Sheet'!G$9,'P&amp;L Sheet'!G$10,'P&amp;L Sheet'!G$11,'P&amp;L Sheet'!G$15))</f>
        <v>22.842846585228013</v>
      </c>
      <c r="H27" s="16">
        <f>365*(AVERAGE('Balance Sheet'!G$22:H$22)/SUM('P&amp;L Sheet'!H$9,'P&amp;L Sheet'!H$10,'P&amp;L Sheet'!H$11,'P&amp;L Sheet'!H$15))</f>
        <v>23.655579406091956</v>
      </c>
      <c r="I27" s="16">
        <f>365*(AVERAGE('Balance Sheet'!H$22:I$22)/SUM('P&amp;L Sheet'!I$9,'P&amp;L Sheet'!I$10,'P&amp;L Sheet'!I$11,'P&amp;L Sheet'!I$15))</f>
        <v>17.640310782756718</v>
      </c>
      <c r="J27" s="16">
        <f>365*(AVERAGE('Balance Sheet'!I$22:J$22)/SUM('P&amp;L Sheet'!J$9,'P&amp;L Sheet'!J$10,'P&amp;L Sheet'!J$11,'P&amp;L Sheet'!J$15))</f>
        <v>13.068626913101337</v>
      </c>
      <c r="K27" s="17">
        <f t="shared" ref="K27:O27" si="20">AVERAGE(G27:J27)</f>
        <v>19.301840921794508</v>
      </c>
      <c r="L27" s="17">
        <f t="shared" si="20"/>
        <v>18.41658950593613</v>
      </c>
      <c r="M27" s="17">
        <f t="shared" si="20"/>
        <v>17.106842030897173</v>
      </c>
      <c r="N27" s="17">
        <f t="shared" si="20"/>
        <v>16.973474842932287</v>
      </c>
      <c r="O27" s="17">
        <f t="shared" si="20"/>
        <v>17.949686825390025</v>
      </c>
    </row>
    <row r="28" spans="1:15" x14ac:dyDescent="0.3">
      <c r="A28" t="s">
        <v>54</v>
      </c>
      <c r="E28" s="14">
        <f>'Balance Sheet'!E23/'Balance Sheet'!E43</f>
        <v>8.8793702644237929E-2</v>
      </c>
      <c r="F28" s="14">
        <f>'Balance Sheet'!F23/'Balance Sheet'!F43</f>
        <v>9.4658590045286345E-2</v>
      </c>
      <c r="G28" s="14">
        <f>'Balance Sheet'!G23/'Balance Sheet'!G43</f>
        <v>9.9690681331863581E-2</v>
      </c>
      <c r="H28" s="14">
        <f>'Balance Sheet'!H23/'Balance Sheet'!H43</f>
        <v>7.5327240937665685E-2</v>
      </c>
      <c r="I28" s="14">
        <f>'Balance Sheet'!I23/'Balance Sheet'!I43</f>
        <v>0</v>
      </c>
      <c r="J28" s="14">
        <f>'Balance Sheet'!J23/'Balance Sheet'!J43</f>
        <v>5.0848064356564528E-4</v>
      </c>
      <c r="K28" s="15">
        <f t="shared" ref="K28:O28" si="21">AVERAGE(F28:J28)</f>
        <v>5.4036998591676245E-2</v>
      </c>
      <c r="L28" s="15">
        <f t="shared" si="21"/>
        <v>4.5912680300954231E-2</v>
      </c>
      <c r="M28" s="15">
        <f t="shared" si="21"/>
        <v>3.5157080094772364E-2</v>
      </c>
      <c r="N28" s="15">
        <f t="shared" si="21"/>
        <v>2.7123047926193699E-2</v>
      </c>
      <c r="O28" s="15">
        <f t="shared" si="21"/>
        <v>3.2547657511432439E-2</v>
      </c>
    </row>
    <row r="29" spans="1:15" x14ac:dyDescent="0.3">
      <c r="A29" t="s">
        <v>55</v>
      </c>
      <c r="E29" s="14">
        <f>'Balance Sheet'!E24/'P&amp;L Sheet'!E6</f>
        <v>5.0062172086097624E-2</v>
      </c>
      <c r="F29" s="14">
        <f>'Balance Sheet'!F24/'P&amp;L Sheet'!F6</f>
        <v>8.1460587280738669E-2</v>
      </c>
      <c r="G29" s="14">
        <f>'Balance Sheet'!G24/'P&amp;L Sheet'!G6</f>
        <v>2.4827176806265679E-2</v>
      </c>
      <c r="H29" s="14">
        <f>'Balance Sheet'!H24/'P&amp;L Sheet'!H6</f>
        <v>3.1056582329638587E-2</v>
      </c>
      <c r="I29" s="14">
        <f>'Balance Sheet'!I24/'P&amp;L Sheet'!I6</f>
        <v>4.8277046763104452E-2</v>
      </c>
      <c r="J29" s="14">
        <f>'Balance Sheet'!J24/'P&amp;L Sheet'!J6</f>
        <v>4.3800461573890281E-2</v>
      </c>
      <c r="K29" s="15">
        <f t="shared" ref="K29:O29" si="22">AVERAGE(F29:J29)</f>
        <v>4.5884370950727539E-2</v>
      </c>
      <c r="L29" s="15">
        <f t="shared" si="22"/>
        <v>3.8769127684725305E-2</v>
      </c>
      <c r="M29" s="15">
        <f t="shared" si="22"/>
        <v>4.155751786041724E-2</v>
      </c>
      <c r="N29" s="15">
        <f t="shared" si="22"/>
        <v>4.3657704966572966E-2</v>
      </c>
      <c r="O29" s="15">
        <f t="shared" si="22"/>
        <v>4.2733836607266665E-2</v>
      </c>
    </row>
    <row r="30" spans="1:15" x14ac:dyDescent="0.3">
      <c r="A30" t="s">
        <v>56</v>
      </c>
      <c r="E30" s="14">
        <f>'Balance Sheet'!E25/('Balance Sheet'!E43+'Balance Sheet'!E44)</f>
        <v>1.3271970580608014E-2</v>
      </c>
      <c r="F30" s="14">
        <f>'Balance Sheet'!F25/('Balance Sheet'!F43+'Balance Sheet'!F44)</f>
        <v>1.2305181178992815E-2</v>
      </c>
      <c r="G30" s="14">
        <f>'Balance Sheet'!G25/('Balance Sheet'!G43+'Balance Sheet'!G44)</f>
        <v>1.7606393105917634E-2</v>
      </c>
      <c r="H30" s="14">
        <f>'Balance Sheet'!H25/('Balance Sheet'!H43+'Balance Sheet'!H44)</f>
        <v>1.6766510181158375E-2</v>
      </c>
      <c r="I30" s="14">
        <f>'Balance Sheet'!I25/('Balance Sheet'!I43+'Balance Sheet'!I44)</f>
        <v>2.2096639503069115E-2</v>
      </c>
      <c r="J30" s="14">
        <f>'Balance Sheet'!J25/('Balance Sheet'!J43+'Balance Sheet'!J44)</f>
        <v>2.856635797228704E-2</v>
      </c>
      <c r="K30" s="15">
        <f t="shared" ref="K30:O30" si="23">AVERAGE(F$30:J$30)</f>
        <v>1.9468216388284998E-2</v>
      </c>
      <c r="L30" s="15">
        <f t="shared" si="23"/>
        <v>2.0900823430143434E-2</v>
      </c>
      <c r="M30" s="15">
        <f t="shared" si="23"/>
        <v>2.1559709494988595E-2</v>
      </c>
      <c r="N30" s="15">
        <f t="shared" si="23"/>
        <v>2.2518349357754635E-2</v>
      </c>
      <c r="O30" s="15">
        <f t="shared" si="23"/>
        <v>2.2602691328691742E-2</v>
      </c>
    </row>
    <row r="31" spans="1:15" x14ac:dyDescent="0.3">
      <c r="A31" s="3" t="s">
        <v>57</v>
      </c>
      <c r="E31" s="14"/>
      <c r="F31" s="14"/>
      <c r="G31" s="14"/>
      <c r="H31" s="14"/>
      <c r="I31" s="14"/>
      <c r="J31" s="15"/>
      <c r="K31" s="15"/>
      <c r="L31" s="15"/>
      <c r="M31" s="15"/>
      <c r="N31" s="15"/>
    </row>
    <row r="32" spans="1:15" x14ac:dyDescent="0.3">
      <c r="A32" t="s">
        <v>58</v>
      </c>
      <c r="F32" s="17">
        <f>(AVERAGE('Balance Sheet'!E51:F51)/'P&amp;L Sheet'!F9)*365</f>
        <v>238.68679311610404</v>
      </c>
      <c r="G32" s="17">
        <f>(AVERAGE('Balance Sheet'!F51:G51)/'P&amp;L Sheet'!G9)*365</f>
        <v>227.49916461998558</v>
      </c>
      <c r="H32" s="17">
        <f>(AVERAGE('Balance Sheet'!G51:H51)/'P&amp;L Sheet'!H9)*365</f>
        <v>301.73166359710632</v>
      </c>
      <c r="I32" s="17">
        <f>(AVERAGE('Balance Sheet'!H51:I51)/'P&amp;L Sheet'!I9)*365</f>
        <v>215.33655204938827</v>
      </c>
      <c r="J32" s="17">
        <f>(AVERAGE('Balance Sheet'!I51:J51)/'P&amp;L Sheet'!J9)*365</f>
        <v>209.07594087330492</v>
      </c>
      <c r="K32" s="17">
        <f>AVERAGE(F32:J32)</f>
        <v>238.46602285117783</v>
      </c>
      <c r="L32" s="17">
        <f t="shared" ref="L32:O32" si="24">AVERAGE(G32:K32)</f>
        <v>238.42186879819261</v>
      </c>
      <c r="M32" s="17">
        <f t="shared" si="24"/>
        <v>240.60640963383398</v>
      </c>
      <c r="N32" s="17">
        <f t="shared" si="24"/>
        <v>228.38135884117952</v>
      </c>
      <c r="O32" s="17">
        <f t="shared" si="24"/>
        <v>230.99032019953779</v>
      </c>
    </row>
    <row r="33" spans="1:15" x14ac:dyDescent="0.3">
      <c r="A33" t="s">
        <v>59</v>
      </c>
      <c r="K33" s="15">
        <v>6.3E-2</v>
      </c>
      <c r="L33" s="15">
        <v>6.3E-2</v>
      </c>
      <c r="M33" s="15">
        <v>6.3E-2</v>
      </c>
      <c r="N33" s="15">
        <v>6.3E-2</v>
      </c>
      <c r="O33" s="15">
        <v>6.3E-2</v>
      </c>
    </row>
    <row r="34" spans="1:15" x14ac:dyDescent="0.3">
      <c r="A34" t="s">
        <v>60</v>
      </c>
      <c r="F34" s="17">
        <f>(AVERAGE('Balance Sheet'!E53:F53)/'P&amp;L Sheet'!E4)*365</f>
        <v>27.319132394606349</v>
      </c>
      <c r="G34" s="17">
        <f>(AVERAGE('Balance Sheet'!F53:G53)/'P&amp;L Sheet'!F4)*365</f>
        <v>24.238126853352906</v>
      </c>
      <c r="H34" s="17">
        <f>(AVERAGE('Balance Sheet'!G53:H53)/'P&amp;L Sheet'!G4)*365</f>
        <v>23.973250582043118</v>
      </c>
      <c r="I34" s="17">
        <f>(AVERAGE('Balance Sheet'!H53:I53)/'P&amp;L Sheet'!H4)*365</f>
        <v>37.712672521615744</v>
      </c>
      <c r="J34" s="17">
        <f>(AVERAGE('Balance Sheet'!I53:J53)/'P&amp;L Sheet'!I4)*365</f>
        <v>29.45077971721788</v>
      </c>
      <c r="K34" s="17">
        <f>AVERAGE(F34:J34)</f>
        <v>28.538792413767197</v>
      </c>
      <c r="L34" s="17">
        <f t="shared" ref="L34:O34" si="25">AVERAGE(G34:K34)</f>
        <v>28.782724417599365</v>
      </c>
      <c r="M34" s="17">
        <f t="shared" si="25"/>
        <v>29.691643930448663</v>
      </c>
      <c r="N34" s="17">
        <f t="shared" si="25"/>
        <v>30.835322600129768</v>
      </c>
      <c r="O34" s="17">
        <f t="shared" si="25"/>
        <v>29.459852615832574</v>
      </c>
    </row>
    <row r="35" spans="1:15" x14ac:dyDescent="0.3">
      <c r="A35" t="s">
        <v>174</v>
      </c>
      <c r="F35" s="20">
        <f>('Balance Sheet'!F55-'Balance Sheet'!E55)/'Balance Sheet'!E55</f>
        <v>0.36386726069034442</v>
      </c>
      <c r="G35" s="20">
        <f>('Balance Sheet'!G55-'Balance Sheet'!F55)/'Balance Sheet'!F55</f>
        <v>0.15642935645377948</v>
      </c>
      <c r="H35" s="20">
        <f>('Balance Sheet'!H55-'Balance Sheet'!G55)/'Balance Sheet'!G55</f>
        <v>-0.16557550158394937</v>
      </c>
      <c r="I35" s="20">
        <f>('Balance Sheet'!I55-'Balance Sheet'!H55)/'Balance Sheet'!H55</f>
        <v>0.82333586433814254</v>
      </c>
      <c r="J35" s="20">
        <f>('Balance Sheet'!J55-'Balance Sheet'!I55)/'Balance Sheet'!I55</f>
        <v>4.8861743475846695E-2</v>
      </c>
      <c r="K35" s="20">
        <f>('Balance Sheet'!K55-'Balance Sheet'!J55)/'Balance Sheet'!J55</f>
        <v>-0.28481655809405826</v>
      </c>
      <c r="L35" s="20">
        <f>AVERAGE(F35:K35)</f>
        <v>0.15701702754668423</v>
      </c>
      <c r="M35" s="20">
        <f t="shared" ref="M35:O35" si="26">AVERAGE(G35:L35)</f>
        <v>0.12254198868940756</v>
      </c>
      <c r="N35" s="20">
        <f t="shared" si="26"/>
        <v>0.11689409406201223</v>
      </c>
      <c r="O35" s="20">
        <f t="shared" si="26"/>
        <v>0.16397236000300583</v>
      </c>
    </row>
    <row r="36" spans="1:15" x14ac:dyDescent="0.3">
      <c r="A36" t="s">
        <v>172</v>
      </c>
      <c r="E36" s="14">
        <f>'Balance Sheet'!E$55/'P&amp;L Sheet'!E24</f>
        <v>0.19244853642315132</v>
      </c>
      <c r="F36" s="14">
        <f>'Balance Sheet'!F$55/'P&amp;L Sheet'!F24</f>
        <v>0.15816666505712271</v>
      </c>
      <c r="G36" s="14">
        <f>'Balance Sheet'!G$55/'P&amp;L Sheet'!G24</f>
        <v>0.13715543679372008</v>
      </c>
      <c r="H36" s="14">
        <f>'Balance Sheet'!H$55/'P&amp;L Sheet'!H24</f>
        <v>0.18903062597556392</v>
      </c>
      <c r="I36" s="14">
        <f>'Balance Sheet'!I$55/'P&amp;L Sheet'!I24</f>
        <v>0.16138806279438372</v>
      </c>
      <c r="J36" s="14">
        <f>'Balance Sheet'!J$55/'P&amp;L Sheet'!J24</f>
        <v>0.13119194374511681</v>
      </c>
      <c r="K36" s="15">
        <f t="shared" ref="K36:O36" si="27">AVERAGE(F36:J36)</f>
        <v>0.15538654687318143</v>
      </c>
      <c r="L36" s="15">
        <f t="shared" si="27"/>
        <v>0.15483052323639318</v>
      </c>
      <c r="M36" s="15">
        <f t="shared" si="27"/>
        <v>0.15836554052492779</v>
      </c>
      <c r="N36" s="15">
        <f t="shared" si="27"/>
        <v>0.15223252343480059</v>
      </c>
      <c r="O36" s="15">
        <f t="shared" si="27"/>
        <v>0.15040141556288394</v>
      </c>
    </row>
    <row r="37" spans="1:15" x14ac:dyDescent="0.3">
      <c r="A37" t="s">
        <v>61</v>
      </c>
      <c r="E37" s="14">
        <f>'Balance Sheet'!E56/'P&amp;L Sheet'!E6</f>
        <v>9.7740756043750436E-4</v>
      </c>
      <c r="F37" s="14">
        <f>'Balance Sheet'!F56/'P&amp;L Sheet'!F6</f>
        <v>3.3648943063012979E-3</v>
      </c>
      <c r="G37" s="14">
        <f>'Balance Sheet'!G56/'P&amp;L Sheet'!G6</f>
        <v>0</v>
      </c>
      <c r="H37" s="14">
        <f>'Balance Sheet'!H56/'P&amp;L Sheet'!H6</f>
        <v>9.118902695461475E-4</v>
      </c>
      <c r="I37" s="14">
        <f>'Balance Sheet'!I56/'P&amp;L Sheet'!I6</f>
        <v>0</v>
      </c>
      <c r="J37" s="14">
        <f>'Balance Sheet'!J56/'P&amp;L Sheet'!J6</f>
        <v>0</v>
      </c>
      <c r="K37" s="15">
        <f>AVERAGE(E37:J37)</f>
        <v>8.7569868938082494E-4</v>
      </c>
      <c r="L37" s="15">
        <f t="shared" ref="L37:O37" si="28">AVERAGE(F37:K37)</f>
        <v>8.587472108713785E-4</v>
      </c>
      <c r="M37" s="15">
        <f t="shared" si="28"/>
        <v>4.4105602829972514E-4</v>
      </c>
      <c r="N37" s="15">
        <f t="shared" si="28"/>
        <v>5.1456536634967925E-4</v>
      </c>
      <c r="O37" s="15">
        <f t="shared" si="28"/>
        <v>4.4834454915026789E-4</v>
      </c>
    </row>
    <row r="38" spans="1:15" x14ac:dyDescent="0.3">
      <c r="A38" t="s">
        <v>62</v>
      </c>
      <c r="I38" s="14">
        <f>'Balance Sheet'!I$57/'P&amp;L Sheet'!I$4</f>
        <v>1.2168212657208532E-3</v>
      </c>
      <c r="J38" s="14">
        <f>'Balance Sheet'!J$57/'P&amp;L Sheet'!J$4</f>
        <v>1.2500361246724899E-3</v>
      </c>
      <c r="K38" s="14">
        <f>AVERAGE(I38:J38)</f>
        <v>1.2334286951966715E-3</v>
      </c>
      <c r="L38" s="14">
        <f t="shared" ref="L38:O38" si="29">AVERAGE(J38:K38)</f>
        <v>1.2417324099345808E-3</v>
      </c>
      <c r="M38" s="14">
        <f t="shared" si="29"/>
        <v>1.2375805525656261E-3</v>
      </c>
      <c r="N38" s="14">
        <f t="shared" si="29"/>
        <v>1.2396564812501036E-3</v>
      </c>
      <c r="O38" s="14">
        <f t="shared" si="29"/>
        <v>1.238618516907865E-3</v>
      </c>
    </row>
    <row r="39" spans="1:15" x14ac:dyDescent="0.3">
      <c r="A39" t="s">
        <v>173</v>
      </c>
      <c r="E39" s="14">
        <f>'Balance Sheet'!E$58/'P&amp;L Sheet'!E24</f>
        <v>7.5049881006755026E-2</v>
      </c>
      <c r="F39" s="14">
        <f>'Balance Sheet'!F$58/'P&amp;L Sheet'!F24</f>
        <v>7.6152352992303163E-2</v>
      </c>
      <c r="G39" s="14">
        <f>'Balance Sheet'!G$58/'P&amp;L Sheet'!G24</f>
        <v>6.129269361256847E-2</v>
      </c>
      <c r="H39" s="14">
        <f>'Balance Sheet'!H$58/'P&amp;L Sheet'!H24</f>
        <v>9.5023652750118162E-2</v>
      </c>
      <c r="I39" s="14">
        <f>'Balance Sheet'!I$58/'P&amp;L Sheet'!I24</f>
        <v>3.8081556530067048E-2</v>
      </c>
      <c r="J39" s="14">
        <f>'Balance Sheet'!J$58/'P&amp;L Sheet'!J24</f>
        <v>3.4232572271898611E-2</v>
      </c>
      <c r="K39" s="15">
        <f t="shared" ref="K39:O39" si="30">AVERAGE(F$39:J$39)</f>
        <v>6.0956565631391103E-2</v>
      </c>
      <c r="L39" s="15">
        <f t="shared" si="30"/>
        <v>5.7917408159208671E-2</v>
      </c>
      <c r="M39" s="15">
        <f t="shared" si="30"/>
        <v>5.7242351068536715E-2</v>
      </c>
      <c r="N39" s="15">
        <f t="shared" si="30"/>
        <v>4.9686090732220432E-2</v>
      </c>
      <c r="O39" s="15">
        <f t="shared" si="30"/>
        <v>5.2006997572651106E-2</v>
      </c>
    </row>
    <row r="40" spans="1:15" x14ac:dyDescent="0.3">
      <c r="A40" s="3" t="s">
        <v>63</v>
      </c>
    </row>
    <row r="41" spans="1:15" x14ac:dyDescent="0.3">
      <c r="A41" t="s">
        <v>175</v>
      </c>
      <c r="E41" s="14">
        <f>'Balance Sheet'!E$45/'P&amp;L Sheet'!E$24</f>
        <v>0.15245558787470861</v>
      </c>
      <c r="F41" s="14">
        <f>'Balance Sheet'!F$45/'P&amp;L Sheet'!F$24</f>
        <v>5.1956078764642828E-3</v>
      </c>
      <c r="G41" s="14">
        <f>'Balance Sheet'!G$45/'P&amp;L Sheet'!G$24</f>
        <v>0.16729849411440964</v>
      </c>
      <c r="H41" s="14">
        <f>'Balance Sheet'!H$45/'P&amp;L Sheet'!H$24</f>
        <v>0.36373205112103896</v>
      </c>
      <c r="I41" s="14">
        <f>'Balance Sheet'!I$45/'P&amp;L Sheet'!I$24</f>
        <v>0.50350880140688103</v>
      </c>
      <c r="J41" s="14">
        <f>'Balance Sheet'!J$45/'P&amp;L Sheet'!J$24</f>
        <v>0.42053346644674033</v>
      </c>
      <c r="K41" s="15">
        <f t="shared" ref="K41:O41" si="31">AVERAGE(F$41:J$41)</f>
        <v>0.29205368419310684</v>
      </c>
      <c r="L41" s="15">
        <f t="shared" si="31"/>
        <v>0.34942529945643541</v>
      </c>
      <c r="M41" s="15">
        <f t="shared" si="31"/>
        <v>0.38585066052484052</v>
      </c>
      <c r="N41" s="15">
        <f t="shared" si="31"/>
        <v>0.39027438240560086</v>
      </c>
      <c r="O41" s="15">
        <f t="shared" si="31"/>
        <v>0.36762749860534483</v>
      </c>
    </row>
    <row r="42" spans="1:15" x14ac:dyDescent="0.3">
      <c r="A42" t="s">
        <v>155</v>
      </c>
      <c r="E42" s="14">
        <f>'Balance Sheet'!E36/'Balance Sheet'!E43</f>
        <v>3.1260824583819839E-3</v>
      </c>
      <c r="F42" s="14">
        <f>'Balance Sheet'!F36/'Balance Sheet'!F43</f>
        <v>3.2365586203565045E-3</v>
      </c>
      <c r="G42" s="14">
        <f>'Balance Sheet'!G36/'Balance Sheet'!G43</f>
        <v>1.9270360523926857E-3</v>
      </c>
      <c r="H42" s="14">
        <f>'Balance Sheet'!H36/'Balance Sheet'!H43</f>
        <v>1.6873248083416489E-3</v>
      </c>
      <c r="I42" s="14">
        <f>'Balance Sheet'!I36/'Balance Sheet'!I43</f>
        <v>3.6842695972625836E-3</v>
      </c>
      <c r="J42" s="14">
        <f>'Balance Sheet'!J36/'Balance Sheet'!J43</f>
        <v>2.4667412980656587E-3</v>
      </c>
      <c r="K42" s="15">
        <f>'Balance Sheet'!K36/'Balance Sheet'!K43</f>
        <v>4.4613183063290391E-3</v>
      </c>
      <c r="L42" s="15">
        <f>AVERAGE(F42:K42)</f>
        <v>2.9105414471246871E-3</v>
      </c>
      <c r="M42" s="15">
        <f t="shared" ref="M42:M43" si="32">AVERAGE(G42:L42)</f>
        <v>2.8562052515860507E-3</v>
      </c>
      <c r="N42" s="15">
        <f t="shared" ref="N42:N43" si="33">AVERAGE(H42:M42)</f>
        <v>3.0110667847849447E-3</v>
      </c>
      <c r="O42" s="15">
        <f t="shared" ref="O42:O43" si="34">AVERAGE(I42:N42)</f>
        <v>3.2316904475254943E-3</v>
      </c>
    </row>
    <row r="43" spans="1:15" x14ac:dyDescent="0.3">
      <c r="A43" t="s">
        <v>160</v>
      </c>
      <c r="E43" s="14">
        <f>'Balance Sheet'!E44/'Balance Sheet'!E43</f>
        <v>3.994916603391835E-3</v>
      </c>
      <c r="F43" s="14">
        <f>'Balance Sheet'!F44/'Balance Sheet'!F43</f>
        <v>4.2971858343096459E-3</v>
      </c>
      <c r="G43" s="14">
        <f>'Balance Sheet'!G44/'Balance Sheet'!G43</f>
        <v>3.098759077940604E-3</v>
      </c>
      <c r="H43" s="14">
        <f>'Balance Sheet'!H44/'Balance Sheet'!H43</f>
        <v>2.3200114701521033E-3</v>
      </c>
      <c r="I43" s="14">
        <f>'Balance Sheet'!I44/'Balance Sheet'!I43</f>
        <v>4.6670197579624061E-3</v>
      </c>
      <c r="J43" s="14">
        <f>'Balance Sheet'!J44/'Balance Sheet'!J43</f>
        <v>6.2400744578376063E-3</v>
      </c>
      <c r="K43" s="15">
        <f>AVERAGE(E43:J43)</f>
        <v>4.1029945335990343E-3</v>
      </c>
      <c r="L43" s="15">
        <f t="shared" ref="L43" si="35">AVERAGE(F43:K43)</f>
        <v>4.1210075219669006E-3</v>
      </c>
      <c r="M43" s="15">
        <f t="shared" si="32"/>
        <v>4.0916444699097753E-3</v>
      </c>
      <c r="N43" s="15">
        <f t="shared" si="33"/>
        <v>4.2571253685713042E-3</v>
      </c>
      <c r="O43" s="15">
        <f t="shared" si="34"/>
        <v>4.579977684974504E-3</v>
      </c>
    </row>
    <row r="44" spans="1:15" x14ac:dyDescent="0.3">
      <c r="A44" t="s">
        <v>64</v>
      </c>
      <c r="E44" s="22">
        <f>'Balance Sheet'!E46/'Balance Sheet'!E43</f>
        <v>2.867439422474761E-6</v>
      </c>
      <c r="F44" s="22">
        <f>'Balance Sheet'!F46/'Balance Sheet'!F43</f>
        <v>6.3701334171359774E-6</v>
      </c>
      <c r="G44" s="22">
        <f>'Balance Sheet'!G46/'Balance Sheet'!G43</f>
        <v>5.0658150693814039E-6</v>
      </c>
      <c r="H44" s="22">
        <f>'Balance Sheet'!H46/'Balance Sheet'!H43</f>
        <v>6.7358275782101758E-6</v>
      </c>
      <c r="I44" s="22">
        <f>'Balance Sheet'!I46/'Balance Sheet'!I43</f>
        <v>8.3480428940995089E-6</v>
      </c>
      <c r="J44" s="22">
        <f>'Balance Sheet'!J46/'Balance Sheet'!J43</f>
        <v>5.694983207935228E-6</v>
      </c>
      <c r="K44" s="22">
        <f>AVERAGE(H$44:J$44)</f>
        <v>6.9262845600816379E-6</v>
      </c>
      <c r="L44" s="22">
        <f t="shared" ref="L44:O44" si="36">AVERAGE(I$44:K$44)</f>
        <v>6.9897702207054585E-6</v>
      </c>
      <c r="M44" s="22">
        <f t="shared" si="36"/>
        <v>6.5370126629074415E-6</v>
      </c>
      <c r="N44" s="22">
        <f t="shared" si="36"/>
        <v>6.8176891478981798E-6</v>
      </c>
      <c r="O44" s="22">
        <f t="shared" si="36"/>
        <v>6.7814906771703605E-6</v>
      </c>
    </row>
    <row r="45" spans="1:15" x14ac:dyDescent="0.3">
      <c r="A45" t="s">
        <v>65</v>
      </c>
      <c r="E45" s="14">
        <f>'Balance Sheet'!E47/'P&amp;L Sheet'!E4</f>
        <v>1.3849923964700589E-2</v>
      </c>
      <c r="F45" s="14">
        <f>'Balance Sheet'!F47/'P&amp;L Sheet'!F4</f>
        <v>1.5222018741616081E-2</v>
      </c>
      <c r="G45" s="14">
        <f>'Balance Sheet'!G47/'P&amp;L Sheet'!G4</f>
        <v>8.6296113742874037E-3</v>
      </c>
      <c r="H45" s="14">
        <f>'Balance Sheet'!H47/'P&amp;L Sheet'!H4</f>
        <v>1.7174977089684833E-2</v>
      </c>
      <c r="I45" s="14">
        <f>'Balance Sheet'!I47/'P&amp;L Sheet'!I4</f>
        <v>1.5352491683737778E-2</v>
      </c>
      <c r="J45" s="14">
        <f>'Balance Sheet'!J47/'P&amp;L Sheet'!J4</f>
        <v>4.5842821672452327E-3</v>
      </c>
      <c r="K45" s="15">
        <f>AVERAGE(E45:J45)</f>
        <v>1.2468884170211985E-2</v>
      </c>
      <c r="L45" s="15">
        <f t="shared" ref="L45:O45" si="37">AVERAGE(F45:K45)</f>
        <v>1.2238710871130551E-2</v>
      </c>
      <c r="M45" s="15">
        <f t="shared" si="37"/>
        <v>1.1741492892716298E-2</v>
      </c>
      <c r="N45" s="15">
        <f t="shared" si="37"/>
        <v>1.2260139812454445E-2</v>
      </c>
      <c r="O45" s="15">
        <f t="shared" si="37"/>
        <v>1.1441000266249382E-2</v>
      </c>
    </row>
    <row r="46" spans="1:15" x14ac:dyDescent="0.3">
      <c r="A46" s="3" t="s">
        <v>141</v>
      </c>
    </row>
    <row r="47" spans="1:15" x14ac:dyDescent="0.3">
      <c r="A47" t="s">
        <v>142</v>
      </c>
      <c r="E47" s="21">
        <f>'P&amp;L Sheet'!E4/'Balance Sheet'!E43</f>
        <v>1.157002631162414</v>
      </c>
      <c r="F47" s="21">
        <f>'P&amp;L Sheet'!F4/'Balance Sheet'!F43</f>
        <v>1.3284695595211995</v>
      </c>
      <c r="G47" s="21">
        <f>'P&amp;L Sheet'!G4/'Balance Sheet'!G43</f>
        <v>1.2785448547529503</v>
      </c>
      <c r="H47" s="21">
        <f>'P&amp;L Sheet'!H4/'Balance Sheet'!H43</f>
        <v>0.88360056927365638</v>
      </c>
      <c r="I47" s="21">
        <f>'P&amp;L Sheet'!I4/'Balance Sheet'!I43</f>
        <v>1.3500005101581767</v>
      </c>
      <c r="J47" s="21">
        <f>'P&amp;L Sheet'!J4/'Balance Sheet'!J43</f>
        <v>1.6609345304730418</v>
      </c>
      <c r="K47" s="21">
        <f>AVERAGE(E47:J47)</f>
        <v>1.2764254425569064</v>
      </c>
      <c r="L47" s="21">
        <f t="shared" ref="L47:O47" si="38">AVERAGE(F47:K47)</f>
        <v>1.2963292444559884</v>
      </c>
      <c r="M47" s="21">
        <f t="shared" si="38"/>
        <v>1.2909725252784534</v>
      </c>
      <c r="N47" s="21">
        <f t="shared" si="38"/>
        <v>1.2930438036993703</v>
      </c>
      <c r="O47" s="21">
        <f t="shared" si="38"/>
        <v>1.361284342770323</v>
      </c>
    </row>
    <row r="48" spans="1:15" x14ac:dyDescent="0.3">
      <c r="A48" t="s">
        <v>156</v>
      </c>
      <c r="J48" s="31">
        <f>'Balance Sheet'!J38/'Balance Sheet'!J43</f>
        <v>2.753931165551535E-3</v>
      </c>
      <c r="K48" s="31">
        <f>J48</f>
        <v>2.753931165551535E-3</v>
      </c>
      <c r="L48" s="31">
        <f t="shared" ref="L48:O48" si="39">K48</f>
        <v>2.753931165551535E-3</v>
      </c>
      <c r="M48" s="31">
        <f t="shared" si="39"/>
        <v>2.753931165551535E-3</v>
      </c>
      <c r="N48" s="31">
        <f t="shared" si="39"/>
        <v>2.753931165551535E-3</v>
      </c>
      <c r="O48" s="31">
        <f t="shared" si="39"/>
        <v>2.753931165551535E-3</v>
      </c>
    </row>
    <row r="49" spans="1:15" x14ac:dyDescent="0.3">
      <c r="A49" t="s">
        <v>157</v>
      </c>
      <c r="I49" s="21">
        <f>'Balance Sheet'!I39/'Balance Sheet'!I43</f>
        <v>1.8959332972821555E-2</v>
      </c>
      <c r="J49" s="21">
        <f>'Balance Sheet'!J39/'Balance Sheet'!J43</f>
        <v>2.3781436307307804E-2</v>
      </c>
      <c r="K49" s="21">
        <f>AVERAGE(I49:J49)</f>
        <v>2.1370384640064681E-2</v>
      </c>
      <c r="L49" s="21">
        <f t="shared" ref="L49:O49" si="40">AVERAGE(J49:K49)</f>
        <v>2.2575910473686241E-2</v>
      </c>
      <c r="M49" s="21">
        <f t="shared" si="40"/>
        <v>2.1973147556875461E-2</v>
      </c>
      <c r="N49" s="21">
        <f t="shared" si="40"/>
        <v>2.2274529015280851E-2</v>
      </c>
      <c r="O49" s="21">
        <f t="shared" si="40"/>
        <v>2.2123838286078154E-2</v>
      </c>
    </row>
    <row r="50" spans="1:15" x14ac:dyDescent="0.3">
      <c r="A50" t="s">
        <v>158</v>
      </c>
      <c r="E50" s="21">
        <f>('P&amp;L Sheet'!E14-'Asset Schedule'!E11)/('Balance Sheet'!E44)</f>
        <v>0.21748492678725215</v>
      </c>
      <c r="F50" s="21">
        <f>('P&amp;L Sheet'!F14-'Asset Schedule'!F11)/('Balance Sheet'!F44)</f>
        <v>0.24681902408894396</v>
      </c>
      <c r="G50" s="21">
        <f>('P&amp;L Sheet'!G14-'Asset Schedule'!G11)/('Balance Sheet'!G44)</f>
        <v>0.37812653261402646</v>
      </c>
      <c r="H50" s="21">
        <f>('P&amp;L Sheet'!H14-'Asset Schedule'!H11)/('Balance Sheet'!H44)</f>
        <v>0.27270841974284493</v>
      </c>
      <c r="I50" s="21">
        <f>('P&amp;L Sheet'!I14-'Asset Schedule'!I11)/('Balance Sheet'!I44)</f>
        <v>0.21057338765775568</v>
      </c>
      <c r="J50" s="21">
        <f>('P&amp;L Sheet'!J14-'Asset Schedule'!J11)/('Balance Sheet'!J44)</f>
        <v>0.16336375488917956</v>
      </c>
      <c r="K50" s="21">
        <f>('P&amp;L Sheet'!K14-'Asset Schedule'!K11)/('Balance Sheet'!K44)</f>
        <v>0.16605259111251131</v>
      </c>
      <c r="L50" s="21">
        <f>AVERAGE(E50:K50)</f>
        <v>0.236446948127502</v>
      </c>
      <c r="M50" s="21">
        <f t="shared" ref="M50:O50" si="41">AVERAGE(F50:L50)</f>
        <v>0.23915580831896627</v>
      </c>
      <c r="N50" s="21">
        <f t="shared" si="41"/>
        <v>0.23806106320896944</v>
      </c>
      <c r="O50" s="21">
        <f t="shared" si="41"/>
        <v>0.21805171043681845</v>
      </c>
    </row>
    <row r="51" spans="1:15" x14ac:dyDescent="0.3">
      <c r="A51" t="s">
        <v>161</v>
      </c>
      <c r="E51" s="21">
        <f>('P&amp;L Sheet'!E14-'Asset Schedule'!E11)/'Balance Sheet'!E36</f>
        <v>0.27793065492570129</v>
      </c>
      <c r="F51" s="21">
        <f>('P&amp;L Sheet'!F14-'Asset Schedule'!F11)/'Balance Sheet'!F36</f>
        <v>0.32770214859767127</v>
      </c>
      <c r="G51" s="21">
        <f>('P&amp;L Sheet'!G14-'Asset Schedule'!G11)/'Balance Sheet'!G36</f>
        <v>0.60804416403785477</v>
      </c>
      <c r="H51" s="21">
        <f>('P&amp;L Sheet'!H14-'Asset Schedule'!H11)/'Balance Sheet'!H36</f>
        <v>0.37496435700028447</v>
      </c>
      <c r="I51" s="21">
        <f>('P&amp;L Sheet'!I14-'Asset Schedule'!I11)/'Balance Sheet'!I36</f>
        <v>0.26674219536757227</v>
      </c>
      <c r="J51" s="21">
        <f>('P&amp;L Sheet'!J14-'Asset Schedule'!J11)/('Balance Sheet'!J36+'Balance Sheet'!J38)</f>
        <v>0.19526258376188385</v>
      </c>
      <c r="K51" s="21">
        <f>SUMPRODUCT(E51:J51,E1:J1)/SUM(E1:J1)</f>
        <v>0.32202911198309098</v>
      </c>
      <c r="L51" s="21">
        <f>AVERAGE(E51:K51)</f>
        <v>0.33895360223915122</v>
      </c>
      <c r="M51" s="21">
        <f t="shared" ref="M51:O51" si="42">AVERAGE(F51:L51)</f>
        <v>0.34767116614107263</v>
      </c>
      <c r="N51" s="21">
        <f t="shared" si="42"/>
        <v>0.35052388293298709</v>
      </c>
      <c r="O51" s="21">
        <f t="shared" si="42"/>
        <v>0.31373527134657753</v>
      </c>
    </row>
    <row r="52" spans="1:15" x14ac:dyDescent="0.3">
      <c r="A52" t="s">
        <v>165</v>
      </c>
      <c r="E52" s="21">
        <f>'Reserve Schedule'!E12/'P&amp;L Sheet'!E24</f>
        <v>1.648981946681412</v>
      </c>
      <c r="F52" s="21">
        <f>'Reserve Schedule'!F12/'P&amp;L Sheet'!F24</f>
        <v>1.9936744922693603</v>
      </c>
      <c r="G52" s="21">
        <f>'Reserve Schedule'!G12/'P&amp;L Sheet'!G24</f>
        <v>2.3411469931168822</v>
      </c>
      <c r="H52" s="21">
        <f>'Reserve Schedule'!H12/'P&amp;L Sheet'!H24</f>
        <v>4.6561290824168298</v>
      </c>
      <c r="I52" s="21">
        <f>'Reserve Schedule'!I12/'P&amp;L Sheet'!I24</f>
        <v>3.0966026513433142</v>
      </c>
      <c r="J52" s="21">
        <f>'Reserve Schedule'!J12/'P&amp;L Sheet'!J24</f>
        <v>3.2348229012935161</v>
      </c>
      <c r="K52" s="21">
        <f>AVERAGE(E52:J52)</f>
        <v>2.8285596778535527</v>
      </c>
      <c r="L52" s="21">
        <f t="shared" ref="L52:O52" si="43">AVERAGE(F52:K52)</f>
        <v>3.025155966382242</v>
      </c>
      <c r="M52" s="21">
        <f t="shared" si="43"/>
        <v>3.1970695454010563</v>
      </c>
      <c r="N52" s="21">
        <f t="shared" si="43"/>
        <v>3.3397233041150858</v>
      </c>
      <c r="O52" s="21">
        <f t="shared" si="43"/>
        <v>3.1203223410647944</v>
      </c>
    </row>
    <row r="53" spans="1:15" x14ac:dyDescent="0.3">
      <c r="A53" t="s">
        <v>166</v>
      </c>
      <c r="E53" s="21">
        <f>'P&amp;L Sheet'!E29/'P&amp;L Sheet'!E28</f>
        <v>0.29093799682034976</v>
      </c>
      <c r="F53" s="21">
        <f>'P&amp;L Sheet'!F29/'P&amp;L Sheet'!F28</f>
        <v>0.29058116232464926</v>
      </c>
      <c r="G53" s="21">
        <f>'P&amp;L Sheet'!G29/'P&amp;L Sheet'!G28</f>
        <v>-0.29127452544265436</v>
      </c>
      <c r="H53" s="21">
        <f>'P&amp;L Sheet'!H29/'P&amp;L Sheet'!H28</f>
        <v>-0.29113130680037602</v>
      </c>
      <c r="I53" s="21">
        <f>'P&amp;L Sheet'!I29/'P&amp;L Sheet'!I28</f>
        <v>-0.29121611613094356</v>
      </c>
      <c r="J53" s="21">
        <f>'P&amp;L Sheet'!J29/'P&amp;L Sheet'!J28</f>
        <v>-0.29110936270653026</v>
      </c>
      <c r="K53" s="21">
        <f>AVERAGE(E53:J53)</f>
        <v>-9.7202025322584193E-2</v>
      </c>
      <c r="L53" s="21">
        <f t="shared" ref="L53:O53" si="44">AVERAGE(F53:K53)</f>
        <v>-0.16189202901307317</v>
      </c>
      <c r="M53" s="21">
        <f t="shared" si="44"/>
        <v>-0.23730422756936029</v>
      </c>
      <c r="N53" s="21">
        <f t="shared" si="44"/>
        <v>-0.22830917792381122</v>
      </c>
      <c r="O53" s="21">
        <f t="shared" si="44"/>
        <v>-0.21783882311105049</v>
      </c>
    </row>
    <row r="54" spans="1:15" x14ac:dyDescent="0.3">
      <c r="A54" t="s">
        <v>170</v>
      </c>
      <c r="J54" s="14">
        <f>'Reserve Schedule'!J10/'P&amp;L Sheet'!J24</f>
        <v>4.9298984286830473E-2</v>
      </c>
      <c r="K54" s="15">
        <f>J54</f>
        <v>4.9298984286830473E-2</v>
      </c>
      <c r="L54" s="15">
        <f t="shared" ref="L54:O54" si="45">K54</f>
        <v>4.9298984286830473E-2</v>
      </c>
      <c r="M54" s="15">
        <f t="shared" si="45"/>
        <v>4.9298984286830473E-2</v>
      </c>
      <c r="N54" s="15">
        <f t="shared" si="45"/>
        <v>4.9298984286830473E-2</v>
      </c>
      <c r="O54" s="15">
        <f t="shared" si="45"/>
        <v>4.9298984286830473E-2</v>
      </c>
    </row>
    <row r="55" spans="1:15" x14ac:dyDescent="0.3">
      <c r="A55" t="s">
        <v>171</v>
      </c>
      <c r="F55" s="14">
        <f>('Reserve Schedule'!F14-'Reserve Schedule'!E14)/'Reserve Schedule'!E14</f>
        <v>0.44383184011026877</v>
      </c>
      <c r="G55" s="14">
        <f>('Reserve Schedule'!G14-'Reserve Schedule'!F14)/'Reserve Schedule'!F14</f>
        <v>1.060381861575179</v>
      </c>
      <c r="H55" s="14">
        <f>('Reserve Schedule'!H14-'Reserve Schedule'!G14)/'Reserve Schedule'!G14</f>
        <v>-0.26190200393837598</v>
      </c>
      <c r="I55" s="14">
        <f>('Reserve Schedule'!I14-'Reserve Schedule'!H14)/'Reserve Schedule'!H14</f>
        <v>0.75094161958568728</v>
      </c>
      <c r="J55" s="14">
        <f>('Reserve Schedule'!J14-'Reserve Schedule'!I14)/'Reserve Schedule'!I14</f>
        <v>0.14125661019987457</v>
      </c>
      <c r="K55" s="15">
        <f>SUMPRODUCT(F55:J55,F1:J1)/SUM(E1:J1)</f>
        <v>0.36302138134858358</v>
      </c>
      <c r="L55" s="15">
        <f>K55</f>
        <v>0.36302138134858358</v>
      </c>
      <c r="M55" s="15">
        <f t="shared" ref="M55:O55" si="46">L55</f>
        <v>0.36302138134858358</v>
      </c>
      <c r="N55" s="15">
        <f t="shared" si="46"/>
        <v>0.36302138134858358</v>
      </c>
      <c r="O55" s="15">
        <f t="shared" si="46"/>
        <v>0.36302138134858358</v>
      </c>
    </row>
    <row r="56" spans="1:15" x14ac:dyDescent="0.3">
      <c r="A56" t="s">
        <v>176</v>
      </c>
      <c r="E56" s="21"/>
      <c r="F56" s="21">
        <f>'P&amp;L Sheet'!F4/AVERAGE('Asset Schedule'!F4,'Asset Schedule'!F7)</f>
        <v>1.3797679783939769</v>
      </c>
      <c r="G56" s="21">
        <f>'P&amp;L Sheet'!G4/AVERAGE('Asset Schedule'!G4,'Asset Schedule'!G7)</f>
        <v>1.3084470011071057</v>
      </c>
      <c r="H56" s="21">
        <f>'P&amp;L Sheet'!H4/AVERAGE('Asset Schedule'!H4,'Asset Schedule'!H7)</f>
        <v>0.90636883231740573</v>
      </c>
      <c r="I56" s="21">
        <f>'P&amp;L Sheet'!I4/AVERAGE('Asset Schedule'!I4,'Asset Schedule'!I7)</f>
        <v>1.3747891198101745</v>
      </c>
      <c r="J56" s="21">
        <f>'P&amp;L Sheet'!J4/AVERAGE('Asset Schedule'!J4,'Asset Schedule'!J7)</f>
        <v>1.7696754879945773</v>
      </c>
      <c r="K56" s="21">
        <f>AVERAGE(E56:J56)</f>
        <v>1.3478096839246478</v>
      </c>
      <c r="L56" s="21">
        <f t="shared" ref="L56:O56" si="47">AVERAGE(F56:K56)</f>
        <v>1.3478096839246481</v>
      </c>
      <c r="M56" s="21">
        <f t="shared" si="47"/>
        <v>1.3424833015130933</v>
      </c>
      <c r="N56" s="21">
        <f t="shared" si="47"/>
        <v>1.3481560182474244</v>
      </c>
      <c r="O56" s="21">
        <f t="shared" si="47"/>
        <v>1.4217872159024276</v>
      </c>
    </row>
    <row r="57" spans="1:15" x14ac:dyDescent="0.3">
      <c r="A57" t="s">
        <v>205</v>
      </c>
      <c r="F57" s="21">
        <f>'Cash Flow Sheet'!F36/'P&amp;L Sheet'!F13</f>
        <v>-0.89232662232287752</v>
      </c>
      <c r="G57" s="21">
        <f>'Cash Flow Sheet'!G36/'P&amp;L Sheet'!G13</f>
        <v>-0.33680038052957029</v>
      </c>
      <c r="H57" s="21">
        <f>'Cash Flow Sheet'!H36/'P&amp;L Sheet'!H13</f>
        <v>-0.32196467890327352</v>
      </c>
      <c r="I57" s="21">
        <f>'Cash Flow Sheet'!I36/'P&amp;L Sheet'!I13</f>
        <v>-0.84708712032523792</v>
      </c>
      <c r="J57" s="21">
        <f>'Cash Flow Sheet'!J36/'P&amp;L Sheet'!J13</f>
        <v>-0.79432290371843595</v>
      </c>
      <c r="K57" s="21">
        <f>AVERAGE(F57:J57)</f>
        <v>-0.63850034115987897</v>
      </c>
      <c r="L57" s="21">
        <f t="shared" ref="L57:O57" si="48">AVERAGE(G57:K57)</f>
        <v>-0.58773508492727933</v>
      </c>
      <c r="M57" s="21">
        <f t="shared" si="48"/>
        <v>-0.63792202580682111</v>
      </c>
      <c r="N57" s="21">
        <f t="shared" si="48"/>
        <v>-0.70111349518753063</v>
      </c>
      <c r="O57" s="21">
        <f t="shared" si="48"/>
        <v>-0.67191877015998924</v>
      </c>
    </row>
    <row r="58" spans="1:15" x14ac:dyDescent="0.3">
      <c r="A58" t="s">
        <v>208</v>
      </c>
      <c r="F58" s="21">
        <f>'Cash Flow Sheet'!F37/'P&amp;L Sheet'!F24</f>
        <v>0</v>
      </c>
      <c r="G58" s="21">
        <f>'Cash Flow Sheet'!G37/'P&amp;L Sheet'!G24</f>
        <v>-0.15382554320866959</v>
      </c>
      <c r="H58" s="21">
        <f>'Cash Flow Sheet'!H37/'P&amp;L Sheet'!H24</f>
        <v>-0.21075168499680055</v>
      </c>
      <c r="I58" s="21">
        <f>'Cash Flow Sheet'!I37/'P&amp;L Sheet'!I24</f>
        <v>-9.8683289368303742E-2</v>
      </c>
      <c r="J58" s="21">
        <f>'Cash Flow Sheet'!J37/'P&amp;L Sheet'!J24</f>
        <v>-0.16528561507075273</v>
      </c>
      <c r="K58" s="21">
        <f>AVERAGE(F58:J58)</f>
        <v>-0.12570922652890532</v>
      </c>
      <c r="L58" s="21">
        <f t="shared" ref="L58:O58" si="49">AVERAGE(G58:K58)</f>
        <v>-0.15085107183468635</v>
      </c>
      <c r="M58" s="21">
        <f t="shared" si="49"/>
        <v>-0.15025617755988974</v>
      </c>
      <c r="N58" s="21">
        <f t="shared" si="49"/>
        <v>-0.13815707607250757</v>
      </c>
      <c r="O58" s="21">
        <f t="shared" si="49"/>
        <v>-0.14605183341334835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EF53-1F73-491B-8F48-D08AC39A5AFC}">
  <dimension ref="A1:Y31"/>
  <sheetViews>
    <sheetView showGridLines="0" workbookViewId="0">
      <pane xSplit="3" ySplit="2" topLeftCell="D10" activePane="bottomRight" state="frozen"/>
      <selection pane="topRight" activeCell="D1" sqref="D1"/>
      <selection pane="bottomLeft" activeCell="A3" sqref="A3"/>
      <selection pane="bottomRight" activeCell="S5" sqref="S5"/>
    </sheetView>
  </sheetViews>
  <sheetFormatPr defaultRowHeight="14.4" x14ac:dyDescent="0.3"/>
  <cols>
    <col min="1" max="1" width="3.5546875" customWidth="1"/>
    <col min="2" max="2" width="3.88671875" customWidth="1"/>
    <col min="3" max="3" width="54.6640625" customWidth="1"/>
    <col min="4" max="4" width="4" customWidth="1"/>
    <col min="11" max="11" width="8.88671875" customWidth="1"/>
    <col min="12" max="12" width="9.5546875" customWidth="1"/>
    <col min="13" max="13" width="9.5546875" bestFit="1" customWidth="1"/>
    <col min="14" max="14" width="9.6640625" bestFit="1" customWidth="1"/>
    <col min="15" max="15" width="9.5546875" bestFit="1" customWidth="1"/>
  </cols>
  <sheetData>
    <row r="1" spans="1:25" ht="18" x14ac:dyDescent="0.35">
      <c r="A1" s="5" t="s">
        <v>66</v>
      </c>
      <c r="E1" s="41" t="s">
        <v>67</v>
      </c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25" x14ac:dyDescent="0.3">
      <c r="A2" s="4" t="s">
        <v>68</v>
      </c>
      <c r="E2" s="3" t="s">
        <v>2</v>
      </c>
      <c r="F2" s="3" t="s">
        <v>3</v>
      </c>
      <c r="G2" s="2" t="s">
        <v>4</v>
      </c>
      <c r="H2" s="1" t="s">
        <v>5</v>
      </c>
      <c r="I2" s="1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25" x14ac:dyDescent="0.3">
      <c r="T3" s="21"/>
      <c r="U3" s="21"/>
      <c r="V3" s="21"/>
      <c r="W3" s="21"/>
      <c r="X3" s="21"/>
      <c r="Y3" s="21"/>
    </row>
    <row r="4" spans="1:25" x14ac:dyDescent="0.3">
      <c r="A4" t="s">
        <v>69</v>
      </c>
      <c r="E4" s="10">
        <v>20174.84</v>
      </c>
      <c r="F4" s="10">
        <v>25025.59</v>
      </c>
      <c r="G4" s="10">
        <v>25238.68</v>
      </c>
      <c r="H4" s="10">
        <v>18365.09</v>
      </c>
      <c r="I4" s="10">
        <v>29108.63</v>
      </c>
      <c r="J4" s="25">
        <v>40830.82</v>
      </c>
      <c r="K4" s="19">
        <f>'Assumption Sheet'!K56*AVERAGE('Asset Schedule'!K7,'Asset Schedule'!K4)</f>
        <v>67502.406312385487</v>
      </c>
      <c r="L4" s="19">
        <f>'Assumption Sheet'!L56*AVERAGE('Asset Schedule'!L7,'Asset Schedule'!L4)</f>
        <v>103327.18771110264</v>
      </c>
      <c r="M4" s="19">
        <f>'Assumption Sheet'!M56*AVERAGE('Asset Schedule'!M7,'Asset Schedule'!M4)</f>
        <v>113094.87446869956</v>
      </c>
      <c r="N4" s="19">
        <f>'Assumption Sheet'!N56*AVERAGE('Asset Schedule'!N7,'Asset Schedule'!N4)</f>
        <v>125032.08752656161</v>
      </c>
      <c r="O4" s="19">
        <f>'Assumption Sheet'!O56*AVERAGE('Asset Schedule'!O7,'Asset Schedule'!O4)</f>
        <v>140391.59193134203</v>
      </c>
    </row>
    <row r="5" spans="1:25" x14ac:dyDescent="0.3">
      <c r="A5" t="s">
        <v>70</v>
      </c>
      <c r="E5" s="10">
        <v>348.84</v>
      </c>
      <c r="F5" s="10">
        <v>517.55999999999995</v>
      </c>
      <c r="G5" s="10">
        <v>871.82</v>
      </c>
      <c r="H5" s="10">
        <v>1132.8699999999999</v>
      </c>
      <c r="I5" s="10">
        <v>813.25</v>
      </c>
      <c r="J5" s="25">
        <v>1160.29</v>
      </c>
      <c r="K5" s="19">
        <f>K$4*'Assumption Sheet'!K$6</f>
        <v>2339.1711942684096</v>
      </c>
      <c r="L5" s="19">
        <f>L$4*'Assumption Sheet'!L$6</f>
        <v>3869.3486967103231</v>
      </c>
      <c r="M5" s="19">
        <f>M$4*'Assumption Sheet'!M$6</f>
        <v>4300.8219131140349</v>
      </c>
      <c r="N5" s="19">
        <f>N$4*'Assumption Sheet'!N$6</f>
        <v>4163.1833267679895</v>
      </c>
      <c r="O5" s="19">
        <f>O$4*'Assumption Sheet'!O$6</f>
        <v>4825.064315652422</v>
      </c>
    </row>
    <row r="6" spans="1:25" x14ac:dyDescent="0.3">
      <c r="A6" s="7" t="s">
        <v>71</v>
      </c>
      <c r="B6" s="8"/>
      <c r="C6" s="8"/>
      <c r="D6" s="8"/>
      <c r="E6" s="12">
        <f>SUM(E$4:E$5)</f>
        <v>20523.68</v>
      </c>
      <c r="F6" s="12">
        <f t="shared" ref="F6:O6" si="0">SUM(F$4:F$5)</f>
        <v>25543.15</v>
      </c>
      <c r="G6" s="12">
        <f t="shared" si="0"/>
        <v>26110.5</v>
      </c>
      <c r="H6" s="12">
        <f t="shared" si="0"/>
        <v>19497.96</v>
      </c>
      <c r="I6" s="12">
        <f t="shared" si="0"/>
        <v>29921.88</v>
      </c>
      <c r="J6" s="12">
        <f t="shared" si="0"/>
        <v>41991.11</v>
      </c>
      <c r="K6" s="12">
        <f t="shared" si="0"/>
        <v>69841.577506653892</v>
      </c>
      <c r="L6" s="7">
        <f t="shared" si="0"/>
        <v>107196.53640781296</v>
      </c>
      <c r="M6" s="12">
        <f t="shared" si="0"/>
        <v>117395.6963818136</v>
      </c>
      <c r="N6" s="12">
        <f t="shared" si="0"/>
        <v>129195.2708533296</v>
      </c>
      <c r="O6" s="12">
        <f t="shared" si="0"/>
        <v>145216.65624699445</v>
      </c>
      <c r="Q6" s="27"/>
    </row>
    <row r="7" spans="1:25" x14ac:dyDescent="0.3">
      <c r="J7" s="24"/>
    </row>
    <row r="8" spans="1:25" x14ac:dyDescent="0.3">
      <c r="A8" s="3" t="s">
        <v>72</v>
      </c>
      <c r="D8" s="9"/>
      <c r="E8" s="9"/>
      <c r="F8" s="9"/>
      <c r="G8" s="9"/>
      <c r="H8" s="9"/>
      <c r="I8" s="9"/>
      <c r="J8" s="24"/>
      <c r="K8" s="9"/>
      <c r="L8" s="9"/>
      <c r="M8" s="9"/>
      <c r="N8" s="9"/>
    </row>
    <row r="9" spans="1:25" x14ac:dyDescent="0.3">
      <c r="A9" t="s">
        <v>73</v>
      </c>
      <c r="D9" s="9"/>
      <c r="E9" s="9">
        <v>9550.42</v>
      </c>
      <c r="F9" s="9">
        <v>10980.41</v>
      </c>
      <c r="G9" s="9">
        <v>10175.01</v>
      </c>
      <c r="H9" s="9">
        <v>7009.69</v>
      </c>
      <c r="I9" s="9">
        <v>11746.92</v>
      </c>
      <c r="J9" s="26">
        <v>15402.18</v>
      </c>
      <c r="K9" s="18">
        <f>K$4*'Assumption Sheet'!K$8</f>
        <v>27060.071672296071</v>
      </c>
      <c r="L9" s="18">
        <f>L$4*'Assumption Sheet'!L$8</f>
        <v>40638.307690368929</v>
      </c>
      <c r="M9" s="18">
        <f>M$4*'Assumption Sheet'!M$8</f>
        <v>44257.023314993996</v>
      </c>
      <c r="N9" s="18">
        <f>N$4*'Assumption Sheet'!N$8</f>
        <v>49169.456657596202</v>
      </c>
      <c r="O9" s="18">
        <f>O$4*'Assumption Sheet'!O$8</f>
        <v>54920.451768643063</v>
      </c>
    </row>
    <row r="10" spans="1:25" x14ac:dyDescent="0.3">
      <c r="A10" t="s">
        <v>74</v>
      </c>
      <c r="D10" s="9"/>
      <c r="E10" s="9"/>
      <c r="F10" s="9">
        <v>12.2</v>
      </c>
      <c r="G10" s="9">
        <v>3.25</v>
      </c>
      <c r="H10" s="9">
        <v>3.87</v>
      </c>
      <c r="I10" s="9">
        <v>6.18</v>
      </c>
      <c r="J10" s="25">
        <v>578.25</v>
      </c>
      <c r="K10" s="19">
        <f>K$4*'Assumption Sheet'!K$9</f>
        <v>205.22624072111043</v>
      </c>
      <c r="L10" s="19">
        <f>L$4*'Assumption Sheet'!L$9</f>
        <v>366.89792302241193</v>
      </c>
      <c r="M10" s="19">
        <f>M$4*'Assumption Sheet'!M$9</f>
        <v>478.98499600886976</v>
      </c>
      <c r="N10" s="19">
        <f>N$4*'Assumption Sheet'!N$9</f>
        <v>630.18098445821295</v>
      </c>
      <c r="O10" s="19">
        <f>O$4*'Assumption Sheet'!O$9</f>
        <v>843.15304723655458</v>
      </c>
    </row>
    <row r="11" spans="1:25" x14ac:dyDescent="0.3">
      <c r="A11" t="s">
        <v>75</v>
      </c>
      <c r="D11" s="9"/>
      <c r="E11" s="9">
        <v>-677.65</v>
      </c>
      <c r="F11" s="9">
        <v>146.47999999999999</v>
      </c>
      <c r="G11" s="9">
        <v>-59.47</v>
      </c>
      <c r="H11" s="9">
        <v>157.37</v>
      </c>
      <c r="I11" s="9">
        <v>-124.56</v>
      </c>
      <c r="J11" s="25">
        <v>219.81</v>
      </c>
      <c r="K11" s="19">
        <f>K$4*'Assumption Sheet'!K$10</f>
        <v>123.47812411576862</v>
      </c>
      <c r="L11" s="19">
        <f>L$4*'Assumption Sheet'!L$10</f>
        <v>297.13038763473281</v>
      </c>
      <c r="M11" s="19">
        <f>M$4*'Assumption Sheet'!M$10</f>
        <v>164.24646430841014</v>
      </c>
      <c r="N11" s="19">
        <f>N$4*'Assumption Sheet'!O$10</f>
        <v>282.64451267484151</v>
      </c>
      <c r="O11" s="19">
        <f>O4*'Assumption Sheet'!O10</f>
        <v>317.36583680288976</v>
      </c>
    </row>
    <row r="12" spans="1:25" x14ac:dyDescent="0.3">
      <c r="A12" t="s">
        <v>76</v>
      </c>
      <c r="D12" s="9"/>
      <c r="E12" s="9">
        <v>1971.03</v>
      </c>
      <c r="F12" s="9">
        <v>2419.09</v>
      </c>
      <c r="G12" s="9">
        <v>2667.06</v>
      </c>
      <c r="H12" s="9">
        <v>2794.32</v>
      </c>
      <c r="I12" s="9">
        <v>3736.38</v>
      </c>
      <c r="J12" s="25">
        <v>5010.34</v>
      </c>
      <c r="K12" s="19">
        <f>K$4*'Assumption Sheet'!K$11</f>
        <v>8175.3742828173599</v>
      </c>
      <c r="L12" s="19">
        <f>L$4*'Assumption Sheet'!L$11</f>
        <v>13019.419430067688</v>
      </c>
      <c r="M12" s="19">
        <f>M$4*'Assumption Sheet'!M$11</f>
        <v>14709.972979435359</v>
      </c>
      <c r="N12" s="19">
        <f>N$4*'Assumption Sheet'!N$11</f>
        <v>15710.316553119415</v>
      </c>
      <c r="O12" s="19">
        <f>O$4*'Assumption Sheet'!O$11</f>
        <v>17564.161727427942</v>
      </c>
    </row>
    <row r="13" spans="1:25" x14ac:dyDescent="0.3">
      <c r="A13" t="s">
        <v>77</v>
      </c>
      <c r="D13" s="9"/>
      <c r="E13" s="9">
        <v>1281.06</v>
      </c>
      <c r="F13" s="9">
        <v>1682.31</v>
      </c>
      <c r="G13" s="9">
        <v>1261.4000000000001</v>
      </c>
      <c r="H13" s="9">
        <v>1094.53</v>
      </c>
      <c r="I13" s="9">
        <v>939.62</v>
      </c>
      <c r="J13" s="26">
        <v>1126.28</v>
      </c>
      <c r="K13" s="21">
        <f>'Debt Schedule'!K17*'Debt Schedule'!K16</f>
        <v>8071.9518388649985</v>
      </c>
      <c r="L13" s="21">
        <f>'Debt Schedule'!L17*'Debt Schedule'!L16</f>
        <v>17018.918586531148</v>
      </c>
      <c r="M13" s="21">
        <f>'Debt Schedule'!M17*'Debt Schedule'!M16</f>
        <v>16369.022997404065</v>
      </c>
      <c r="N13" s="21">
        <f>'Debt Schedule'!N17*'Debt Schedule'!N16</f>
        <v>17243.450999767014</v>
      </c>
      <c r="O13" s="21">
        <f>'Debt Schedule'!O17*'Debt Schedule'!O16</f>
        <v>17621.520954589487</v>
      </c>
    </row>
    <row r="14" spans="1:25" x14ac:dyDescent="0.3">
      <c r="A14" t="s">
        <v>78</v>
      </c>
      <c r="D14" s="9"/>
      <c r="E14" s="9">
        <v>638.54999999999995</v>
      </c>
      <c r="F14" s="9">
        <v>870.46</v>
      </c>
      <c r="G14" s="9">
        <v>975.95</v>
      </c>
      <c r="H14" s="9">
        <v>965.93</v>
      </c>
      <c r="I14" s="9">
        <v>1021.54</v>
      </c>
      <c r="J14" s="26">
        <v>1274.6500000000001</v>
      </c>
      <c r="K14" s="21">
        <f>'Asset Schedule'!K11+('Assumption Sheet'!K51*'Balance Sheet'!K36)</f>
        <v>3537.9593300621523</v>
      </c>
      <c r="L14" s="21">
        <f>'Asset Schedule'!L11+('Assumption Sheet'!L51*'Balance Sheet'!L36)</f>
        <v>3728.7325441825069</v>
      </c>
      <c r="M14" s="21">
        <f>'Asset Schedule'!M11+('Assumption Sheet'!M51*'Balance Sheet'!M36)</f>
        <v>4380.4837030694262</v>
      </c>
      <c r="N14" s="21">
        <f>'Asset Schedule'!N11+('Assumption Sheet'!N51*'Balance Sheet'!N36)</f>
        <v>4563.8974632987711</v>
      </c>
      <c r="O14" s="21">
        <f>'Asset Schedule'!O11+('Assumption Sheet'!O51*'Balance Sheet'!O36)</f>
        <v>4966.8265139676223</v>
      </c>
    </row>
    <row r="15" spans="1:25" x14ac:dyDescent="0.3">
      <c r="A15" t="s">
        <v>79</v>
      </c>
      <c r="D15" s="9"/>
      <c r="E15" s="9">
        <v>5544.56</v>
      </c>
      <c r="F15" s="9">
        <v>6949.11</v>
      </c>
      <c r="G15" s="9">
        <v>7133.46</v>
      </c>
      <c r="H15" s="9">
        <v>5179.13</v>
      </c>
      <c r="I15" s="9">
        <v>7475.48</v>
      </c>
      <c r="J15" s="25">
        <v>11687.07</v>
      </c>
      <c r="K15" s="19">
        <f>K$4*'Assumption Sheet'!K$12</f>
        <v>18703.221359544168</v>
      </c>
      <c r="L15" s="19">
        <f>L$4*'Assumption Sheet'!L$12</f>
        <v>28616.860047746926</v>
      </c>
      <c r="M15" s="19">
        <f>M$4*'Assumption Sheet'!M$12</f>
        <v>31193.443326703222</v>
      </c>
      <c r="N15" s="19">
        <f>N$4*'Assumption Sheet'!N$12</f>
        <v>34331.062256966034</v>
      </c>
      <c r="O15" s="28">
        <f>O$4*'Assumption Sheet'!O$12</f>
        <v>39047.250971378227</v>
      </c>
    </row>
    <row r="16" spans="1:25" x14ac:dyDescent="0.3">
      <c r="A16" s="7" t="s">
        <v>80</v>
      </c>
      <c r="B16" s="7"/>
      <c r="C16" s="7"/>
      <c r="D16" s="7"/>
      <c r="E16" s="7">
        <f t="shared" ref="E16:G16" si="1">SUM(E$9:E$15)</f>
        <v>18307.97</v>
      </c>
      <c r="F16" s="7">
        <f t="shared" si="1"/>
        <v>23060.06</v>
      </c>
      <c r="G16" s="7">
        <f t="shared" si="1"/>
        <v>22156.66</v>
      </c>
      <c r="H16" s="7">
        <f>SUM(H$9:H$15)</f>
        <v>17204.84</v>
      </c>
      <c r="I16" s="7">
        <f>SUM(I$9:I$15)</f>
        <v>24801.56</v>
      </c>
      <c r="J16" s="7">
        <f>SUM(J$9:J$15)</f>
        <v>35298.58</v>
      </c>
      <c r="K16" s="7">
        <f>SUM(K$9:K$15)</f>
        <v>65877.282848421615</v>
      </c>
      <c r="L16" s="7">
        <f t="shared" ref="L16:O16" si="2">SUM(L$9:L$15)</f>
        <v>103686.26660955435</v>
      </c>
      <c r="M16" s="7">
        <f t="shared" si="2"/>
        <v>111553.17778192335</v>
      </c>
      <c r="N16" s="7">
        <f t="shared" si="2"/>
        <v>121931.00942788048</v>
      </c>
      <c r="O16" s="7">
        <f t="shared" si="2"/>
        <v>135280.73082004578</v>
      </c>
    </row>
    <row r="17" spans="1:17" x14ac:dyDescent="0.3">
      <c r="J17" s="24"/>
      <c r="O17" s="23"/>
      <c r="P17" s="20"/>
      <c r="Q17" s="20"/>
    </row>
    <row r="18" spans="1:17" x14ac:dyDescent="0.3">
      <c r="A18" s="7" t="s">
        <v>81</v>
      </c>
      <c r="B18" s="7"/>
      <c r="C18" s="7"/>
      <c r="D18" s="7"/>
      <c r="E18" s="12">
        <f>E$6-E$16</f>
        <v>2215.7099999999991</v>
      </c>
      <c r="F18" s="12">
        <f t="shared" ref="F18:O18" si="3">F$6-F$16</f>
        <v>2483.09</v>
      </c>
      <c r="G18" s="12">
        <f t="shared" si="3"/>
        <v>3953.84</v>
      </c>
      <c r="H18" s="12">
        <f t="shared" si="3"/>
        <v>2293.119999999999</v>
      </c>
      <c r="I18" s="12">
        <f t="shared" si="3"/>
        <v>5120.32</v>
      </c>
      <c r="J18" s="12">
        <f t="shared" si="3"/>
        <v>6692.5299999999988</v>
      </c>
      <c r="K18" s="12">
        <f t="shared" si="3"/>
        <v>3964.2946582322766</v>
      </c>
      <c r="L18" s="12">
        <f t="shared" si="3"/>
        <v>3510.2697982586105</v>
      </c>
      <c r="M18" s="12">
        <f t="shared" si="3"/>
        <v>5842.5185998902452</v>
      </c>
      <c r="N18" s="12">
        <f t="shared" si="3"/>
        <v>7264.26142544912</v>
      </c>
      <c r="O18" s="12">
        <f t="shared" si="3"/>
        <v>9935.9254269486701</v>
      </c>
    </row>
    <row r="19" spans="1:17" x14ac:dyDescent="0.3">
      <c r="J19" s="24"/>
    </row>
    <row r="20" spans="1:17" x14ac:dyDescent="0.3">
      <c r="A20" s="3" t="s">
        <v>82</v>
      </c>
      <c r="D20" s="9"/>
      <c r="E20" s="9"/>
      <c r="F20" s="9"/>
      <c r="G20" s="9"/>
      <c r="H20" s="9"/>
      <c r="I20" s="9"/>
      <c r="J20" s="24"/>
      <c r="K20" s="9"/>
      <c r="L20" s="9"/>
      <c r="M20" s="9"/>
      <c r="N20" s="9"/>
    </row>
    <row r="21" spans="1:17" x14ac:dyDescent="0.3">
      <c r="A21" t="s">
        <v>83</v>
      </c>
      <c r="D21" s="9"/>
      <c r="E21" s="10">
        <v>477.45</v>
      </c>
      <c r="F21" s="10">
        <v>541.59</v>
      </c>
      <c r="G21" s="10">
        <v>685.13</v>
      </c>
      <c r="H21" s="10">
        <v>411.5</v>
      </c>
      <c r="I21" s="10">
        <v>980</v>
      </c>
      <c r="J21" s="26">
        <v>1434.61</v>
      </c>
      <c r="K21" s="21">
        <f>K18*'Assumption Sheet'!K13</f>
        <v>787.62703274400008</v>
      </c>
      <c r="L21" s="21">
        <f>L18*'Assumption Sheet'!L13</f>
        <v>687.59032417283845</v>
      </c>
      <c r="M21" s="21">
        <f>M18*'Assumption Sheet'!M13</f>
        <v>1122.7821705366916</v>
      </c>
      <c r="N21" s="21">
        <f>N18*'Assumption Sheet'!N13</f>
        <v>1418.8776022795805</v>
      </c>
      <c r="O21" s="21">
        <f>O18*'Assumption Sheet'!O13</f>
        <v>1967.0009576551929</v>
      </c>
    </row>
    <row r="22" spans="1:17" x14ac:dyDescent="0.3">
      <c r="A22" t="s">
        <v>84</v>
      </c>
      <c r="D22" s="9"/>
      <c r="E22" s="10">
        <v>490.28</v>
      </c>
      <c r="F22" s="10">
        <v>-131.58000000000001</v>
      </c>
      <c r="G22" s="10">
        <v>477.53</v>
      </c>
      <c r="H22" s="10">
        <v>209.51</v>
      </c>
      <c r="I22" s="10">
        <v>565.11</v>
      </c>
      <c r="J22" s="26">
        <v>650.32000000000005</v>
      </c>
      <c r="K22" s="21">
        <f>K18*'Assumption Sheet'!K14</f>
        <v>388.47580446474399</v>
      </c>
      <c r="L22" s="21">
        <f>L18*'Assumption Sheet'!L14</f>
        <v>271.85944616536915</v>
      </c>
      <c r="M22" s="21">
        <f>M18*'Assumption Sheet'!M14</f>
        <v>579.49857371965982</v>
      </c>
      <c r="N22" s="21">
        <f>N18*'Assumption Sheet'!N14</f>
        <v>694.37714837782369</v>
      </c>
      <c r="O22" s="21">
        <f>O18*'Assumption Sheet'!O14</f>
        <v>956.75061116073925</v>
      </c>
    </row>
    <row r="23" spans="1:17" x14ac:dyDescent="0.3">
      <c r="A23" t="s">
        <v>85</v>
      </c>
      <c r="D23" s="9"/>
      <c r="E23" s="10">
        <v>0.01</v>
      </c>
      <c r="F23" s="10">
        <v>2.1</v>
      </c>
      <c r="G23" s="10">
        <v>29.35</v>
      </c>
      <c r="H23" s="10">
        <v>0</v>
      </c>
      <c r="I23" s="10">
        <v>4.1900000000000004</v>
      </c>
      <c r="J23" s="25">
        <v>0</v>
      </c>
      <c r="K23" s="21">
        <f>K18*'Assumption Sheet'!K15</f>
        <v>6.007033069293799</v>
      </c>
      <c r="L23" s="21">
        <f>L18*'Assumption Sheet'!L15</f>
        <v>6.2029253265646229</v>
      </c>
      <c r="M23" s="21">
        <f>M18*'Assumption Sheet'!M15</f>
        <v>11.221370155039608</v>
      </c>
      <c r="N23" s="21">
        <f>N18*'Assumption Sheet'!N15</f>
        <v>7.2900628496234416</v>
      </c>
      <c r="O23" s="29">
        <f>O18*'Assumption Sheet'!O15</f>
        <v>11.633085506465052</v>
      </c>
    </row>
    <row r="24" spans="1:17" x14ac:dyDescent="0.3">
      <c r="A24" s="7" t="s">
        <v>86</v>
      </c>
      <c r="B24" s="8"/>
      <c r="C24" s="8"/>
      <c r="D24" s="7"/>
      <c r="E24" s="12">
        <f>E$18-SUM(E$21:E$23)</f>
        <v>1247.9699999999991</v>
      </c>
      <c r="F24" s="12">
        <f t="shared" ref="F24:O24" si="4">F$18-SUM(F$21:F$23)</f>
        <v>2070.98</v>
      </c>
      <c r="G24" s="12">
        <f t="shared" si="4"/>
        <v>2761.8300000000004</v>
      </c>
      <c r="H24" s="12">
        <f t="shared" si="4"/>
        <v>1672.109999999999</v>
      </c>
      <c r="I24" s="12">
        <f t="shared" si="4"/>
        <v>3571.0199999999995</v>
      </c>
      <c r="J24" s="12">
        <f t="shared" si="4"/>
        <v>4607.5999999999985</v>
      </c>
      <c r="K24" s="12">
        <f t="shared" si="4"/>
        <v>2782.1847879542388</v>
      </c>
      <c r="L24" s="12">
        <f t="shared" si="4"/>
        <v>2544.6171025938384</v>
      </c>
      <c r="M24" s="12">
        <f t="shared" si="4"/>
        <v>4129.0164854788545</v>
      </c>
      <c r="N24" s="12">
        <f t="shared" si="4"/>
        <v>5143.7166119420926</v>
      </c>
      <c r="O24" s="12">
        <f t="shared" si="4"/>
        <v>7000.5407726262729</v>
      </c>
    </row>
    <row r="25" spans="1:17" x14ac:dyDescent="0.3">
      <c r="J25" s="24"/>
    </row>
    <row r="26" spans="1:17" x14ac:dyDescent="0.3">
      <c r="A26" s="3" t="s">
        <v>87</v>
      </c>
      <c r="I26" s="10"/>
      <c r="J26" s="24"/>
    </row>
    <row r="27" spans="1:17" x14ac:dyDescent="0.3">
      <c r="A27" t="s">
        <v>88</v>
      </c>
      <c r="D27" s="10"/>
      <c r="E27" s="10"/>
      <c r="F27" s="10"/>
      <c r="G27" s="10"/>
      <c r="H27" s="10"/>
      <c r="I27" s="10"/>
      <c r="J27" s="24"/>
      <c r="K27" s="9"/>
      <c r="L27" s="9"/>
      <c r="M27" s="9"/>
      <c r="N27" s="9"/>
    </row>
    <row r="28" spans="1:17" x14ac:dyDescent="0.3">
      <c r="A28" t="s">
        <v>89</v>
      </c>
      <c r="D28" s="10"/>
      <c r="E28" s="10">
        <v>6.29</v>
      </c>
      <c r="F28" s="10">
        <v>-9.98</v>
      </c>
      <c r="G28" s="10">
        <v>-62.69</v>
      </c>
      <c r="H28" s="10">
        <v>31.91</v>
      </c>
      <c r="I28" s="10">
        <v>-67.510000000000005</v>
      </c>
      <c r="J28" s="26">
        <v>-38.130000000000003</v>
      </c>
      <c r="K28" s="10">
        <f>J28*(1+'Assumption Sheet'!K16)</f>
        <v>-20.095063178500538</v>
      </c>
      <c r="L28" s="10">
        <f>K28*(1+'Assumption Sheet'!L16)</f>
        <v>-19.085215982078829</v>
      </c>
      <c r="M28" s="10">
        <f>L28*(1+'Assumption Sheet'!M16)</f>
        <v>2.2256572275069741</v>
      </c>
      <c r="N28" s="10">
        <f>M28*(1+'Assumption Sheet'!N16)</f>
        <v>-8.4881371060270924E-2</v>
      </c>
      <c r="O28" s="10">
        <f>N28*(1+'Assumption Sheet'!O16)</f>
        <v>-3.2031033443675985E-2</v>
      </c>
    </row>
    <row r="29" spans="1:17" x14ac:dyDescent="0.3">
      <c r="A29" t="s">
        <v>90</v>
      </c>
      <c r="D29" s="10"/>
      <c r="E29" s="10">
        <v>1.83</v>
      </c>
      <c r="F29" s="10">
        <v>-2.9</v>
      </c>
      <c r="G29" s="10">
        <v>18.260000000000002</v>
      </c>
      <c r="H29" s="10">
        <v>-9.2899999999999991</v>
      </c>
      <c r="I29" s="10">
        <v>19.66</v>
      </c>
      <c r="J29" s="25">
        <v>11.1</v>
      </c>
      <c r="K29" s="10">
        <f>K28*'Assumption Sheet'!K17</f>
        <v>1.9532808399355386</v>
      </c>
      <c r="L29" s="10">
        <f>L28*'Assumption Sheet'!L17</f>
        <v>3.0897443394914736</v>
      </c>
      <c r="M29" s="10">
        <f>M28*'Assumption Sheet'!M17</f>
        <v>-0.52815786920770647</v>
      </c>
      <c r="N29" s="10">
        <f>N28*'Assumption Sheet'!N17</f>
        <v>1.9379196047816436E-2</v>
      </c>
      <c r="O29" s="10">
        <f>O28*'Assumption Sheet'!O17</f>
        <v>6.9776026284010754E-3</v>
      </c>
    </row>
    <row r="30" spans="1:17" x14ac:dyDescent="0.3">
      <c r="A30" t="s">
        <v>91</v>
      </c>
      <c r="D30" s="10"/>
      <c r="E30" s="10"/>
      <c r="F30" s="10"/>
      <c r="G30" s="10"/>
      <c r="H30" s="10">
        <v>0</v>
      </c>
      <c r="I30" s="10">
        <v>-0.71</v>
      </c>
      <c r="J30" s="26">
        <f>-18.36</f>
        <v>-18.36</v>
      </c>
      <c r="K30" s="10">
        <f>AVERAGE(H30:J30)</f>
        <v>-6.3566666666666665</v>
      </c>
      <c r="L30" s="10">
        <f t="shared" ref="L30:O30" si="5">AVERAGE(I30:K30)</f>
        <v>-8.4755555555555553</v>
      </c>
      <c r="M30" s="10">
        <f t="shared" si="5"/>
        <v>-11.064074074074073</v>
      </c>
      <c r="N30" s="10">
        <f t="shared" si="5"/>
        <v>-8.6320987654320973</v>
      </c>
      <c r="O30" s="40">
        <f t="shared" si="5"/>
        <v>-9.3905761316872418</v>
      </c>
    </row>
    <row r="31" spans="1:17" x14ac:dyDescent="0.3">
      <c r="A31" s="7" t="s">
        <v>92</v>
      </c>
      <c r="B31" s="7"/>
      <c r="C31" s="7"/>
      <c r="D31" s="12"/>
      <c r="E31" s="12">
        <f>SUM(E$28:E$30,E$24)</f>
        <v>1256.089999999999</v>
      </c>
      <c r="F31" s="12">
        <f t="shared" ref="F31:I31" si="6">SUM(F$28:F$30,F$24)</f>
        <v>2058.1</v>
      </c>
      <c r="G31" s="12">
        <f t="shared" si="6"/>
        <v>2717.4000000000005</v>
      </c>
      <c r="H31" s="12">
        <f t="shared" si="6"/>
        <v>1694.7299999999989</v>
      </c>
      <c r="I31" s="12">
        <f t="shared" si="6"/>
        <v>3522.4599999999996</v>
      </c>
      <c r="J31" s="12">
        <f>J24+J30</f>
        <v>4589.2399999999989</v>
      </c>
      <c r="K31" s="12">
        <f>SUM(K24,K28:K30)</f>
        <v>2757.6863389490072</v>
      </c>
      <c r="L31" s="12">
        <f t="shared" ref="L31:O31" si="7">SUM(L24,L28:L30)</f>
        <v>2520.1460753956953</v>
      </c>
      <c r="M31" s="12">
        <f t="shared" si="7"/>
        <v>4119.6499107630807</v>
      </c>
      <c r="N31" s="12">
        <f t="shared" si="7"/>
        <v>5135.0190110016492</v>
      </c>
      <c r="O31" s="12">
        <f t="shared" si="7"/>
        <v>6991.1251430637703</v>
      </c>
    </row>
  </sheetData>
  <mergeCells count="1">
    <mergeCell ref="E1:O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CBA5-80F4-4DF1-964F-BE48CFBABCA7}">
  <dimension ref="A1:U62"/>
  <sheetViews>
    <sheetView showGridLines="0" zoomScale="99" zoomScaleNormal="99" workbookViewId="0">
      <pane xSplit="3" ySplit="2" topLeftCell="D40" activePane="bottomRight" state="frozen"/>
      <selection pane="topRight" activeCell="D1" sqref="D1"/>
      <selection pane="bottomLeft" activeCell="A3" sqref="A3"/>
      <selection pane="bottomRight" activeCell="Q38" sqref="Q38"/>
    </sheetView>
  </sheetViews>
  <sheetFormatPr defaultRowHeight="14.4" x14ac:dyDescent="0.3"/>
  <cols>
    <col min="1" max="2" width="3.33203125" customWidth="1"/>
    <col min="3" max="3" width="30.6640625" customWidth="1"/>
    <col min="4" max="4" width="3.33203125" customWidth="1"/>
    <col min="5" max="5" width="11.109375" bestFit="1" customWidth="1"/>
    <col min="7" max="10" width="11.33203125" bestFit="1" customWidth="1"/>
    <col min="11" max="11" width="10" bestFit="1" customWidth="1"/>
    <col min="12" max="12" width="11" customWidth="1"/>
    <col min="13" max="13" width="11.109375" bestFit="1" customWidth="1"/>
    <col min="14" max="15" width="11" bestFit="1" customWidth="1"/>
  </cols>
  <sheetData>
    <row r="1" spans="1:15" ht="18" x14ac:dyDescent="0.35">
      <c r="A1" s="5" t="s">
        <v>93</v>
      </c>
      <c r="E1" s="41" t="s">
        <v>94</v>
      </c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">
      <c r="A2" s="4" t="s">
        <v>68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3">
      <c r="A3" s="3" t="s">
        <v>95</v>
      </c>
      <c r="E3" s="9"/>
      <c r="F3" s="9"/>
      <c r="G3" s="9"/>
      <c r="H3" s="9"/>
      <c r="I3" s="9"/>
    </row>
    <row r="4" spans="1:15" x14ac:dyDescent="0.3">
      <c r="E4" s="9"/>
      <c r="F4" s="9"/>
      <c r="G4" s="9"/>
      <c r="H4" s="9"/>
      <c r="I4" s="9"/>
    </row>
    <row r="5" spans="1:15" x14ac:dyDescent="0.3">
      <c r="A5" s="3" t="s">
        <v>96</v>
      </c>
      <c r="E5" s="9"/>
      <c r="F5" s="9"/>
      <c r="G5" s="9"/>
      <c r="H5" s="9"/>
      <c r="I5" s="9"/>
    </row>
    <row r="6" spans="1:15" x14ac:dyDescent="0.3">
      <c r="A6" t="s">
        <v>154</v>
      </c>
      <c r="E6" s="10">
        <v>3524</v>
      </c>
      <c r="F6" s="10">
        <v>3524</v>
      </c>
      <c r="G6" s="10">
        <v>3524</v>
      </c>
      <c r="H6" s="10">
        <v>3524</v>
      </c>
      <c r="I6" s="10">
        <v>3524</v>
      </c>
      <c r="J6" s="10">
        <v>3807.85</v>
      </c>
      <c r="K6" s="21">
        <f>'Reserve Schedule'!K5</f>
        <v>3807.85</v>
      </c>
      <c r="L6" s="21">
        <f>'Reserve Schedule'!L5</f>
        <v>3807.85</v>
      </c>
      <c r="M6" s="21">
        <f>'Reserve Schedule'!M5</f>
        <v>3807.85</v>
      </c>
      <c r="N6" s="21">
        <f>'Reserve Schedule'!N5</f>
        <v>3807.85</v>
      </c>
      <c r="O6" s="21">
        <f>'Reserve Schedule'!O5</f>
        <v>3807.85</v>
      </c>
    </row>
    <row r="7" spans="1:15" x14ac:dyDescent="0.3">
      <c r="A7" t="s">
        <v>97</v>
      </c>
      <c r="E7" s="9"/>
      <c r="F7" s="9"/>
      <c r="G7" s="9"/>
      <c r="H7" s="9"/>
      <c r="I7" s="9">
        <v>283.85000000000002</v>
      </c>
    </row>
    <row r="8" spans="1:15" x14ac:dyDescent="0.3">
      <c r="A8" t="s">
        <v>98</v>
      </c>
      <c r="E8" s="9">
        <v>3788.33</v>
      </c>
      <c r="F8" s="9">
        <v>5846.43</v>
      </c>
      <c r="G8" s="9">
        <v>8138.99</v>
      </c>
      <c r="H8" s="11">
        <v>9481.32</v>
      </c>
      <c r="I8" s="9">
        <v>12705.94</v>
      </c>
      <c r="J8" s="9">
        <v>16756.25</v>
      </c>
      <c r="K8" s="21">
        <f>'Reserve Schedule'!K16</f>
        <v>9600.4810792021963</v>
      </c>
      <c r="L8" s="21">
        <f>'Reserve Schedule'!L16</f>
        <v>9354.0535002987326</v>
      </c>
      <c r="M8" s="21">
        <f>'Reserve Schedule'!M16</f>
        <v>14849.176725939004</v>
      </c>
      <c r="N8" s="21">
        <f>'Reserve Schedule'!N16</f>
        <v>18759.987918229504</v>
      </c>
      <c r="O8" s="21">
        <f>'Reserve Schedule'!O16</f>
        <v>23357.3395163934</v>
      </c>
    </row>
    <row r="9" spans="1:15" x14ac:dyDescent="0.3">
      <c r="A9" s="7" t="s">
        <v>99</v>
      </c>
      <c r="B9" s="8"/>
      <c r="C9" s="8"/>
      <c r="D9" s="7"/>
      <c r="E9" s="13">
        <f t="shared" ref="E9:G9" si="0">SUM(E$6:E$8)</f>
        <v>7312.33</v>
      </c>
      <c r="F9" s="13">
        <f t="shared" si="0"/>
        <v>9370.43</v>
      </c>
      <c r="G9" s="12">
        <f t="shared" si="0"/>
        <v>11662.99</v>
      </c>
      <c r="H9" s="12">
        <f>SUM(H$6:H$8)</f>
        <v>13005.32</v>
      </c>
      <c r="I9" s="12">
        <f>SUM(I$6:I$8)</f>
        <v>16513.79</v>
      </c>
      <c r="J9" s="12">
        <f>SUM(J$6:J$8)</f>
        <v>20564.099999999999</v>
      </c>
      <c r="K9" s="12">
        <f t="shared" ref="K9:O9" si="1">SUM(K$6:K$8)</f>
        <v>13408.331079202197</v>
      </c>
      <c r="L9" s="12">
        <f t="shared" si="1"/>
        <v>13161.903500298733</v>
      </c>
      <c r="M9" s="12">
        <f t="shared" si="1"/>
        <v>18657.026725939002</v>
      </c>
      <c r="N9" s="12">
        <f t="shared" si="1"/>
        <v>22567.837918229503</v>
      </c>
      <c r="O9" s="12">
        <f t="shared" si="1"/>
        <v>27165.189516393399</v>
      </c>
    </row>
    <row r="11" spans="1:15" x14ac:dyDescent="0.3">
      <c r="A11" s="3" t="s">
        <v>45</v>
      </c>
      <c r="E11" s="9"/>
      <c r="F11" s="9"/>
      <c r="G11" s="9"/>
      <c r="H11" s="9"/>
      <c r="I11" s="9"/>
    </row>
    <row r="12" spans="1:15" x14ac:dyDescent="0.3">
      <c r="A12" t="s">
        <v>100</v>
      </c>
      <c r="E12" s="9">
        <v>7114.33</v>
      </c>
      <c r="F12" s="9">
        <v>5865.43</v>
      </c>
      <c r="G12" s="9">
        <v>4272.16</v>
      </c>
      <c r="H12" s="9">
        <v>3692.46</v>
      </c>
      <c r="I12" s="9">
        <v>2905.02</v>
      </c>
      <c r="J12" s="9">
        <v>2179.3200000000002</v>
      </c>
      <c r="K12" s="21">
        <f>SUM('Debt Schedule'!K8,'Debt Schedule'!K14)</f>
        <v>42179.319999999992</v>
      </c>
      <c r="L12" s="21">
        <f>SUM('Debt Schedule'!L8,'Debt Schedule'!L14)</f>
        <v>42179.319999999992</v>
      </c>
      <c r="M12" s="21">
        <f>SUM('Debt Schedule'!M8,'Debt Schedule'!M14)</f>
        <v>43139.319999999992</v>
      </c>
      <c r="N12" s="21">
        <f>SUM('Debt Schedule'!N8,'Debt Schedule'!N14)</f>
        <v>44479.319999999992</v>
      </c>
      <c r="O12" s="21">
        <f>SUM('Debt Schedule'!O8,'Debt Schedule'!O14)</f>
        <v>46199.319999999992</v>
      </c>
    </row>
    <row r="13" spans="1:15" x14ac:dyDescent="0.3">
      <c r="A13" t="s">
        <v>101</v>
      </c>
      <c r="E13" s="9"/>
      <c r="F13" s="9"/>
      <c r="G13" s="9"/>
      <c r="H13" s="9"/>
      <c r="I13" s="9"/>
      <c r="J13" s="9">
        <v>39.82</v>
      </c>
      <c r="K13" s="21">
        <f>'Assumption Sheet'!K20*'Balance Sheet'!K43</f>
        <v>94.175029418656109</v>
      </c>
      <c r="L13" s="21">
        <f>'Assumption Sheet'!L20*'Balance Sheet'!L43</f>
        <v>96.866348311681548</v>
      </c>
      <c r="M13" s="21">
        <f>'Assumption Sheet'!M20*'Balance Sheet'!M43</f>
        <v>113.06410090859389</v>
      </c>
      <c r="N13" s="21">
        <f>'Assumption Sheet'!N20*'Balance Sheet'!N43</f>
        <v>118.04802478456692</v>
      </c>
      <c r="O13" s="21">
        <f>'Assumption Sheet'!O20*'Balance Sheet'!O43</f>
        <v>128.01587253651297</v>
      </c>
    </row>
    <row r="14" spans="1:15" x14ac:dyDescent="0.3">
      <c r="A14" t="s">
        <v>102</v>
      </c>
      <c r="E14" s="9">
        <v>654.46</v>
      </c>
      <c r="F14" s="9">
        <v>525.78</v>
      </c>
      <c r="G14" s="9"/>
      <c r="H14" s="9">
        <v>1203.8599999999999</v>
      </c>
      <c r="I14" s="9">
        <v>1713.22</v>
      </c>
      <c r="J14" s="10">
        <v>2352.44</v>
      </c>
      <c r="K14" s="21">
        <f>K41*'Assumption Sheet'!K21</f>
        <v>3373.468063970518</v>
      </c>
      <c r="L14" s="21">
        <f>L41*'Assumption Sheet'!L21</f>
        <v>4397.0555575634071</v>
      </c>
      <c r="M14" s="21">
        <f>M41*'Assumption Sheet'!M21</f>
        <v>6260.1128335085086</v>
      </c>
      <c r="N14" s="21">
        <f>N41*'Assumption Sheet'!N21</f>
        <v>7913.7790188086346</v>
      </c>
      <c r="O14" s="21">
        <f>O41*'Assumption Sheet'!O21</f>
        <v>9990.3603158486785</v>
      </c>
    </row>
    <row r="15" spans="1:15" x14ac:dyDescent="0.3">
      <c r="A15" t="s">
        <v>103</v>
      </c>
      <c r="E15" s="9">
        <v>2055.75</v>
      </c>
      <c r="F15" s="9">
        <v>1365.4</v>
      </c>
      <c r="G15" s="9">
        <v>1350.51</v>
      </c>
      <c r="H15" s="9">
        <v>636.62</v>
      </c>
      <c r="I15" s="9">
        <v>512.85</v>
      </c>
      <c r="J15" s="9">
        <v>156.75</v>
      </c>
      <c r="K15" s="21">
        <f>'Assumption Sheet'!K22*'Balance Sheet'!K43</f>
        <v>4025.825535985532</v>
      </c>
      <c r="L15" s="21">
        <f>'Assumption Sheet'!L22*'Balance Sheet'!L43</f>
        <v>3303.437760856938</v>
      </c>
      <c r="M15" s="21">
        <f>'Assumption Sheet'!M22*'Balance Sheet'!M43</f>
        <v>3402.2702877078427</v>
      </c>
      <c r="N15" s="21">
        <f>'Assumption Sheet'!N22*'Balance Sheet'!N43</f>
        <v>3063.9877251062435</v>
      </c>
      <c r="O15" s="21">
        <f>'Assumption Sheet'!O22*'Balance Sheet'!O43</f>
        <v>3351.9934914440378</v>
      </c>
    </row>
    <row r="16" spans="1:15" x14ac:dyDescent="0.3">
      <c r="A16" t="s">
        <v>104</v>
      </c>
      <c r="E16" s="9"/>
      <c r="F16" s="9"/>
      <c r="G16" s="9"/>
      <c r="H16" s="9">
        <v>270.25</v>
      </c>
      <c r="I16" s="9">
        <v>270.25</v>
      </c>
      <c r="J16" s="25">
        <v>337.5</v>
      </c>
      <c r="K16" s="21">
        <f>K43*'Assumption Sheet'!K23</f>
        <v>992.50494201532217</v>
      </c>
      <c r="L16" s="21">
        <f>L43*'Assumption Sheet'!L23</f>
        <v>1044.1005132285602</v>
      </c>
      <c r="M16" s="21">
        <f>M43*'Assumption Sheet'!M23</f>
        <v>1205.1340792339311</v>
      </c>
      <c r="N16" s="21">
        <f>N43*'Assumption Sheet'!N23</f>
        <v>1265.3350179051833</v>
      </c>
      <c r="O16" s="29">
        <f>O43*'Assumption Sheet'!O23</f>
        <v>1368.3407074734187</v>
      </c>
    </row>
    <row r="17" spans="1:21" x14ac:dyDescent="0.3">
      <c r="A17" s="7" t="s">
        <v>105</v>
      </c>
      <c r="B17" s="8"/>
      <c r="C17" s="8"/>
      <c r="D17" s="7"/>
      <c r="E17" s="7">
        <f t="shared" ref="E17:G17" si="2">SUM(E$12:E$16)</f>
        <v>9824.5400000000009</v>
      </c>
      <c r="F17" s="7">
        <f t="shared" si="2"/>
        <v>7756.6100000000006</v>
      </c>
      <c r="G17" s="7">
        <f t="shared" si="2"/>
        <v>5622.67</v>
      </c>
      <c r="H17" s="7">
        <f>SUM(H$12:H$16)</f>
        <v>5803.19</v>
      </c>
      <c r="I17" s="7">
        <f>SUM(I$12:I$16)</f>
        <v>5401.34</v>
      </c>
      <c r="J17" s="7">
        <f>SUM(J$12:J$16)</f>
        <v>5065.83</v>
      </c>
      <c r="K17" s="12">
        <f t="shared" ref="K17:O17" si="3">SUM(K$12:K$16)</f>
        <v>50665.293571390022</v>
      </c>
      <c r="L17" s="12">
        <f t="shared" si="3"/>
        <v>51020.78017996058</v>
      </c>
      <c r="M17" s="12">
        <f t="shared" si="3"/>
        <v>54119.90130135887</v>
      </c>
      <c r="N17" s="12">
        <f t="shared" si="3"/>
        <v>56840.469786604626</v>
      </c>
      <c r="O17" s="12">
        <f t="shared" si="3"/>
        <v>61038.030387302642</v>
      </c>
    </row>
    <row r="18" spans="1:21" x14ac:dyDescent="0.3">
      <c r="A18" s="3"/>
    </row>
    <row r="19" spans="1:21" x14ac:dyDescent="0.3">
      <c r="A19" s="3" t="s">
        <v>50</v>
      </c>
      <c r="E19" s="9"/>
      <c r="F19" s="9"/>
      <c r="G19" s="9"/>
      <c r="H19" s="9"/>
      <c r="I19" s="9"/>
    </row>
    <row r="20" spans="1:21" x14ac:dyDescent="0.3">
      <c r="A20" t="s">
        <v>106</v>
      </c>
      <c r="E20" s="9">
        <v>5815.01</v>
      </c>
      <c r="F20" s="9">
        <v>4519.1499999999996</v>
      </c>
      <c r="G20" s="9">
        <v>3819.54</v>
      </c>
      <c r="H20" s="9">
        <v>4158.3500000000004</v>
      </c>
      <c r="I20" s="9">
        <v>7518.45</v>
      </c>
      <c r="J20" s="9">
        <v>8190.56</v>
      </c>
      <c r="K20" s="21">
        <f>'Assumption Sheet'!K25*('Balance Sheet'!K43+K44)</f>
        <v>28405.898265857024</v>
      </c>
      <c r="L20" s="21">
        <f>8900+'Assumption Sheet'!L25*('Balance Sheet'!L43)</f>
        <v>31341.073701791003</v>
      </c>
      <c r="M20" s="21">
        <f>'Assumption Sheet'!M25*'Balance Sheet'!M43+8900</f>
        <v>36831.596519757906</v>
      </c>
      <c r="N20" s="21">
        <f>'Assumption Sheet'!N25*'Balance Sheet'!N43</f>
        <v>31213.112386324363</v>
      </c>
      <c r="O20" s="21">
        <f>'Assumption Sheet'!O25*'Balance Sheet'!O43</f>
        <v>33486.630587031344</v>
      </c>
      <c r="Q20" s="21"/>
      <c r="R20" s="21"/>
      <c r="S20" s="21"/>
      <c r="T20" s="21"/>
      <c r="U20" s="21"/>
    </row>
    <row r="21" spans="1:21" x14ac:dyDescent="0.3">
      <c r="A21" t="s">
        <v>107</v>
      </c>
      <c r="E21" s="9"/>
      <c r="F21" s="9"/>
      <c r="G21" s="9"/>
      <c r="H21" s="9"/>
      <c r="I21" s="9"/>
      <c r="J21" s="9">
        <v>30.63</v>
      </c>
      <c r="K21" s="21">
        <f>K43*'Assumption Sheet'!K26</f>
        <v>122.4306128452787</v>
      </c>
      <c r="L21" s="21">
        <f>L43*'Assumption Sheet'!L26</f>
        <v>125.92941527166697</v>
      </c>
      <c r="M21" s="21">
        <f>M43*'Assumption Sheet'!M26</f>
        <v>146.98702246752234</v>
      </c>
      <c r="N21" s="21">
        <f>N43*'Assumption Sheet'!N26</f>
        <v>153.4662862200932</v>
      </c>
      <c r="O21" s="21">
        <f>O43*'Assumption Sheet'!O26</f>
        <v>166.42481372523497</v>
      </c>
    </row>
    <row r="22" spans="1:21" x14ac:dyDescent="0.3">
      <c r="A22" t="s">
        <v>108</v>
      </c>
      <c r="E22" s="9">
        <v>1715.59</v>
      </c>
      <c r="F22" s="9">
        <f>1035.83+276.34</f>
        <v>1312.1699999999998</v>
      </c>
      <c r="G22" s="9">
        <f>254.64+592.59</f>
        <v>847.23</v>
      </c>
      <c r="H22" s="9">
        <v>753.58</v>
      </c>
      <c r="I22" s="10">
        <v>1093</v>
      </c>
      <c r="J22" s="9">
        <f>286.96+617.02</f>
        <v>903.98</v>
      </c>
      <c r="K22" s="21">
        <f>2*('Assumption Sheet'!K27*(SUM('P&amp;L Sheet'!K9,'P&amp;L Sheet'!K10,'P&amp;L Sheet'!K11,'P&amp;L Sheet'!K15)/365))-J22</f>
        <v>3970.871515169471</v>
      </c>
      <c r="L22" s="21">
        <f>2*('Assumption Sheet'!L27*(SUM('P&amp;L Sheet'!L9,'P&amp;L Sheet'!L10,'P&amp;L Sheet'!L11,'P&amp;L Sheet'!L15)/365))-K22</f>
        <v>3084.87167505148</v>
      </c>
      <c r="M22" s="21">
        <f>2*('Assumption Sheet'!M27*(SUM('P&amp;L Sheet'!M9,'P&amp;L Sheet'!M10,'P&amp;L Sheet'!M11,'P&amp;L Sheet'!M15)/365))-L22</f>
        <v>4047.8563960605302</v>
      </c>
      <c r="N22" s="21">
        <f>2*('Assumption Sheet'!N27*(SUM('P&amp;L Sheet'!N9,'P&amp;L Sheet'!N10,'P&amp;L Sheet'!N11,'P&amp;L Sheet'!N15)/365))-M22</f>
        <v>3803.0355369788608</v>
      </c>
      <c r="O22" s="21">
        <f>2*('Assumption Sheet'!O27*(SUM('P&amp;L Sheet'!O9,'P&amp;L Sheet'!O10,'P&amp;L Sheet'!O11,'P&amp;L Sheet'!O15)/365))-N22</f>
        <v>5553.24822416188</v>
      </c>
      <c r="P22" s="20"/>
    </row>
    <row r="23" spans="1:21" x14ac:dyDescent="0.3">
      <c r="A23" t="s">
        <v>104</v>
      </c>
      <c r="E23" s="9">
        <v>1548.31</v>
      </c>
      <c r="F23" s="9">
        <v>1783.17</v>
      </c>
      <c r="G23" s="9">
        <v>1967.91</v>
      </c>
      <c r="H23" s="9">
        <v>1565.63</v>
      </c>
      <c r="I23" s="9"/>
      <c r="J23" s="10">
        <v>12.5</v>
      </c>
      <c r="K23" s="21">
        <f>'Assumption Sheet'!K28*'Balance Sheet'!K43</f>
        <v>4084.2806260346088</v>
      </c>
      <c r="L23" s="21">
        <f>'Assumption Sheet'!L28*'Balance Sheet'!L43</f>
        <v>3569.3913411442963</v>
      </c>
      <c r="M23" s="21">
        <f>'Assumption Sheet'!M28*'Balance Sheet'!M43</f>
        <v>3190.2603253231323</v>
      </c>
      <c r="N23" s="21">
        <f>'Assumption Sheet'!N28*'Balance Sheet'!N43</f>
        <v>2569.7200145932866</v>
      </c>
      <c r="O23" s="21">
        <f>'Assumption Sheet'!O28*'Balance Sheet'!O43</f>
        <v>3344.0452776034035</v>
      </c>
      <c r="Q23" s="21"/>
      <c r="R23" s="14"/>
    </row>
    <row r="24" spans="1:21" x14ac:dyDescent="0.3">
      <c r="A24" t="s">
        <v>109</v>
      </c>
      <c r="E24" s="9">
        <v>1027.46</v>
      </c>
      <c r="F24" s="9">
        <v>2080.7600000000002</v>
      </c>
      <c r="G24" s="9">
        <v>648.25</v>
      </c>
      <c r="H24" s="9">
        <v>605.54</v>
      </c>
      <c r="I24" s="9">
        <v>1444.54</v>
      </c>
      <c r="J24" s="26">
        <f>1699.96+139.27</f>
        <v>1839.23</v>
      </c>
      <c r="K24" s="21">
        <f>'Assumption Sheet'!K29*'Balance Sheet'!K43</f>
        <v>3468.0802449436774</v>
      </c>
      <c r="L24" s="21">
        <f>'Assumption Sheet'!L29*'Balance Sheet'!L43</f>
        <v>3014.0298443587067</v>
      </c>
      <c r="M24" s="21">
        <f>'Assumption Sheet'!M29*'Balance Sheet'!M43</f>
        <v>3771.0555055085556</v>
      </c>
      <c r="N24" s="21">
        <f>'Assumption Sheet'!N29*'Balance Sheet'!N43</f>
        <v>4136.2636879562206</v>
      </c>
      <c r="O24" s="21">
        <f>'Assumption Sheet'!O29*'Balance Sheet'!O43</f>
        <v>4390.6042838938629</v>
      </c>
    </row>
    <row r="25" spans="1:21" x14ac:dyDescent="0.3">
      <c r="A25" t="s">
        <v>110</v>
      </c>
      <c r="E25" s="9">
        <v>232.35</v>
      </c>
      <c r="F25" s="9">
        <v>232.8</v>
      </c>
      <c r="G25" s="9">
        <v>348.63</v>
      </c>
      <c r="H25" s="9">
        <v>349.29</v>
      </c>
      <c r="I25" s="9">
        <v>478.67</v>
      </c>
      <c r="J25" s="9">
        <v>706.63</v>
      </c>
      <c r="K25" s="21">
        <f>'Assumption Sheet'!K30*('Balance Sheet'!K43+K44)</f>
        <v>1484.1979982375581</v>
      </c>
      <c r="L25" s="21">
        <f>'Assumption Sheet'!L30*('Balance Sheet'!L43+L44)</f>
        <v>1631.5897505126113</v>
      </c>
      <c r="M25" s="21">
        <f>'Assumption Sheet'!M30*('Balance Sheet'!M43+M44)</f>
        <v>1964.3984480691724</v>
      </c>
      <c r="N25" s="21">
        <f>'Assumption Sheet'!N30*('Balance Sheet'!N43+N44)</f>
        <v>2142.5392673165061</v>
      </c>
      <c r="O25" s="21">
        <f>'Assumption Sheet'!O30*('Balance Sheet'!O43+O44)</f>
        <v>2332.9051604942865</v>
      </c>
    </row>
    <row r="26" spans="1:21" x14ac:dyDescent="0.3">
      <c r="A26" s="7" t="s">
        <v>111</v>
      </c>
      <c r="B26" s="8"/>
      <c r="C26" s="8"/>
      <c r="D26" s="7"/>
      <c r="E26" s="7">
        <f t="shared" ref="E26:G26" si="4">SUM(E$20:E$25)</f>
        <v>10338.719999999999</v>
      </c>
      <c r="F26" s="7">
        <f t="shared" si="4"/>
        <v>9928.0499999999993</v>
      </c>
      <c r="G26" s="7">
        <f t="shared" si="4"/>
        <v>7631.56</v>
      </c>
      <c r="H26" s="7">
        <f>SUM(H$20:H$25)</f>
        <v>7432.39</v>
      </c>
      <c r="I26" s="7">
        <f>SUM(I$20:I$25)</f>
        <v>10534.660000000002</v>
      </c>
      <c r="J26" s="7">
        <f>SUM(J$20:J$25)</f>
        <v>11683.529999999999</v>
      </c>
      <c r="K26" s="12">
        <f t="shared" ref="K26:O26" si="5">SUM(K$20:K$25)</f>
        <v>41535.75926308761</v>
      </c>
      <c r="L26" s="12">
        <f t="shared" si="5"/>
        <v>42766.885728129775</v>
      </c>
      <c r="M26" s="12">
        <f t="shared" si="5"/>
        <v>49952.154217186828</v>
      </c>
      <c r="N26" s="12">
        <f t="shared" si="5"/>
        <v>44018.137179389327</v>
      </c>
      <c r="O26" s="12">
        <f t="shared" si="5"/>
        <v>49273.858346910005</v>
      </c>
    </row>
    <row r="27" spans="1:21" x14ac:dyDescent="0.3">
      <c r="D27" s="3"/>
      <c r="E27" s="3"/>
      <c r="F27" s="3"/>
      <c r="G27" s="3"/>
      <c r="H27" s="3"/>
      <c r="I27" s="3"/>
      <c r="O27" s="23"/>
    </row>
    <row r="28" spans="1:21" x14ac:dyDescent="0.3">
      <c r="A28" s="8" t="s">
        <v>112</v>
      </c>
      <c r="B28" s="8"/>
      <c r="C28" s="8"/>
      <c r="D28" s="7"/>
      <c r="E28" s="7">
        <f t="shared" ref="E28:G28" si="6">SUM(E$17,E$26)</f>
        <v>20163.260000000002</v>
      </c>
      <c r="F28" s="7">
        <f t="shared" si="6"/>
        <v>17684.66</v>
      </c>
      <c r="G28" s="7">
        <f t="shared" si="6"/>
        <v>13254.23</v>
      </c>
      <c r="H28" s="7">
        <f>SUM(H$17,H$26)</f>
        <v>13235.58</v>
      </c>
      <c r="I28" s="12">
        <f>SUM(I$17,I$26)</f>
        <v>15936.000000000002</v>
      </c>
      <c r="J28" s="12">
        <f>SUM(J$17,J$26)</f>
        <v>16749.36</v>
      </c>
      <c r="K28" s="12">
        <f t="shared" ref="K28:O28" si="7">SUM(K$17,K$26)</f>
        <v>92201.052834477625</v>
      </c>
      <c r="L28" s="12">
        <f t="shared" si="7"/>
        <v>93787.665908090363</v>
      </c>
      <c r="M28" s="12">
        <f t="shared" si="7"/>
        <v>104072.05551854571</v>
      </c>
      <c r="N28" s="12">
        <f t="shared" si="7"/>
        <v>100858.60696599395</v>
      </c>
      <c r="O28" s="12">
        <f t="shared" si="7"/>
        <v>110311.88873421264</v>
      </c>
    </row>
    <row r="29" spans="1:21" x14ac:dyDescent="0.3">
      <c r="O29" s="23"/>
    </row>
    <row r="30" spans="1:21" x14ac:dyDescent="0.3">
      <c r="A30" s="7" t="s">
        <v>113</v>
      </c>
      <c r="B30" s="8"/>
      <c r="C30" s="8"/>
      <c r="D30" s="7"/>
      <c r="E30" s="12">
        <f t="shared" ref="E30:G30" si="8">SUM(E$6:E$8,E$12:E$16,E$20:E$25)</f>
        <v>27475.589999999997</v>
      </c>
      <c r="F30" s="12">
        <f t="shared" si="8"/>
        <v>27055.09</v>
      </c>
      <c r="G30" s="12">
        <f t="shared" si="8"/>
        <v>24917.22</v>
      </c>
      <c r="H30" s="12">
        <f>SUM(H$6:H$8,H$12:H$16,H$20:H$25)</f>
        <v>26240.900000000005</v>
      </c>
      <c r="I30" s="12">
        <f>SUM(I$6:I$8,I$12:I$16,I$20:I$25)</f>
        <v>32449.79</v>
      </c>
      <c r="J30" s="12">
        <f>SUM(J$6:J$8,J$12:J$16,J$20:J$25)</f>
        <v>37313.46</v>
      </c>
      <c r="K30" s="12">
        <f t="shared" ref="K30:O30" si="9">SUM(K$6:K$8,K$12:K$16,K$20:K$25)</f>
        <v>105609.38391367983</v>
      </c>
      <c r="L30" s="12">
        <f t="shared" si="9"/>
        <v>106949.56940838907</v>
      </c>
      <c r="M30" s="12">
        <f t="shared" si="9"/>
        <v>122729.08224448469</v>
      </c>
      <c r="N30" s="12">
        <f t="shared" si="9"/>
        <v>123426.44488422344</v>
      </c>
      <c r="O30" s="12">
        <f t="shared" si="9"/>
        <v>137477.07825060605</v>
      </c>
    </row>
    <row r="31" spans="1:21" x14ac:dyDescent="0.3">
      <c r="K31" s="21"/>
      <c r="L31" s="21"/>
      <c r="M31" s="21"/>
      <c r="N31" s="21"/>
      <c r="O31" s="21"/>
    </row>
    <row r="32" spans="1:21" x14ac:dyDescent="0.3">
      <c r="A32" s="3" t="s">
        <v>114</v>
      </c>
    </row>
    <row r="33" spans="1:17" x14ac:dyDescent="0.3">
      <c r="A33" s="3" t="s">
        <v>63</v>
      </c>
    </row>
    <row r="34" spans="1:17" x14ac:dyDescent="0.3">
      <c r="A34" s="3" t="s">
        <v>115</v>
      </c>
    </row>
    <row r="35" spans="1:17" x14ac:dyDescent="0.3">
      <c r="A35" t="s">
        <v>116</v>
      </c>
      <c r="E35" s="9">
        <v>16156.52</v>
      </c>
      <c r="F35" s="9">
        <v>16720.75</v>
      </c>
      <c r="G35" s="9">
        <v>16678.28</v>
      </c>
      <c r="H35" s="9">
        <v>16775.48</v>
      </c>
      <c r="I35" s="9">
        <v>17193.04</v>
      </c>
      <c r="J35" s="9">
        <v>19200.759999999998</v>
      </c>
      <c r="K35" s="21">
        <f>'Asset Schedule'!K16</f>
        <v>66653.283886498539</v>
      </c>
      <c r="L35" s="21">
        <f>'Asset Schedule'!L16</f>
        <v>65220.30034500263</v>
      </c>
      <c r="M35" s="21">
        <f>'Asset Schedule'!M16</f>
        <v>73900.400064620597</v>
      </c>
      <c r="N35" s="21">
        <f>'Asset Schedule'!N16</f>
        <v>73451.262345690295</v>
      </c>
      <c r="O35" s="21">
        <f>'Asset Schedule'!O16</f>
        <v>76581.224952476303</v>
      </c>
      <c r="Q35" s="21"/>
    </row>
    <row r="36" spans="1:17" x14ac:dyDescent="0.3">
      <c r="A36" t="s">
        <v>117</v>
      </c>
      <c r="E36" s="9">
        <v>54.51</v>
      </c>
      <c r="F36" s="9">
        <v>60.97</v>
      </c>
      <c r="G36" s="9">
        <v>38.04</v>
      </c>
      <c r="H36" s="9">
        <v>35.07</v>
      </c>
      <c r="I36" s="9">
        <v>79.44</v>
      </c>
      <c r="J36" s="9">
        <v>60.64</v>
      </c>
      <c r="K36" s="21">
        <f>J36+J37</f>
        <v>337.2</v>
      </c>
      <c r="L36" s="21">
        <f>'Assumption Sheet'!L42*'Balance Sheet'!L43</f>
        <v>226.27434014547242</v>
      </c>
      <c r="M36" s="21">
        <f>'Assumption Sheet'!M42*'Balance Sheet'!M43</f>
        <v>259.18074739288306</v>
      </c>
      <c r="N36" s="21">
        <f>'Assumption Sheet'!N42*'Balance Sheet'!N43</f>
        <v>285.2776208335514</v>
      </c>
      <c r="O36" s="21">
        <f>'Assumption Sheet'!O42*'Balance Sheet'!O43</f>
        <v>332.03370091772973</v>
      </c>
    </row>
    <row r="37" spans="1:17" x14ac:dyDescent="0.3">
      <c r="A37" t="s">
        <v>118</v>
      </c>
      <c r="E37" s="9"/>
      <c r="F37" s="9"/>
      <c r="G37" s="9"/>
      <c r="H37" s="9"/>
      <c r="I37" s="9"/>
      <c r="J37" s="9">
        <v>276.56</v>
      </c>
      <c r="L37" s="21">
        <f>M36-L36</f>
        <v>32.906407247410641</v>
      </c>
      <c r="M37" s="21">
        <f>N36-M36</f>
        <v>26.096873440668332</v>
      </c>
      <c r="N37" s="21">
        <f>O36-N36</f>
        <v>46.756080084178336</v>
      </c>
      <c r="Q37" s="21"/>
    </row>
    <row r="38" spans="1:17" x14ac:dyDescent="0.3">
      <c r="A38" t="s">
        <v>119</v>
      </c>
      <c r="E38" s="9"/>
      <c r="F38" s="9"/>
      <c r="G38" s="9"/>
      <c r="H38" s="9"/>
      <c r="I38" s="9"/>
      <c r="J38" s="10">
        <v>67.7</v>
      </c>
      <c r="K38" s="21">
        <f>K43*'Assumption Sheet'!K48</f>
        <v>208.15048944312827</v>
      </c>
      <c r="L38" s="21">
        <f>L43*'Assumption Sheet'!L48</f>
        <v>214.0989807607196</v>
      </c>
      <c r="M38" s="21">
        <f>M43*'Assumption Sheet'!M48</f>
        <v>249.90008591288955</v>
      </c>
      <c r="N38" s="21">
        <f>N43*'Assumption Sheet'!N48</f>
        <v>260.91581057509569</v>
      </c>
      <c r="O38" s="21">
        <f>O43*'Assumption Sheet'!O48</f>
        <v>282.94725989950797</v>
      </c>
    </row>
    <row r="39" spans="1:17" x14ac:dyDescent="0.3">
      <c r="A39" t="s">
        <v>120</v>
      </c>
      <c r="E39" s="9"/>
      <c r="F39" s="9"/>
      <c r="G39" s="9"/>
      <c r="H39" s="9"/>
      <c r="I39" s="10">
        <v>408.8</v>
      </c>
      <c r="J39" s="26">
        <v>584.62</v>
      </c>
      <c r="K39" s="21">
        <f>K43*'Assumption Sheet'!K49</f>
        <v>1615.2386370653942</v>
      </c>
      <c r="L39" s="21">
        <f>L43*'Assumption Sheet'!L49</f>
        <v>1755.1199109922081</v>
      </c>
      <c r="M39" s="21">
        <f>M43*'Assumption Sheet'!M49</f>
        <v>1993.910207679452</v>
      </c>
      <c r="N39" s="21">
        <f>N43*'Assumption Sheet'!N49</f>
        <v>2110.356593475914</v>
      </c>
      <c r="O39" s="21">
        <f>O43*'Assumption Sheet'!O49</f>
        <v>2273.0704019800592</v>
      </c>
    </row>
    <row r="40" spans="1:17" x14ac:dyDescent="0.3">
      <c r="A40" s="7" t="s">
        <v>24</v>
      </c>
      <c r="B40" s="7"/>
      <c r="C40" s="7"/>
      <c r="D40" s="7"/>
      <c r="E40" s="12">
        <f>SUM(E35)</f>
        <v>16156.52</v>
      </c>
      <c r="F40" s="12">
        <f t="shared" ref="F40:O40" si="10">SUM(F35)</f>
        <v>16720.75</v>
      </c>
      <c r="G40" s="12">
        <f t="shared" si="10"/>
        <v>16678.28</v>
      </c>
      <c r="H40" s="12">
        <f t="shared" si="10"/>
        <v>16775.48</v>
      </c>
      <c r="I40" s="12">
        <f t="shared" si="10"/>
        <v>17193.04</v>
      </c>
      <c r="J40" s="12">
        <f t="shared" si="10"/>
        <v>19200.759999999998</v>
      </c>
      <c r="K40" s="12">
        <f t="shared" si="10"/>
        <v>66653.283886498539</v>
      </c>
      <c r="L40" s="12">
        <f t="shared" si="10"/>
        <v>65220.30034500263</v>
      </c>
      <c r="M40" s="12">
        <f t="shared" si="10"/>
        <v>73900.400064620597</v>
      </c>
      <c r="N40" s="12">
        <f t="shared" si="10"/>
        <v>73451.262345690295</v>
      </c>
      <c r="O40" s="12">
        <f t="shared" si="10"/>
        <v>76581.224952476303</v>
      </c>
    </row>
    <row r="41" spans="1:17" x14ac:dyDescent="0.3">
      <c r="A41" t="s">
        <v>121</v>
      </c>
      <c r="B41" s="3"/>
      <c r="C41" s="3"/>
      <c r="D41" s="3"/>
      <c r="E41" s="9">
        <v>1280.6400000000001</v>
      </c>
      <c r="F41" s="9">
        <v>2117.16</v>
      </c>
      <c r="G41" s="9">
        <f>3061.88</f>
        <v>3061.88</v>
      </c>
      <c r="H41" s="9">
        <v>4008.9</v>
      </c>
      <c r="I41" s="10">
        <v>4368.8999999999996</v>
      </c>
      <c r="J41" s="26">
        <v>5382.28</v>
      </c>
      <c r="K41" s="21">
        <f>'Asset Schedule'!K14</f>
        <v>8929.756113501453</v>
      </c>
      <c r="L41" s="21">
        <f>'Asset Schedule'!L14</f>
        <v>12522.739654997366</v>
      </c>
      <c r="M41" s="21">
        <f>'Asset Schedule'!M14</f>
        <v>16842.639935379393</v>
      </c>
      <c r="N41" s="21">
        <f>'Asset Schedule'!N14</f>
        <v>21291.777654309702</v>
      </c>
      <c r="O41" s="21">
        <f>'Asset Schedule'!O14</f>
        <v>26161.815047523691</v>
      </c>
    </row>
    <row r="42" spans="1:17" x14ac:dyDescent="0.3">
      <c r="A42" t="s">
        <v>122</v>
      </c>
      <c r="B42" s="3"/>
      <c r="C42" s="3"/>
      <c r="D42" s="3"/>
      <c r="E42" s="9">
        <v>28.01</v>
      </c>
      <c r="F42" s="9">
        <v>47.99</v>
      </c>
      <c r="G42" s="9">
        <v>71.12</v>
      </c>
      <c r="H42" s="9">
        <v>84.27</v>
      </c>
      <c r="I42" s="9">
        <v>105.35</v>
      </c>
      <c r="J42" s="25">
        <v>130.4</v>
      </c>
      <c r="K42" s="21">
        <f>'P&amp;L Sheet'!K14-'Asset Schedule'!K11</f>
        <v>108.58821656069813</v>
      </c>
      <c r="L42" s="21">
        <f>'P&amp;L Sheet'!L14-'Asset Schedule'!L11</f>
        <v>76.696502686595068</v>
      </c>
      <c r="M42" s="21">
        <f>'P&amp;L Sheet'!M14-'Asset Schedule'!M11</f>
        <v>90.109672687398415</v>
      </c>
      <c r="N42" s="21">
        <f>'P&amp;L Sheet'!N14-'Asset Schedule'!N11</f>
        <v>99.996619368460415</v>
      </c>
      <c r="O42" s="21">
        <f>'P&amp;L Sheet'!O14-'Asset Schedule'!O11</f>
        <v>104.17068325363198</v>
      </c>
    </row>
    <row r="43" spans="1:17" x14ac:dyDescent="0.3">
      <c r="A43" s="7" t="s">
        <v>123</v>
      </c>
      <c r="B43" s="7"/>
      <c r="C43" s="7"/>
      <c r="D43" s="7"/>
      <c r="E43" s="12">
        <f>SUM(E40:E41)</f>
        <v>17437.16</v>
      </c>
      <c r="F43" s="12">
        <f t="shared" ref="F43:J43" si="11">SUM(F40:F41)</f>
        <v>18837.91</v>
      </c>
      <c r="G43" s="12">
        <f t="shared" si="11"/>
        <v>19740.16</v>
      </c>
      <c r="H43" s="12">
        <f t="shared" si="11"/>
        <v>20784.38</v>
      </c>
      <c r="I43" s="12">
        <f t="shared" si="11"/>
        <v>21561.940000000002</v>
      </c>
      <c r="J43" s="12">
        <f t="shared" si="11"/>
        <v>24583.039999999997</v>
      </c>
      <c r="K43" s="12">
        <f>'Asset Schedule'!K7</f>
        <v>75583.039999999994</v>
      </c>
      <c r="L43" s="12">
        <f>'Asset Schedule'!L7</f>
        <v>77743.039999999994</v>
      </c>
      <c r="M43" s="12">
        <f>'Asset Schedule'!M7</f>
        <v>90743.039999999994</v>
      </c>
      <c r="N43" s="12">
        <f>'Asset Schedule'!N7</f>
        <v>94743.039999999994</v>
      </c>
      <c r="O43" s="12">
        <f>'Asset Schedule'!O7</f>
        <v>102743.03999999999</v>
      </c>
    </row>
    <row r="44" spans="1:17" x14ac:dyDescent="0.3">
      <c r="A44" s="3" t="s">
        <v>159</v>
      </c>
      <c r="B44" s="3"/>
      <c r="C44" s="3"/>
      <c r="D44" s="3"/>
      <c r="E44" s="27">
        <f>SUM(E36,E38)+('P&amp;L Sheet'!E14-'Asset Schedule'!E11)</f>
        <v>69.659999999999968</v>
      </c>
      <c r="F44" s="27">
        <f>SUM(F36,F38)+('P&amp;L Sheet'!F14-'Asset Schedule'!F11)</f>
        <v>80.950000000000017</v>
      </c>
      <c r="G44" s="27">
        <f>SUM(G36,G38)+('P&amp;L Sheet'!G14-'Asset Schedule'!G11)</f>
        <v>61.169999999999995</v>
      </c>
      <c r="H44" s="27">
        <f>SUM(H36,H38)+('P&amp;L Sheet'!H14-'Asset Schedule'!H11)</f>
        <v>48.219999999999978</v>
      </c>
      <c r="I44" s="27">
        <f>SUM(I36,I38)+('P&amp;L Sheet'!I14-'Asset Schedule'!I11)</f>
        <v>100.62999999999994</v>
      </c>
      <c r="J44" s="27">
        <f>SUM(J36,J38)+('P&amp;L Sheet'!J14-'Asset Schedule'!J11)</f>
        <v>153.40000000000018</v>
      </c>
      <c r="K44" s="27">
        <f>SUM(K36,K38)+('P&amp;L Sheet'!K14-'Asset Schedule'!K11)</f>
        <v>653.93870600382638</v>
      </c>
      <c r="L44" s="27">
        <f>L43*'Assumption Sheet'!L43</f>
        <v>320.37965262057361</v>
      </c>
      <c r="M44" s="27">
        <f>M43*'Assumption Sheet'!M43</f>
        <v>371.28825779880151</v>
      </c>
      <c r="N44" s="27">
        <f>N43*'Assumption Sheet'!N43</f>
        <v>403.33299907956581</v>
      </c>
      <c r="O44" s="27">
        <f>O43*'Assumption Sheet'!O43</f>
        <v>470.56083048644285</v>
      </c>
    </row>
    <row r="45" spans="1:17" x14ac:dyDescent="0.3">
      <c r="A45" t="s">
        <v>124</v>
      </c>
      <c r="B45" s="3"/>
      <c r="C45" s="3"/>
      <c r="D45" s="3"/>
      <c r="E45" s="9">
        <f>190.26</f>
        <v>190.26</v>
      </c>
      <c r="F45" s="9">
        <v>10.76</v>
      </c>
      <c r="G45" s="9">
        <v>462.05</v>
      </c>
      <c r="H45" s="9">
        <v>608.20000000000005</v>
      </c>
      <c r="I45" s="9">
        <v>1798.04</v>
      </c>
      <c r="J45" s="25">
        <v>1937.65</v>
      </c>
      <c r="K45" s="21">
        <f>'P&amp;L Sheet'!K24*'Assumption Sheet'!K41</f>
        <v>812.54731742805313</v>
      </c>
      <c r="L45" s="21">
        <f>'P&amp;L Sheet'!L24*'Assumption Sheet'!L41</f>
        <v>889.153593075819</v>
      </c>
      <c r="M45" s="21">
        <f>'P&amp;L Sheet'!M24*'Assumption Sheet'!M41</f>
        <v>1593.1837382399715</v>
      </c>
      <c r="N45" s="21">
        <f>'P&amp;L Sheet'!N24*'Assumption Sheet'!N41</f>
        <v>2007.4608239951299</v>
      </c>
      <c r="O45" s="21">
        <f>'P&amp;L Sheet'!O24*'Assumption Sheet'!O41</f>
        <v>2573.5912931253247</v>
      </c>
    </row>
    <row r="46" spans="1:17" x14ac:dyDescent="0.3">
      <c r="A46" t="s">
        <v>125</v>
      </c>
      <c r="E46" s="9">
        <v>0.05</v>
      </c>
      <c r="F46" s="9">
        <v>0.12</v>
      </c>
      <c r="G46" s="9">
        <v>0.1</v>
      </c>
      <c r="H46" s="9">
        <v>0.14000000000000001</v>
      </c>
      <c r="I46" s="9">
        <v>0.18</v>
      </c>
      <c r="J46" s="9">
        <v>0.14000000000000001</v>
      </c>
      <c r="K46" s="21">
        <f>K43*'Assumption Sheet'!K44</f>
        <v>0.52350964295603275</v>
      </c>
      <c r="L46" s="21">
        <f>L43*'Assumption Sheet'!L44</f>
        <v>0.54340598585911326</v>
      </c>
      <c r="M46" s="21">
        <f>M43*'Assumption Sheet'!M44</f>
        <v>0.59318840155071639</v>
      </c>
      <c r="N46" s="21">
        <f>N43*'Assumption Sheet'!N44</f>
        <v>0.6459285956468831</v>
      </c>
      <c r="O46" s="21">
        <f>O43*'Assumption Sheet'!O44</f>
        <v>0.69675096790414137</v>
      </c>
    </row>
    <row r="47" spans="1:17" x14ac:dyDescent="0.3">
      <c r="A47" t="s">
        <v>126</v>
      </c>
      <c r="E47" s="9">
        <v>279.42</v>
      </c>
      <c r="F47" s="9">
        <v>380.94</v>
      </c>
      <c r="G47" s="9">
        <v>217.8</v>
      </c>
      <c r="H47" s="9">
        <v>315.42</v>
      </c>
      <c r="I47" s="9">
        <v>446.89</v>
      </c>
      <c r="J47" s="9">
        <v>187.18</v>
      </c>
      <c r="K47" s="21">
        <f>'Assumption Sheet'!K$45*'P&amp;L Sheet'!K$4</f>
        <v>841.67968551972092</v>
      </c>
      <c r="L47" s="21">
        <f>'Assumption Sheet'!L$45*'P&amp;L Sheet'!L$4</f>
        <v>1264.591575523219</v>
      </c>
      <c r="M47" s="21">
        <f>'Assumption Sheet'!M$45*'P&amp;L Sheet'!M$4</f>
        <v>1327.9026647768778</v>
      </c>
      <c r="N47" s="21">
        <f>'Assumption Sheet'!N$45*'P&amp;L Sheet'!N$4</f>
        <v>1532.9108741186867</v>
      </c>
      <c r="O47" s="29">
        <f>'Assumption Sheet'!O$45*'P&amp;L Sheet'!O$4</f>
        <v>1606.2202406656588</v>
      </c>
    </row>
    <row r="48" spans="1:17" x14ac:dyDescent="0.3">
      <c r="A48" s="7" t="s">
        <v>127</v>
      </c>
      <c r="B48" s="8"/>
      <c r="C48" s="8"/>
      <c r="D48" s="7"/>
      <c r="E48" s="12">
        <f>SUM(E$45:E$47,E$35:E$39)</f>
        <v>16680.759999999998</v>
      </c>
      <c r="F48" s="12">
        <f t="shared" ref="F48:O48" si="12">SUM(F$45:F$47,F$35:F$39)</f>
        <v>17173.54</v>
      </c>
      <c r="G48" s="12">
        <f t="shared" si="12"/>
        <v>17396.27</v>
      </c>
      <c r="H48" s="12">
        <f t="shared" si="12"/>
        <v>17734.309999999998</v>
      </c>
      <c r="I48" s="12">
        <f t="shared" si="12"/>
        <v>19926.39</v>
      </c>
      <c r="J48" s="12">
        <f t="shared" si="12"/>
        <v>22315.25</v>
      </c>
      <c r="K48" s="12">
        <f t="shared" si="12"/>
        <v>70468.623525597795</v>
      </c>
      <c r="L48" s="12">
        <f t="shared" si="12"/>
        <v>69602.988558733341</v>
      </c>
      <c r="M48" s="12">
        <f t="shared" si="12"/>
        <v>79351.167570464881</v>
      </c>
      <c r="N48" s="12">
        <f t="shared" si="12"/>
        <v>79695.586077368498</v>
      </c>
      <c r="O48" s="12">
        <f t="shared" si="12"/>
        <v>83649.784600032493</v>
      </c>
    </row>
    <row r="50" spans="1:15" x14ac:dyDescent="0.3">
      <c r="A50" s="3" t="s">
        <v>57</v>
      </c>
    </row>
    <row r="51" spans="1:15" x14ac:dyDescent="0.3">
      <c r="A51" t="s">
        <v>128</v>
      </c>
      <c r="E51" s="9">
        <v>7282.35</v>
      </c>
      <c r="F51" s="9">
        <v>7078.63</v>
      </c>
      <c r="G51" s="9">
        <v>5605.24</v>
      </c>
      <c r="H51" s="9">
        <v>5984.05</v>
      </c>
      <c r="I51" s="9">
        <v>7876.45</v>
      </c>
      <c r="J51" s="9">
        <v>9768.6200000000008</v>
      </c>
      <c r="K51" s="21">
        <f>2*('Assumption Sheet'!K$32*('P&amp;L Sheet'!K$9/365))-'Balance Sheet'!J$51</f>
        <v>25589.778190467201</v>
      </c>
      <c r="L51" s="21">
        <f>2*('Assumption Sheet'!L$32*('P&amp;L Sheet'!L$9/365))-'Balance Sheet'!K$51</f>
        <v>27500.968463416211</v>
      </c>
      <c r="M51" s="21">
        <f>2*('Assumption Sheet'!M$32*('P&amp;L Sheet'!M$9/365))-'Balance Sheet'!L$51</f>
        <v>30847.10540453768</v>
      </c>
      <c r="N51" s="21">
        <f>2*('Assumption Sheet'!N$32*('P&amp;L Sheet'!N$9/365))-'Balance Sheet'!M$51</f>
        <v>30683.784047211913</v>
      </c>
      <c r="O51" s="21">
        <f>2*('Assumption Sheet'!O$32*('P&amp;L Sheet'!O$9/365))-'Balance Sheet'!N$51</f>
        <v>38829.052881786076</v>
      </c>
    </row>
    <row r="52" spans="1:15" x14ac:dyDescent="0.3">
      <c r="A52" t="s">
        <v>129</v>
      </c>
      <c r="E52" s="9"/>
      <c r="F52" s="9"/>
      <c r="G52" s="9"/>
      <c r="H52" s="9"/>
      <c r="I52" s="9"/>
      <c r="J52" s="10">
        <v>110</v>
      </c>
      <c r="K52" s="21">
        <f>J$52*(1+'Assumption Sheet'!K$33)-100</f>
        <v>16.929999999999993</v>
      </c>
      <c r="L52" s="21">
        <f>K$52*(1+'Assumption Sheet'!L$33)</f>
        <v>17.996589999999991</v>
      </c>
      <c r="M52" s="21">
        <f>L$52*(1+'Assumption Sheet'!M$33)</f>
        <v>19.13037516999999</v>
      </c>
      <c r="N52" s="21">
        <f>M$52*(1+'Assumption Sheet'!N$33)</f>
        <v>20.335588805709989</v>
      </c>
      <c r="O52" s="21">
        <f>N$52*(1+'Assumption Sheet'!O$33)</f>
        <v>21.616730900469719</v>
      </c>
    </row>
    <row r="53" spans="1:15" x14ac:dyDescent="0.3">
      <c r="A53" t="s">
        <v>130</v>
      </c>
      <c r="E53" s="9">
        <v>1470.24</v>
      </c>
      <c r="F53" s="9">
        <v>1549.81</v>
      </c>
      <c r="G53" s="9">
        <v>1773.88</v>
      </c>
      <c r="H53" s="9">
        <v>1541.48</v>
      </c>
      <c r="I53" s="9">
        <v>2253.5700000000002</v>
      </c>
      <c r="J53" s="9">
        <v>2443.81</v>
      </c>
      <c r="K53" s="21">
        <f>2*('Assumption Sheet'!K$34*('P&amp;L Sheet'!K$4/365))-J$53</f>
        <v>8112.0100612544556</v>
      </c>
      <c r="L53" s="21">
        <f>2*('Assumption Sheet'!L$34*('P&amp;L Sheet'!L$4/365))-K$53</f>
        <v>8184.088397563226</v>
      </c>
      <c r="M53" s="21">
        <f>2*('Assumption Sheet'!M$34*('P&amp;L Sheet'!M$4/365))-L$53</f>
        <v>10215.762249469195</v>
      </c>
      <c r="N53" s="21">
        <f>2*('Assumption Sheet'!N$34*('P&amp;L Sheet'!N$4/365))-M$53</f>
        <v>10909.743253266081</v>
      </c>
      <c r="O53" s="21">
        <f>2*('Assumption Sheet'!O$34*('P&amp;L Sheet'!O$4/365))-N$53</f>
        <v>11752.80801686787</v>
      </c>
    </row>
    <row r="54" spans="1:15" x14ac:dyDescent="0.3">
      <c r="A54" t="s">
        <v>131</v>
      </c>
      <c r="E54" s="9">
        <v>19.739999999999998</v>
      </c>
      <c r="F54" s="9">
        <v>13.15</v>
      </c>
      <c r="G54" s="9">
        <v>28.67</v>
      </c>
      <c r="H54" s="9">
        <v>19.86</v>
      </c>
      <c r="I54" s="9">
        <v>496.87</v>
      </c>
      <c r="J54" s="9">
        <v>100.12</v>
      </c>
      <c r="K54" s="21">
        <f>'Cash Flow Sheet'!K43</f>
        <v>341.8499379086835</v>
      </c>
      <c r="L54" s="21">
        <f>'Cash Flow Sheet'!L43</f>
        <v>561.56459567838749</v>
      </c>
      <c r="M54" s="21">
        <f>'Cash Flow Sheet'!M43</f>
        <v>727.62268584671176</v>
      </c>
      <c r="N54" s="21">
        <f>'Cash Flow Sheet'!N43</f>
        <v>221.03308041868979</v>
      </c>
      <c r="O54" s="21">
        <f>'Cash Flow Sheet'!O43</f>
        <v>670.91285435798193</v>
      </c>
    </row>
    <row r="55" spans="1:15" x14ac:dyDescent="0.3">
      <c r="A55" t="s">
        <v>132</v>
      </c>
      <c r="E55" s="9">
        <v>240.17</v>
      </c>
      <c r="F55" s="9">
        <v>327.56</v>
      </c>
      <c r="G55" s="9">
        <v>378.8</v>
      </c>
      <c r="H55" s="9">
        <v>316.08</v>
      </c>
      <c r="I55" s="9">
        <v>576.32000000000005</v>
      </c>
      <c r="J55" s="9">
        <v>604.48</v>
      </c>
      <c r="K55" s="21">
        <f>'Assumption Sheet'!K36*'P&amp;L Sheet'!K24</f>
        <v>432.31408696330368</v>
      </c>
      <c r="L55" s="21" cm="1">
        <f t="array" ref="L55">AVERAGE(E55:K55/'P&amp;L Sheet'!E24:K24)*'P&amp;L Sheet'!L24</f>
        <v>408.87191789578344</v>
      </c>
      <c r="M55" s="21" cm="1">
        <f t="array" ref="M55">AVERAGE(F55:L55/'P&amp;L Sheet'!F24:L24)*'P&amp;L Sheet'!M24</f>
        <v>644.71666602500852</v>
      </c>
      <c r="N55" s="21" cm="1">
        <f t="array" ref="N55">AVERAGE(G55:M55/'P&amp;L Sheet'!G24:M24)*'P&amp;L Sheet'!N24</f>
        <v>801.6678146290019</v>
      </c>
      <c r="O55" s="21" cm="1">
        <f t="array" ref="O55">AVERAGE(H55:N55/'P&amp;L Sheet'!H24:N24)*'P&amp;L Sheet'!O24</f>
        <v>1109.7607428998372</v>
      </c>
    </row>
    <row r="56" spans="1:15" x14ac:dyDescent="0.3">
      <c r="A56" t="s">
        <v>133</v>
      </c>
      <c r="E56" s="9">
        <v>20.059999999999999</v>
      </c>
      <c r="F56" s="9">
        <v>85.95</v>
      </c>
      <c r="G56" s="9"/>
      <c r="H56" s="9">
        <v>17.78</v>
      </c>
      <c r="I56" s="9"/>
      <c r="K56" s="21">
        <f>'Assumption Sheet'!K$37*'P&amp;L Sheet'!K$6</f>
        <v>61.160177886866116</v>
      </c>
      <c r="L56" s="21">
        <f>'Assumption Sheet'!L$37*'P&amp;L Sheet'!L$6</f>
        <v>92.054726655281556</v>
      </c>
      <c r="M56" s="21">
        <f>'Assumption Sheet'!M$37*'P&amp;L Sheet'!M$6</f>
        <v>51.77807958564312</v>
      </c>
      <c r="N56" s="21">
        <f>'Assumption Sheet'!N$37*'P&amp;L Sheet'!N$6</f>
        <v>66.479411877289579</v>
      </c>
      <c r="O56" s="21">
        <f>'Assumption Sheet'!O$37*'P&amp;L Sheet'!O$6</f>
        <v>65.107096274168157</v>
      </c>
    </row>
    <row r="57" spans="1:15" x14ac:dyDescent="0.3">
      <c r="A57" t="s">
        <v>134</v>
      </c>
      <c r="E57" s="9"/>
      <c r="F57" s="9"/>
      <c r="G57" s="9"/>
      <c r="H57" s="9"/>
      <c r="I57" s="9">
        <v>35.42</v>
      </c>
      <c r="J57" s="9">
        <v>51.04</v>
      </c>
      <c r="K57" s="21">
        <f>'Assumption Sheet'!K$38*'P&amp;L Sheet'!K$4</f>
        <v>83.259404940521193</v>
      </c>
      <c r="L57" s="21">
        <f>'Assumption Sheet'!L$38*'P&amp;L Sheet'!L$4</f>
        <v>128.30471780827028</v>
      </c>
      <c r="M57" s="21">
        <f>'Assumption Sheet'!M$38*'P&amp;L Sheet'!M$4</f>
        <v>139.96401723731333</v>
      </c>
      <c r="N57" s="21">
        <f>'Assumption Sheet'!N$38*'P&amp;L Sheet'!N$4</f>
        <v>154.99683766653231</v>
      </c>
      <c r="O57" s="21">
        <f>'Assumption Sheet'!O$38*'P&amp;L Sheet'!O$4</f>
        <v>173.89162538433305</v>
      </c>
    </row>
    <row r="58" spans="1:15" x14ac:dyDescent="0.3">
      <c r="A58" t="s">
        <v>135</v>
      </c>
      <c r="E58" s="9">
        <v>93.66</v>
      </c>
      <c r="F58" s="9">
        <v>157.71</v>
      </c>
      <c r="G58" s="9">
        <v>169.28</v>
      </c>
      <c r="H58" s="9">
        <v>158.88999999999999</v>
      </c>
      <c r="I58" s="9">
        <v>135.99</v>
      </c>
      <c r="J58" s="25">
        <v>157.72999999999999</v>
      </c>
      <c r="K58" s="21">
        <f>'Assumption Sheet'!K$39*'P&amp;L Sheet'!K$24</f>
        <v>169.59242962559048</v>
      </c>
      <c r="L58" s="21">
        <f>'Assumption Sheet'!L$39*'P&amp;L Sheet'!L$24</f>
        <v>147.3776273398303</v>
      </c>
      <c r="M58" s="21">
        <f>'Assumption Sheet'!M$39*'P&amp;L Sheet'!M$24</f>
        <v>236.35461122955621</v>
      </c>
      <c r="N58" s="21">
        <f>'Assumption Sheet'!N$39*'P&amp;L Sheet'!N$24</f>
        <v>255.5711702817843</v>
      </c>
      <c r="O58" s="21">
        <f>'Assumption Sheet'!O$39*'P&amp;L Sheet'!O$24</f>
        <v>364.0771069692197</v>
      </c>
    </row>
    <row r="59" spans="1:15" x14ac:dyDescent="0.3">
      <c r="A59" t="s">
        <v>136</v>
      </c>
      <c r="E59" s="9">
        <v>1038.6099999999999</v>
      </c>
      <c r="F59" s="9">
        <v>668.74</v>
      </c>
      <c r="G59" s="9">
        <v>550.14</v>
      </c>
      <c r="H59" s="9">
        <v>468.45</v>
      </c>
      <c r="I59" s="9">
        <v>1148.78</v>
      </c>
      <c r="J59" s="25">
        <v>1762.41</v>
      </c>
      <c r="K59" s="21">
        <f>12%*'P&amp;L Sheet'!K$24</f>
        <v>333.86217455450867</v>
      </c>
      <c r="L59" s="21">
        <f>12%*'P&amp;L Sheet'!L$24</f>
        <v>305.3540523112606</v>
      </c>
      <c r="M59" s="21">
        <f>12%*'P&amp;L Sheet'!M$24</f>
        <v>495.48197825746252</v>
      </c>
      <c r="N59" s="21">
        <f>12%*'P&amp;L Sheet'!N$24</f>
        <v>617.24599343305113</v>
      </c>
      <c r="O59" s="21">
        <f>12%*'P&amp;L Sheet'!O$24</f>
        <v>840.06489271515272</v>
      </c>
    </row>
    <row r="60" spans="1:15" x14ac:dyDescent="0.3">
      <c r="A60" s="7" t="s">
        <v>137</v>
      </c>
      <c r="B60" s="8"/>
      <c r="C60" s="8"/>
      <c r="D60" s="7"/>
      <c r="E60" s="7">
        <f t="shared" ref="E60:G60" si="13">SUM(E$51:E$59)</f>
        <v>10164.83</v>
      </c>
      <c r="F60" s="7">
        <f t="shared" si="13"/>
        <v>9881.5499999999993</v>
      </c>
      <c r="G60" s="7">
        <f t="shared" si="13"/>
        <v>8506.01</v>
      </c>
      <c r="H60" s="7">
        <f>SUM(H$51:H$59)</f>
        <v>8506.59</v>
      </c>
      <c r="I60" s="12">
        <f>SUM(I$51:I$59)</f>
        <v>12523.400000000001</v>
      </c>
      <c r="J60" s="12">
        <f>SUM(J$51:J$59)</f>
        <v>14998.210000000001</v>
      </c>
      <c r="K60" s="12">
        <f t="shared" ref="K60:O60" si="14">SUM(K$51:K$59)</f>
        <v>35140.756463601138</v>
      </c>
      <c r="L60" s="12">
        <f t="shared" si="14"/>
        <v>37346.581088668252</v>
      </c>
      <c r="M60" s="12">
        <f t="shared" si="14"/>
        <v>43377.916067358572</v>
      </c>
      <c r="N60" s="12">
        <f t="shared" si="14"/>
        <v>43730.857197590056</v>
      </c>
      <c r="O60" s="12">
        <f t="shared" si="14"/>
        <v>53827.291948155107</v>
      </c>
    </row>
    <row r="61" spans="1:15" x14ac:dyDescent="0.3">
      <c r="D61" s="3"/>
      <c r="E61" s="3"/>
      <c r="F61" s="3"/>
      <c r="G61" s="3"/>
      <c r="H61" s="3"/>
      <c r="I61" s="3"/>
      <c r="O61" s="23"/>
    </row>
    <row r="62" spans="1:15" x14ac:dyDescent="0.3">
      <c r="A62" s="7" t="s">
        <v>138</v>
      </c>
      <c r="B62" s="8"/>
      <c r="C62" s="8"/>
      <c r="D62" s="7"/>
      <c r="E62" s="7">
        <f t="shared" ref="E62:G62" si="15">SUM(E$48,E$60)</f>
        <v>26845.589999999997</v>
      </c>
      <c r="F62" s="7">
        <f t="shared" si="15"/>
        <v>27055.09</v>
      </c>
      <c r="G62" s="7">
        <f t="shared" si="15"/>
        <v>25902.28</v>
      </c>
      <c r="H62" s="7">
        <f>SUM(H$48,H$60)</f>
        <v>26240.899999999998</v>
      </c>
      <c r="I62" s="7">
        <f>SUM(I$48,I$60)</f>
        <v>32449.79</v>
      </c>
      <c r="J62" s="7">
        <f>SUM(J$48,J$60)</f>
        <v>37313.46</v>
      </c>
      <c r="K62" s="12">
        <f t="shared" ref="K62:O62" si="16">SUM(K$48,K$60)</f>
        <v>105609.37998919893</v>
      </c>
      <c r="L62" s="12">
        <f t="shared" si="16"/>
        <v>106949.5696474016</v>
      </c>
      <c r="M62" s="12">
        <f t="shared" si="16"/>
        <v>122729.08363782345</v>
      </c>
      <c r="N62" s="7">
        <f t="shared" si="16"/>
        <v>123426.44327495855</v>
      </c>
      <c r="O62" s="12">
        <f t="shared" si="16"/>
        <v>137477.07654818759</v>
      </c>
    </row>
  </sheetData>
  <mergeCells count="1">
    <mergeCell ref="E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492C-967D-4D06-9801-3263FA923A35}">
  <dimension ref="A1:O43"/>
  <sheetViews>
    <sheetView showGridLines="0" workbookViewId="0">
      <pane xSplit="3" ySplit="2" topLeftCell="D23" activePane="bottomRight" state="frozen"/>
      <selection pane="topRight" activeCell="D1" sqref="D1"/>
      <selection pane="bottomLeft" activeCell="A3" sqref="A3"/>
      <selection pane="bottomRight" activeCell="P40" sqref="P40"/>
    </sheetView>
  </sheetViews>
  <sheetFormatPr defaultRowHeight="14.4" x14ac:dyDescent="0.3"/>
  <cols>
    <col min="1" max="2" width="3.33203125" customWidth="1"/>
    <col min="3" max="3" width="40.77734375" customWidth="1"/>
    <col min="4" max="4" width="3.33203125" customWidth="1"/>
    <col min="11" max="11" width="10.5546875" bestFit="1" customWidth="1"/>
    <col min="12" max="13" width="10.109375" customWidth="1"/>
    <col min="14" max="14" width="10.33203125" customWidth="1"/>
    <col min="15" max="15" width="9.5546875" customWidth="1"/>
  </cols>
  <sheetData>
    <row r="1" spans="1:15" ht="18" x14ac:dyDescent="0.35">
      <c r="A1" s="5" t="s">
        <v>139</v>
      </c>
      <c r="D1" s="41" t="s">
        <v>94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">
      <c r="A2" s="6" t="s">
        <v>140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3">
      <c r="A3" s="3" t="s">
        <v>177</v>
      </c>
    </row>
    <row r="4" spans="1:15" x14ac:dyDescent="0.3">
      <c r="A4" t="s">
        <v>178</v>
      </c>
      <c r="E4" s="21"/>
      <c r="F4" s="21">
        <f>'P&amp;L Sheet'!F24</f>
        <v>2070.98</v>
      </c>
      <c r="G4" s="21">
        <f>'P&amp;L Sheet'!G24</f>
        <v>2761.8300000000004</v>
      </c>
      <c r="H4" s="21">
        <f>'P&amp;L Sheet'!H24</f>
        <v>1672.109999999999</v>
      </c>
      <c r="I4" s="21">
        <f>'P&amp;L Sheet'!I24</f>
        <v>3571.0199999999995</v>
      </c>
      <c r="J4" s="21">
        <f>'P&amp;L Sheet'!J24</f>
        <v>4607.5999999999985</v>
      </c>
      <c r="K4" s="21">
        <f>'P&amp;L Sheet'!K24</f>
        <v>2782.1847879542388</v>
      </c>
      <c r="L4" s="21">
        <f>'P&amp;L Sheet'!L24</f>
        <v>2544.6171025938384</v>
      </c>
      <c r="M4" s="21">
        <f>'P&amp;L Sheet'!M24</f>
        <v>4129.0164854788545</v>
      </c>
      <c r="N4" s="21">
        <f>'P&amp;L Sheet'!N24</f>
        <v>5143.7166119420926</v>
      </c>
      <c r="O4" s="21">
        <f>'P&amp;L Sheet'!O24</f>
        <v>7000.5407726262729</v>
      </c>
    </row>
    <row r="5" spans="1:15" x14ac:dyDescent="0.3">
      <c r="A5" t="s">
        <v>193</v>
      </c>
      <c r="F5">
        <f>'P&amp;L Sheet'!F14</f>
        <v>870.46</v>
      </c>
      <c r="G5">
        <f>'P&amp;L Sheet'!G14</f>
        <v>975.95</v>
      </c>
      <c r="H5">
        <f>'P&amp;L Sheet'!H14</f>
        <v>965.93</v>
      </c>
      <c r="I5">
        <f>'P&amp;L Sheet'!I14</f>
        <v>1021.54</v>
      </c>
      <c r="J5">
        <f>'P&amp;L Sheet'!J14</f>
        <v>1274.6500000000001</v>
      </c>
      <c r="K5" s="21">
        <f>'P&amp;L Sheet'!K14</f>
        <v>3537.9593300621523</v>
      </c>
      <c r="L5" s="21">
        <f>'P&amp;L Sheet'!L14</f>
        <v>3728.7325441825069</v>
      </c>
      <c r="M5" s="21">
        <f>'P&amp;L Sheet'!M14</f>
        <v>4380.4837030694262</v>
      </c>
      <c r="N5" s="21">
        <f>'P&amp;L Sheet'!N14</f>
        <v>4563.8974632987711</v>
      </c>
      <c r="O5" s="21">
        <f>'P&amp;L Sheet'!O14</f>
        <v>4966.8265139676223</v>
      </c>
    </row>
    <row r="6" spans="1:15" x14ac:dyDescent="0.3">
      <c r="A6" t="s">
        <v>201</v>
      </c>
      <c r="F6" s="21">
        <f>'P&amp;L Sheet'!F28</f>
        <v>-9.98</v>
      </c>
      <c r="G6" s="21">
        <f>'P&amp;L Sheet'!G28</f>
        <v>-62.69</v>
      </c>
      <c r="H6" s="21">
        <f>'P&amp;L Sheet'!H28</f>
        <v>31.91</v>
      </c>
      <c r="I6" s="21">
        <f>'P&amp;L Sheet'!I28</f>
        <v>-67.510000000000005</v>
      </c>
      <c r="J6" s="21">
        <f>'P&amp;L Sheet'!J28</f>
        <v>-38.130000000000003</v>
      </c>
      <c r="K6" s="21">
        <f>'P&amp;L Sheet'!K28</f>
        <v>-20.095063178500538</v>
      </c>
      <c r="L6" s="21">
        <f>'P&amp;L Sheet'!L28</f>
        <v>-19.085215982078829</v>
      </c>
      <c r="M6" s="21">
        <f>'P&amp;L Sheet'!M28</f>
        <v>2.2256572275069741</v>
      </c>
      <c r="N6" s="21">
        <f>'P&amp;L Sheet'!N28</f>
        <v>-8.4881371060270924E-2</v>
      </c>
      <c r="O6" s="21">
        <f>'P&amp;L Sheet'!O28</f>
        <v>-3.2031033443675985E-2</v>
      </c>
    </row>
    <row r="7" spans="1:15" x14ac:dyDescent="0.3">
      <c r="A7" t="s">
        <v>209</v>
      </c>
      <c r="F7" s="21">
        <v>0</v>
      </c>
      <c r="G7" s="21">
        <v>0</v>
      </c>
      <c r="H7" s="21">
        <v>0</v>
      </c>
      <c r="I7" s="21">
        <v>0</v>
      </c>
      <c r="J7" s="21">
        <f>'Reserve Schedule'!J10</f>
        <v>227.15</v>
      </c>
      <c r="K7" s="21">
        <f>'Reserve Schedule'!K10</f>
        <v>137.1588841444148</v>
      </c>
      <c r="L7" s="21">
        <f>'Reserve Schedule'!L10</f>
        <v>125.44703855677372</v>
      </c>
      <c r="M7" s="21">
        <f>'Reserve Schedule'!M10</f>
        <v>203.55631883768604</v>
      </c>
      <c r="N7" s="21">
        <f>'Reserve Schedule'!N10</f>
        <v>253.58000442804212</v>
      </c>
      <c r="O7" s="21">
        <f>'Reserve Schedule'!O10</f>
        <v>345.1195495490187</v>
      </c>
    </row>
    <row r="8" spans="1:15" x14ac:dyDescent="0.3">
      <c r="A8" t="s">
        <v>210</v>
      </c>
      <c r="F8" s="21">
        <f>-F36</f>
        <v>1501.17</v>
      </c>
      <c r="G8" s="21">
        <f t="shared" ref="G8:O8" si="0">-G36</f>
        <v>424.84</v>
      </c>
      <c r="H8" s="21">
        <f t="shared" si="0"/>
        <v>352.4</v>
      </c>
      <c r="I8" s="21">
        <f t="shared" si="0"/>
        <v>795.94</v>
      </c>
      <c r="J8" s="21">
        <f t="shared" si="0"/>
        <v>894.63</v>
      </c>
      <c r="K8" s="21">
        <f t="shared" si="0"/>
        <v>5153.9440029414136</v>
      </c>
      <c r="L8" s="21">
        <f t="shared" si="0"/>
        <v>10002.615560825338</v>
      </c>
      <c r="M8" s="21">
        <f t="shared" si="0"/>
        <v>10442.160310982445</v>
      </c>
      <c r="N8" s="21">
        <f t="shared" si="0"/>
        <v>12089.616199541571</v>
      </c>
      <c r="O8" s="21">
        <f t="shared" si="0"/>
        <v>11840.230688156247</v>
      </c>
    </row>
    <row r="9" spans="1:15" x14ac:dyDescent="0.3">
      <c r="A9" s="23" t="s">
        <v>211</v>
      </c>
      <c r="B9" s="23"/>
      <c r="C9" s="23"/>
      <c r="D9" s="23"/>
      <c r="E9" s="23"/>
      <c r="F9" s="29">
        <v>14.84</v>
      </c>
      <c r="G9" s="29">
        <v>3.88</v>
      </c>
      <c r="H9" s="29">
        <v>14.37</v>
      </c>
      <c r="I9" s="29">
        <v>188.64</v>
      </c>
      <c r="J9" s="29">
        <v>51.43</v>
      </c>
      <c r="K9" s="29">
        <f>K27</f>
        <v>4000</v>
      </c>
      <c r="L9" s="29">
        <f t="shared" ref="L9:O9" si="1">L27</f>
        <v>840</v>
      </c>
      <c r="M9" s="29">
        <f t="shared" si="1"/>
        <v>3000</v>
      </c>
      <c r="N9" s="29">
        <f t="shared" si="1"/>
        <v>1000</v>
      </c>
      <c r="O9" s="29">
        <f t="shared" si="1"/>
        <v>2000</v>
      </c>
    </row>
    <row r="10" spans="1:15" x14ac:dyDescent="0.3">
      <c r="A10" s="3" t="s">
        <v>212</v>
      </c>
      <c r="F10" s="27">
        <f>SUM(F4:F9)</f>
        <v>4447.47</v>
      </c>
      <c r="G10" s="27">
        <f t="shared" ref="G10:O10" si="2">SUM(G4:G9)</f>
        <v>4103.8100000000004</v>
      </c>
      <c r="H10" s="27">
        <f t="shared" si="2"/>
        <v>3036.7199999999989</v>
      </c>
      <c r="I10" s="27">
        <f t="shared" si="2"/>
        <v>5509.63</v>
      </c>
      <c r="J10" s="27">
        <f t="shared" si="2"/>
        <v>7017.3299999999981</v>
      </c>
      <c r="K10" s="27">
        <f t="shared" si="2"/>
        <v>15591.151941923719</v>
      </c>
      <c r="L10" s="27">
        <f t="shared" si="2"/>
        <v>17222.327030176377</v>
      </c>
      <c r="M10" s="27">
        <f t="shared" si="2"/>
        <v>22157.442475595919</v>
      </c>
      <c r="N10" s="27">
        <f t="shared" si="2"/>
        <v>23050.725397839418</v>
      </c>
      <c r="O10" s="27">
        <f t="shared" si="2"/>
        <v>26152.685493265715</v>
      </c>
    </row>
    <row r="11" spans="1:15" x14ac:dyDescent="0.3"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x14ac:dyDescent="0.3"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3">
      <c r="A13" s="3" t="s">
        <v>179</v>
      </c>
    </row>
    <row r="14" spans="1:15" x14ac:dyDescent="0.3">
      <c r="A14" t="s">
        <v>180</v>
      </c>
      <c r="F14">
        <f>'Balance Sheet'!F26-'Balance Sheet'!E26</f>
        <v>-410.67000000000007</v>
      </c>
      <c r="G14">
        <f>'Balance Sheet'!G26-'Balance Sheet'!F26</f>
        <v>-2296.4899999999989</v>
      </c>
      <c r="H14">
        <f>'Balance Sheet'!H26-'Balance Sheet'!G26</f>
        <v>-199.17000000000007</v>
      </c>
      <c r="I14">
        <f>'Balance Sheet'!I26-'Balance Sheet'!H26</f>
        <v>3102.2700000000013</v>
      </c>
      <c r="J14">
        <f>'Balance Sheet'!J26-'Balance Sheet'!I26</f>
        <v>1148.8699999999972</v>
      </c>
      <c r="K14" s="21">
        <f>'Balance Sheet'!K26-'Balance Sheet'!J26</f>
        <v>29852.229263087611</v>
      </c>
      <c r="L14" s="21">
        <f>'Balance Sheet'!L26-'Balance Sheet'!K26</f>
        <v>1231.1264650421654</v>
      </c>
      <c r="M14" s="21">
        <f>'Balance Sheet'!M26-'Balance Sheet'!L26</f>
        <v>7185.2684890570526</v>
      </c>
      <c r="N14">
        <f>'Balance Sheet'!N26-'Balance Sheet'!M26</f>
        <v>-5934.017037797501</v>
      </c>
      <c r="O14" s="21">
        <f>'Balance Sheet'!O26-'Balance Sheet'!N26</f>
        <v>5255.7211675206781</v>
      </c>
    </row>
    <row r="15" spans="1:15" x14ac:dyDescent="0.3">
      <c r="A15" t="s">
        <v>181</v>
      </c>
      <c r="F15">
        <f>'Balance Sheet'!F14-'Balance Sheet'!E14</f>
        <v>-128.68000000000006</v>
      </c>
      <c r="G15">
        <f>'Balance Sheet'!G14-'Balance Sheet'!F14</f>
        <v>-525.78</v>
      </c>
      <c r="H15">
        <f>'Balance Sheet'!H14-'Balance Sheet'!G14</f>
        <v>1203.8599999999999</v>
      </c>
      <c r="I15">
        <f>'Balance Sheet'!I14-'Balance Sheet'!H14</f>
        <v>509.36000000000013</v>
      </c>
      <c r="J15">
        <f>'Balance Sheet'!J14-'Balance Sheet'!I14</f>
        <v>639.22</v>
      </c>
      <c r="K15" s="21">
        <f>'Balance Sheet'!K14-'Balance Sheet'!J14</f>
        <v>1021.0280639705179</v>
      </c>
      <c r="L15" s="21">
        <f>'Balance Sheet'!L14-'Balance Sheet'!K14</f>
        <v>1023.5874935928891</v>
      </c>
      <c r="M15" s="21">
        <f>'Balance Sheet'!M14-'Balance Sheet'!L14</f>
        <v>1863.0572759451015</v>
      </c>
      <c r="N15" s="21">
        <f>'Balance Sheet'!N14-'Balance Sheet'!M14</f>
        <v>1653.666185300126</v>
      </c>
      <c r="O15" s="21">
        <f>'Balance Sheet'!O14-'Balance Sheet'!N14</f>
        <v>2076.5812970400439</v>
      </c>
    </row>
    <row r="16" spans="1:15" x14ac:dyDescent="0.3">
      <c r="A16" t="s">
        <v>182</v>
      </c>
      <c r="F16">
        <f>'Balance Sheet'!F51-'Balance Sheet'!E51</f>
        <v>-203.72000000000025</v>
      </c>
      <c r="G16">
        <f>'Balance Sheet'!G51-'Balance Sheet'!F51</f>
        <v>-1473.3900000000003</v>
      </c>
      <c r="H16">
        <f>'Balance Sheet'!H51-'Balance Sheet'!G51</f>
        <v>378.8100000000004</v>
      </c>
      <c r="I16">
        <f>'Balance Sheet'!I51-'Balance Sheet'!H51</f>
        <v>1892.3999999999996</v>
      </c>
      <c r="J16">
        <f>'Balance Sheet'!J51-'Balance Sheet'!I51</f>
        <v>1892.170000000001</v>
      </c>
      <c r="K16" s="21">
        <f>'Balance Sheet'!K51-'Balance Sheet'!J51</f>
        <v>15821.1581904672</v>
      </c>
      <c r="L16" s="21">
        <f>'Balance Sheet'!L51-'Balance Sheet'!K51</f>
        <v>1911.1902729490103</v>
      </c>
      <c r="M16" s="21">
        <f>'Balance Sheet'!M51-'Balance Sheet'!L51</f>
        <v>3346.1369411214691</v>
      </c>
      <c r="N16" s="21">
        <f>'Balance Sheet'!N51-'Balance Sheet'!M51</f>
        <v>-163.32135732576717</v>
      </c>
      <c r="O16" s="21">
        <f>'Balance Sheet'!O51-'Balance Sheet'!N51</f>
        <v>8145.2688345741626</v>
      </c>
    </row>
    <row r="17" spans="1:15" x14ac:dyDescent="0.3">
      <c r="A17" t="s">
        <v>194</v>
      </c>
      <c r="F17">
        <f>'Balance Sheet'!F53-'Balance Sheet'!E53</f>
        <v>79.569999999999936</v>
      </c>
      <c r="G17">
        <f>'Balance Sheet'!G53-'Balance Sheet'!F53</f>
        <v>224.07000000000016</v>
      </c>
      <c r="H17">
        <f>'Balance Sheet'!H53-'Balance Sheet'!G53</f>
        <v>-232.40000000000009</v>
      </c>
      <c r="I17">
        <f>'Balance Sheet'!I53-'Balance Sheet'!H53</f>
        <v>712.09000000000015</v>
      </c>
      <c r="J17">
        <f>'Balance Sheet'!J53-'Balance Sheet'!I53</f>
        <v>190.23999999999978</v>
      </c>
      <c r="K17" s="21">
        <f>'Balance Sheet'!K53-'Balance Sheet'!J53</f>
        <v>5668.2000612544562</v>
      </c>
      <c r="L17" s="21">
        <f>'Balance Sheet'!L53-'Balance Sheet'!K53</f>
        <v>72.078336308770304</v>
      </c>
      <c r="M17" s="21">
        <f>'Balance Sheet'!M53-'Balance Sheet'!L53</f>
        <v>2031.6738519059691</v>
      </c>
      <c r="N17" s="21">
        <f>'Balance Sheet'!N53-'Balance Sheet'!M53</f>
        <v>693.98100379688549</v>
      </c>
      <c r="O17" s="21">
        <f>'Balance Sheet'!O53-'Balance Sheet'!N53</f>
        <v>843.06476360178931</v>
      </c>
    </row>
    <row r="18" spans="1:15" x14ac:dyDescent="0.3">
      <c r="A18" t="s">
        <v>183</v>
      </c>
      <c r="I18">
        <f>'Balance Sheet'!I57-'Balance Sheet'!H57</f>
        <v>35.42</v>
      </c>
      <c r="J18">
        <f>'Balance Sheet'!J57-'Balance Sheet'!I57</f>
        <v>15.619999999999997</v>
      </c>
      <c r="K18" s="21">
        <f>'Balance Sheet'!K57-'Balance Sheet'!J57</f>
        <v>32.219404940521194</v>
      </c>
      <c r="L18" s="21">
        <f>'Balance Sheet'!L57-'Balance Sheet'!K57</f>
        <v>45.045312867749089</v>
      </c>
      <c r="M18" s="21">
        <f>'Balance Sheet'!M57-'Balance Sheet'!L57</f>
        <v>11.659299429043045</v>
      </c>
      <c r="N18" s="31">
        <f>'Balance Sheet'!N57-'Balance Sheet'!M57</f>
        <v>15.032820429218987</v>
      </c>
      <c r="O18" s="21">
        <f>'Balance Sheet'!O57-'Balance Sheet'!N57</f>
        <v>18.894787717800739</v>
      </c>
    </row>
    <row r="19" spans="1:15" x14ac:dyDescent="0.3">
      <c r="A19" t="s">
        <v>195</v>
      </c>
      <c r="F19">
        <f>'Balance Sheet'!F58-'Balance Sheet'!E58</f>
        <v>64.050000000000011</v>
      </c>
      <c r="G19">
        <f>'Balance Sheet'!G58-'Balance Sheet'!F58</f>
        <v>11.569999999999993</v>
      </c>
      <c r="H19">
        <f>'Balance Sheet'!H58-'Balance Sheet'!G58</f>
        <v>-10.390000000000015</v>
      </c>
      <c r="I19">
        <f>'Balance Sheet'!I58-'Balance Sheet'!H58</f>
        <v>-22.899999999999977</v>
      </c>
      <c r="J19">
        <f>'Balance Sheet'!J58-'Balance Sheet'!I58</f>
        <v>21.739999999999981</v>
      </c>
      <c r="K19" s="21">
        <f>'Balance Sheet'!K58-'Balance Sheet'!J58</f>
        <v>11.862429625590494</v>
      </c>
      <c r="L19" s="21">
        <f>'Balance Sheet'!L58-'Balance Sheet'!K58</f>
        <v>-22.214802285760186</v>
      </c>
      <c r="M19" s="21">
        <f>'Balance Sheet'!M58-'Balance Sheet'!L58</f>
        <v>88.976983889725915</v>
      </c>
      <c r="N19" s="21">
        <f>'Balance Sheet'!N58-'Balance Sheet'!M58</f>
        <v>19.216559052228092</v>
      </c>
      <c r="O19" s="21">
        <f>'Balance Sheet'!O58-'Balance Sheet'!N58</f>
        <v>108.50593668743539</v>
      </c>
    </row>
    <row r="20" spans="1:15" x14ac:dyDescent="0.3">
      <c r="A20" s="23" t="s">
        <v>184</v>
      </c>
      <c r="B20" s="23"/>
      <c r="C20" s="23"/>
      <c r="D20" s="23"/>
      <c r="E20" s="23"/>
      <c r="F20" s="23">
        <f>'Balance Sheet'!F59-'Balance Sheet'!E59</f>
        <v>-369.86999999999989</v>
      </c>
      <c r="G20" s="29">
        <f>'Balance Sheet'!G59-'Balance Sheet'!F59</f>
        <v>-118.60000000000002</v>
      </c>
      <c r="H20" s="23">
        <f>'Balance Sheet'!H59-'Balance Sheet'!G59</f>
        <v>-81.69</v>
      </c>
      <c r="I20" s="23">
        <f>'Balance Sheet'!I59-'Balance Sheet'!H59</f>
        <v>680.32999999999993</v>
      </c>
      <c r="J20" s="23">
        <f>'Balance Sheet'!J59-'Balance Sheet'!I59</f>
        <v>613.63000000000011</v>
      </c>
      <c r="K20" s="29">
        <f>'Balance Sheet'!K59-'Balance Sheet'!J59</f>
        <v>-1428.5478254454915</v>
      </c>
      <c r="L20" s="29">
        <f>'Balance Sheet'!L59-'Balance Sheet'!K59</f>
        <v>-28.508122243248067</v>
      </c>
      <c r="M20" s="29">
        <f>'Balance Sheet'!M59-'Balance Sheet'!L59</f>
        <v>190.12792594620191</v>
      </c>
      <c r="N20" s="29">
        <f>'Balance Sheet'!N59-'Balance Sheet'!M59</f>
        <v>121.76401517558861</v>
      </c>
      <c r="O20" s="29">
        <f>'Balance Sheet'!O59-'Balance Sheet'!N59</f>
        <v>222.8188992821016</v>
      </c>
    </row>
    <row r="21" spans="1:15" x14ac:dyDescent="0.3">
      <c r="A21" s="3" t="s">
        <v>185</v>
      </c>
      <c r="F21" s="3">
        <f t="shared" ref="F21:I21" si="3">SUM(F14:F15)-SUM(F16:F20)</f>
        <v>-109.37999999999994</v>
      </c>
      <c r="G21" s="3">
        <f t="shared" si="3"/>
        <v>-1465.9199999999983</v>
      </c>
      <c r="H21" s="3">
        <f t="shared" si="3"/>
        <v>950.35999999999956</v>
      </c>
      <c r="I21" s="3">
        <f t="shared" si="3"/>
        <v>314.29000000000178</v>
      </c>
      <c r="J21" s="3">
        <f>SUM(J14:J15)-SUM(J16:J20)</f>
        <v>-945.31000000000336</v>
      </c>
      <c r="K21" s="27">
        <f t="shared" ref="K21:O21" si="4">SUM(K14:K15)-SUM(K16:K20)</f>
        <v>10768.365066215847</v>
      </c>
      <c r="L21" s="27">
        <f t="shared" si="4"/>
        <v>277.12296103853305</v>
      </c>
      <c r="M21" s="27">
        <f t="shared" si="4"/>
        <v>3379.7507627097466</v>
      </c>
      <c r="N21" s="27">
        <f t="shared" si="4"/>
        <v>-4967.0238936255291</v>
      </c>
      <c r="O21" s="27">
        <f t="shared" si="4"/>
        <v>-2006.2507573025687</v>
      </c>
    </row>
    <row r="23" spans="1:15" x14ac:dyDescent="0.3">
      <c r="A23" s="7" t="s">
        <v>186</v>
      </c>
      <c r="B23" s="8"/>
      <c r="C23" s="8"/>
      <c r="D23" s="8"/>
      <c r="E23" s="8"/>
      <c r="F23" s="12">
        <f>SUM(F10,F21)</f>
        <v>4338.09</v>
      </c>
      <c r="G23" s="12">
        <f t="shared" ref="G23:O23" si="5">SUM(G10,G21)</f>
        <v>2637.8900000000021</v>
      </c>
      <c r="H23" s="12">
        <f t="shared" si="5"/>
        <v>3987.0799999999986</v>
      </c>
      <c r="I23" s="12">
        <f t="shared" si="5"/>
        <v>5823.9200000000019</v>
      </c>
      <c r="J23" s="12">
        <f t="shared" si="5"/>
        <v>6072.019999999995</v>
      </c>
      <c r="K23" s="12">
        <f t="shared" si="5"/>
        <v>26359.517008139566</v>
      </c>
      <c r="L23" s="12">
        <f t="shared" si="5"/>
        <v>17499.449991214911</v>
      </c>
      <c r="M23" s="12">
        <f t="shared" si="5"/>
        <v>25537.193238305666</v>
      </c>
      <c r="N23" s="12">
        <f t="shared" si="5"/>
        <v>18083.701504213888</v>
      </c>
      <c r="O23" s="12">
        <f t="shared" si="5"/>
        <v>24146.434735963147</v>
      </c>
    </row>
    <row r="25" spans="1:15" x14ac:dyDescent="0.3">
      <c r="A25" s="3" t="s">
        <v>187</v>
      </c>
    </row>
    <row r="26" spans="1:15" x14ac:dyDescent="0.3">
      <c r="A26" t="s">
        <v>188</v>
      </c>
      <c r="F26">
        <f>-'Asset Schedule'!F5</f>
        <v>-1385.91</v>
      </c>
      <c r="G26">
        <f>-'Asset Schedule'!G5</f>
        <v>-898.37</v>
      </c>
      <c r="H26">
        <f>-'Asset Schedule'!H5</f>
        <v>-1029.8500000000013</v>
      </c>
      <c r="I26">
        <f>-'Asset Schedule'!I5</f>
        <v>-588.92000000000132</v>
      </c>
      <c r="J26">
        <f>-'Asset Schedule'!J5</f>
        <v>-2969.6699999999951</v>
      </c>
      <c r="K26" s="21">
        <f>-'Asset Schedule'!K5</f>
        <v>-55000</v>
      </c>
      <c r="L26" s="21">
        <f>-'Asset Schedule'!L5</f>
        <v>-3000</v>
      </c>
      <c r="M26" s="21">
        <f>-'Asset Schedule'!M5</f>
        <v>-16000</v>
      </c>
      <c r="N26" s="21">
        <f>-'Asset Schedule'!N5</f>
        <v>-5000</v>
      </c>
      <c r="O26" s="21">
        <f>-'Asset Schedule'!O5</f>
        <v>-10000</v>
      </c>
    </row>
    <row r="27" spans="1:15" x14ac:dyDescent="0.3">
      <c r="A27" t="s">
        <v>189</v>
      </c>
      <c r="F27">
        <f>'Asset Schedule'!F6</f>
        <v>14.84</v>
      </c>
      <c r="G27">
        <f>'Asset Schedule'!G6</f>
        <v>3.88</v>
      </c>
      <c r="H27">
        <f>'Asset Schedule'!H6</f>
        <v>14.37</v>
      </c>
      <c r="I27">
        <f>'Asset Schedule'!I6</f>
        <v>188.64</v>
      </c>
      <c r="J27">
        <f>'Asset Schedule'!J6</f>
        <v>51.43</v>
      </c>
      <c r="K27" s="21">
        <f>'Asset Schedule'!K6</f>
        <v>4000</v>
      </c>
      <c r="L27" s="21">
        <f>'Asset Schedule'!L6</f>
        <v>840</v>
      </c>
      <c r="M27" s="21">
        <f>'Asset Schedule'!M6</f>
        <v>3000</v>
      </c>
      <c r="N27" s="21">
        <f>'Asset Schedule'!N6</f>
        <v>1000</v>
      </c>
      <c r="O27" s="21">
        <f>'Asset Schedule'!O6</f>
        <v>2000</v>
      </c>
    </row>
    <row r="28" spans="1:15" x14ac:dyDescent="0.3">
      <c r="A28" t="s">
        <v>190</v>
      </c>
      <c r="F28" s="21">
        <f>'Balance Sheet'!F45-'Balance Sheet'!E45</f>
        <v>-179.5</v>
      </c>
      <c r="G28">
        <f>'Balance Sheet'!G45-'Balance Sheet'!F45</f>
        <v>451.29</v>
      </c>
      <c r="H28">
        <f>'Balance Sheet'!H45-'Balance Sheet'!G45</f>
        <v>146.15000000000003</v>
      </c>
      <c r="I28">
        <f>'Balance Sheet'!I45-'Balance Sheet'!H45</f>
        <v>1189.8399999999999</v>
      </c>
      <c r="J28">
        <f>'Balance Sheet'!J45-'Balance Sheet'!I45</f>
        <v>139.61000000000013</v>
      </c>
      <c r="K28" s="21">
        <f>'Balance Sheet'!K45-'Balance Sheet'!J45</f>
        <v>-1125.1026825719468</v>
      </c>
      <c r="L28" s="21">
        <f>'Balance Sheet'!L45-'Balance Sheet'!K45</f>
        <v>76.60627564776587</v>
      </c>
      <c r="M28" s="21">
        <f>'Balance Sheet'!M45-'Balance Sheet'!L45</f>
        <v>704.03014516415249</v>
      </c>
      <c r="N28" s="21">
        <f>'Balance Sheet'!N45-'Balance Sheet'!M45</f>
        <v>414.2770857551584</v>
      </c>
      <c r="O28" s="21">
        <f>'Balance Sheet'!O45-'Balance Sheet'!N45</f>
        <v>566.1304691301948</v>
      </c>
    </row>
    <row r="29" spans="1:15" x14ac:dyDescent="0.3">
      <c r="A29" t="s">
        <v>199</v>
      </c>
      <c r="F29" s="21">
        <f>-('Balance Sheet'!F55-'Balance Sheet'!E55)</f>
        <v>-87.390000000000015</v>
      </c>
      <c r="G29" s="21">
        <f>-('Balance Sheet'!G55-'Balance Sheet'!F55)</f>
        <v>-51.240000000000009</v>
      </c>
      <c r="H29" s="21">
        <f>-('Balance Sheet'!H55-'Balance Sheet'!G55)</f>
        <v>62.720000000000027</v>
      </c>
      <c r="I29" s="21">
        <f>-('Balance Sheet'!I55-'Balance Sheet'!H55)</f>
        <v>-260.24000000000007</v>
      </c>
      <c r="J29" s="21">
        <f>-('Balance Sheet'!J55-'Balance Sheet'!I55)</f>
        <v>-28.159999999999968</v>
      </c>
      <c r="K29" s="21">
        <f>-('Balance Sheet'!K55-'Balance Sheet'!J55)</f>
        <v>172.16591303669634</v>
      </c>
      <c r="L29" s="21">
        <f>-('Balance Sheet'!L55-'Balance Sheet'!K55)</f>
        <v>23.44216906752024</v>
      </c>
      <c r="M29" s="21">
        <f>-('Balance Sheet'!M55-'Balance Sheet'!L55)</f>
        <v>-235.84474812922508</v>
      </c>
      <c r="N29" s="21">
        <f>-('Balance Sheet'!N55-'Balance Sheet'!M55)</f>
        <v>-156.95114860399337</v>
      </c>
      <c r="O29" s="21">
        <f>-('Balance Sheet'!O55-'Balance Sheet'!N55)</f>
        <v>-308.09292827083527</v>
      </c>
    </row>
    <row r="30" spans="1:15" x14ac:dyDescent="0.3">
      <c r="A30" s="23" t="s">
        <v>191</v>
      </c>
      <c r="B30" s="23"/>
      <c r="C30" s="23"/>
      <c r="D30" s="23"/>
      <c r="E30" s="23"/>
      <c r="F30" s="29">
        <v>121.42</v>
      </c>
      <c r="G30" s="29">
        <v>315.02</v>
      </c>
      <c r="H30" s="29">
        <v>-1904.78</v>
      </c>
      <c r="I30" s="29">
        <v>-3940.45</v>
      </c>
      <c r="J30" s="29">
        <v>-1563.93</v>
      </c>
      <c r="K30" s="29">
        <v>-8661.16</v>
      </c>
      <c r="L30" s="29">
        <v>-4833.3100000000004</v>
      </c>
      <c r="M30" s="29">
        <v>-2736.75</v>
      </c>
      <c r="N30" s="29">
        <v>-3387.36</v>
      </c>
      <c r="O30" s="29">
        <v>-4811.92</v>
      </c>
    </row>
    <row r="31" spans="1:15" x14ac:dyDescent="0.3">
      <c r="A31" s="3" t="s">
        <v>192</v>
      </c>
      <c r="B31" s="3"/>
      <c r="C31" s="3"/>
      <c r="F31" s="27">
        <f>SUM(F26:F30)</f>
        <v>-1516.5400000000002</v>
      </c>
      <c r="G31" s="27">
        <f t="shared" ref="G31:O31" si="6">SUM(G26:G30)</f>
        <v>-179.42000000000002</v>
      </c>
      <c r="H31" s="27">
        <f t="shared" si="6"/>
        <v>-2711.3900000000012</v>
      </c>
      <c r="I31" s="27">
        <f t="shared" si="6"/>
        <v>-3411.130000000001</v>
      </c>
      <c r="J31" s="27">
        <f t="shared" si="6"/>
        <v>-4370.7199999999948</v>
      </c>
      <c r="K31" s="27">
        <f t="shared" si="6"/>
        <v>-60614.096769535245</v>
      </c>
      <c r="L31" s="27">
        <f t="shared" si="6"/>
        <v>-6893.2615552847146</v>
      </c>
      <c r="M31" s="27">
        <f t="shared" si="6"/>
        <v>-15268.564602965074</v>
      </c>
      <c r="N31" s="27">
        <f t="shared" si="6"/>
        <v>-7130.0340628488348</v>
      </c>
      <c r="O31" s="27">
        <f t="shared" si="6"/>
        <v>-12553.882459140641</v>
      </c>
    </row>
    <row r="33" spans="1:15" x14ac:dyDescent="0.3">
      <c r="A33" s="3" t="s">
        <v>196</v>
      </c>
    </row>
    <row r="34" spans="1:15" x14ac:dyDescent="0.3">
      <c r="A34" t="s">
        <v>197</v>
      </c>
      <c r="F34" s="21">
        <f>'Balance Sheet'!F6-'Balance Sheet'!E6</f>
        <v>0</v>
      </c>
      <c r="G34" s="21">
        <f>'Balance Sheet'!G6-'Balance Sheet'!F6</f>
        <v>0</v>
      </c>
      <c r="H34" s="21">
        <f>'Balance Sheet'!H6-'Balance Sheet'!G6</f>
        <v>0</v>
      </c>
      <c r="I34" s="21">
        <f>'Balance Sheet'!I6-'Balance Sheet'!H6</f>
        <v>0</v>
      </c>
      <c r="J34" s="21">
        <f>'Balance Sheet'!J6-'Balance Sheet'!I6</f>
        <v>283.84999999999991</v>
      </c>
      <c r="K34" s="21">
        <f>'Balance Sheet'!K6-'Balance Sheet'!J6</f>
        <v>0</v>
      </c>
      <c r="L34" s="21">
        <f>'Balance Sheet'!L6-'Balance Sheet'!K6</f>
        <v>0</v>
      </c>
      <c r="M34" s="21">
        <f>'Balance Sheet'!M6-'Balance Sheet'!L6</f>
        <v>0</v>
      </c>
      <c r="N34" s="21">
        <f>'Balance Sheet'!N6-'Balance Sheet'!M6</f>
        <v>0</v>
      </c>
      <c r="O34" s="21">
        <f>'Balance Sheet'!O6-'Balance Sheet'!N6</f>
        <v>0</v>
      </c>
    </row>
    <row r="35" spans="1:15" x14ac:dyDescent="0.3">
      <c r="A35" t="s">
        <v>198</v>
      </c>
      <c r="F35" s="21">
        <f>'Balance Sheet'!F12-'Balance Sheet'!E12</f>
        <v>-1248.8999999999996</v>
      </c>
      <c r="G35" s="21">
        <f>'Balance Sheet'!G12-'Balance Sheet'!F12</f>
        <v>-1593.2700000000004</v>
      </c>
      <c r="H35" s="21">
        <f>'Balance Sheet'!H12-'Balance Sheet'!G12</f>
        <v>-579.69999999999982</v>
      </c>
      <c r="I35" s="21">
        <f>'Balance Sheet'!I12-'Balance Sheet'!H12</f>
        <v>-787.44</v>
      </c>
      <c r="J35" s="21">
        <f>'Balance Sheet'!J12-'Balance Sheet'!I12</f>
        <v>-725.69999999999982</v>
      </c>
      <c r="K35" s="21">
        <f>'Balance Sheet'!K12-'Balance Sheet'!J12</f>
        <v>39999.999999999993</v>
      </c>
      <c r="L35" s="21">
        <f>'Balance Sheet'!L12-'Balance Sheet'!K12</f>
        <v>0</v>
      </c>
      <c r="M35" s="21">
        <f>'Balance Sheet'!M12-'Balance Sheet'!L12</f>
        <v>960</v>
      </c>
      <c r="N35" s="21">
        <f>'Balance Sheet'!N12-'Balance Sheet'!M12</f>
        <v>1340</v>
      </c>
      <c r="O35" s="21">
        <f>'Balance Sheet'!O12-'Balance Sheet'!N12</f>
        <v>1720</v>
      </c>
    </row>
    <row r="36" spans="1:15" x14ac:dyDescent="0.3">
      <c r="A36" t="s">
        <v>200</v>
      </c>
      <c r="F36">
        <v>-1501.17</v>
      </c>
      <c r="G36">
        <v>-424.84</v>
      </c>
      <c r="H36" s="21">
        <v>-352.4</v>
      </c>
      <c r="I36">
        <v>-795.94</v>
      </c>
      <c r="J36">
        <v>-894.63</v>
      </c>
      <c r="K36" s="21">
        <f>'Assumption Sheet'!K57*'P&amp;L Sheet'!K13</f>
        <v>-5153.9440029414136</v>
      </c>
      <c r="L36" s="21">
        <f>'Assumption Sheet'!L57*'P&amp;L Sheet'!L13</f>
        <v>-10002.615560825338</v>
      </c>
      <c r="M36" s="21">
        <f>'Assumption Sheet'!M57*'P&amp;L Sheet'!M13</f>
        <v>-10442.160310982445</v>
      </c>
      <c r="N36" s="21">
        <f>'Assumption Sheet'!N57*'P&amp;L Sheet'!N13</f>
        <v>-12089.616199541571</v>
      </c>
      <c r="O36" s="21">
        <f>'Assumption Sheet'!O57*'P&amp;L Sheet'!O13</f>
        <v>-11840.230688156247</v>
      </c>
    </row>
    <row r="37" spans="1:15" x14ac:dyDescent="0.3">
      <c r="A37" t="s">
        <v>204</v>
      </c>
      <c r="F37" s="21">
        <v>0</v>
      </c>
      <c r="G37">
        <v>-424.84</v>
      </c>
      <c r="H37" s="21">
        <v>-352.4</v>
      </c>
      <c r="I37" s="21">
        <v>-352.4</v>
      </c>
      <c r="J37" s="21">
        <v>-761.57</v>
      </c>
      <c r="K37" s="21">
        <f>'Assumption Sheet'!K58*'P&amp;L Sheet'!K24</f>
        <v>-349.7462977542138</v>
      </c>
      <c r="L37" s="21">
        <f>'Assumption Sheet'!L58*'P&amp;L Sheet'!L24</f>
        <v>-383.85821733515456</v>
      </c>
      <c r="M37" s="21">
        <f>'Assumption Sheet'!M58*'P&amp;L Sheet'!M24</f>
        <v>-620.41023418982263</v>
      </c>
      <c r="N37" s="21">
        <f>'Assumption Sheet'!N58*'P&amp;L Sheet'!N24</f>
        <v>-710.64084725150462</v>
      </c>
      <c r="O37" s="21">
        <f>'Assumption Sheet'!O58*'P&amp;L Sheet'!O24</f>
        <v>-1022.4418147269654</v>
      </c>
    </row>
    <row r="38" spans="1:15" x14ac:dyDescent="0.3">
      <c r="A38" s="23" t="s">
        <v>206</v>
      </c>
      <c r="B38" s="23"/>
      <c r="C38" s="23"/>
      <c r="D38" s="23"/>
      <c r="E38" s="23"/>
      <c r="F38" s="23">
        <v>-78.069999999999993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</row>
    <row r="39" spans="1:15" x14ac:dyDescent="0.3">
      <c r="A39" s="3" t="s">
        <v>207</v>
      </c>
      <c r="F39" s="27">
        <f>SUM(F34:F38)</f>
        <v>-2828.14</v>
      </c>
      <c r="G39" s="27">
        <f t="shared" ref="G39:O39" si="7">SUM(G34:G38)</f>
        <v>-2442.9500000000003</v>
      </c>
      <c r="H39" s="27">
        <f t="shared" si="7"/>
        <v>-1284.4999999999998</v>
      </c>
      <c r="I39" s="27">
        <f t="shared" si="7"/>
        <v>-1935.7800000000002</v>
      </c>
      <c r="J39" s="27">
        <f t="shared" si="7"/>
        <v>-2098.0500000000002</v>
      </c>
      <c r="K39" s="27">
        <f t="shared" si="7"/>
        <v>34496.309699304365</v>
      </c>
      <c r="L39" s="27">
        <f t="shared" si="7"/>
        <v>-10386.473778160493</v>
      </c>
      <c r="M39" s="27">
        <f t="shared" si="7"/>
        <v>-10102.570545172268</v>
      </c>
      <c r="N39" s="27">
        <f t="shared" si="7"/>
        <v>-11460.257046793076</v>
      </c>
      <c r="O39" s="27">
        <f t="shared" si="7"/>
        <v>-11142.672502883213</v>
      </c>
    </row>
    <row r="41" spans="1:15" x14ac:dyDescent="0.3">
      <c r="A41" t="s">
        <v>202</v>
      </c>
      <c r="F41">
        <f>'Balance Sheet'!E54</f>
        <v>19.739999999999998</v>
      </c>
      <c r="G41">
        <f>F43</f>
        <v>13.15</v>
      </c>
      <c r="H41">
        <f t="shared" ref="H41:O41" si="8">G43</f>
        <v>28.67</v>
      </c>
      <c r="I41">
        <f t="shared" si="8"/>
        <v>19.86</v>
      </c>
      <c r="J41">
        <f t="shared" si="8"/>
        <v>496.87</v>
      </c>
      <c r="K41">
        <f t="shared" si="8"/>
        <v>100.12</v>
      </c>
      <c r="L41" s="21">
        <f t="shared" si="8"/>
        <v>341.8499379086835</v>
      </c>
      <c r="M41" s="21">
        <f t="shared" si="8"/>
        <v>561.56459567838749</v>
      </c>
      <c r="N41" s="21">
        <f t="shared" si="8"/>
        <v>727.62268584671176</v>
      </c>
      <c r="O41" s="21">
        <f t="shared" si="8"/>
        <v>221.03308041868979</v>
      </c>
    </row>
    <row r="42" spans="1:15" x14ac:dyDescent="0.3">
      <c r="A42" s="23" t="s">
        <v>203</v>
      </c>
      <c r="B42" s="23"/>
      <c r="C42" s="23"/>
      <c r="D42" s="23"/>
      <c r="E42" s="23"/>
      <c r="F42" s="29">
        <f>F23+F31+F39</f>
        <v>-6.5899999999996908</v>
      </c>
      <c r="G42" s="29">
        <f t="shared" ref="G42:O42" si="9">G23+G31+G39</f>
        <v>15.520000000001801</v>
      </c>
      <c r="H42" s="29">
        <f t="shared" si="9"/>
        <v>-8.8100000000024465</v>
      </c>
      <c r="I42" s="29">
        <f t="shared" si="9"/>
        <v>477.01000000000067</v>
      </c>
      <c r="J42" s="29">
        <f t="shared" si="9"/>
        <v>-396.75</v>
      </c>
      <c r="K42" s="29">
        <f t="shared" si="9"/>
        <v>241.7299379086835</v>
      </c>
      <c r="L42" s="29">
        <f t="shared" si="9"/>
        <v>219.71465776970399</v>
      </c>
      <c r="M42" s="29">
        <f t="shared" si="9"/>
        <v>166.05809016832427</v>
      </c>
      <c r="N42" s="29">
        <f t="shared" si="9"/>
        <v>-506.58960542802197</v>
      </c>
      <c r="O42" s="29">
        <f t="shared" si="9"/>
        <v>449.87977393929214</v>
      </c>
    </row>
    <row r="43" spans="1:15" x14ac:dyDescent="0.3">
      <c r="A43" s="3" t="s">
        <v>213</v>
      </c>
      <c r="F43" s="3">
        <f>'Balance Sheet'!F54</f>
        <v>13.15</v>
      </c>
      <c r="G43" s="3">
        <f>'Balance Sheet'!G54</f>
        <v>28.67</v>
      </c>
      <c r="H43" s="3">
        <f>'Balance Sheet'!H54</f>
        <v>19.86</v>
      </c>
      <c r="I43" s="3">
        <f>'Balance Sheet'!I54</f>
        <v>496.87</v>
      </c>
      <c r="J43" s="3">
        <f>'Balance Sheet'!J54</f>
        <v>100.12</v>
      </c>
      <c r="K43" s="27">
        <f>SUM(K41:K42)</f>
        <v>341.8499379086835</v>
      </c>
      <c r="L43" s="27">
        <f t="shared" ref="L43:O43" si="10">SUM(L41:L42)</f>
        <v>561.56459567838749</v>
      </c>
      <c r="M43" s="27">
        <f t="shared" si="10"/>
        <v>727.62268584671176</v>
      </c>
      <c r="N43" s="27">
        <f t="shared" si="10"/>
        <v>221.03308041868979</v>
      </c>
      <c r="O43" s="27">
        <f t="shared" si="10"/>
        <v>670.91285435798193</v>
      </c>
    </row>
  </sheetData>
  <mergeCells count="1">
    <mergeCell ref="D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79C17-B403-43FB-8E8F-C4059E92C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Asset Schedule</vt:lpstr>
      <vt:lpstr>Debt Schedule</vt:lpstr>
      <vt:lpstr>Reserve Schedule</vt:lpstr>
      <vt:lpstr>Assumption Sheet</vt:lpstr>
      <vt:lpstr>P&amp;L Sheet</vt:lpstr>
      <vt:lpstr>Balance Sheet</vt:lpstr>
      <vt:lpstr>Cash Flow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Gulaguli</dc:creator>
  <cp:keywords/>
  <dc:description/>
  <cp:lastModifiedBy>Ashish Gulaguli</cp:lastModifiedBy>
  <cp:revision/>
  <dcterms:created xsi:type="dcterms:W3CDTF">2023-08-02T06:05:19Z</dcterms:created>
  <dcterms:modified xsi:type="dcterms:W3CDTF">2023-10-14T20:29:35Z</dcterms:modified>
  <cp:category/>
  <cp:contentStatus/>
</cp:coreProperties>
</file>