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-\"/>
    </mc:Choice>
  </mc:AlternateContent>
  <xr:revisionPtr revIDLastSave="0" documentId="13_ncr:1_{99DCB3BD-14CE-44B9-A56E-1A33EAD8DD3F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Sheet1" sheetId="1" r:id="rId1"/>
    <sheet name="CS1" sheetId="2" r:id="rId2"/>
    <sheet name="CS2" sheetId="4" r:id="rId3"/>
  </sheets>
  <definedNames>
    <definedName name="GL">Sheet1!$B$24</definedName>
    <definedName name="IB">Sheet1!$B$23</definedName>
    <definedName name="Iratio">Sheet1!$B$2</definedName>
    <definedName name="MC">Sheet1!$B$27</definedName>
    <definedName name="UN">Sheet1!$B$22</definedName>
    <definedName name="VL">Sheet1!$B$25</definedName>
    <definedName name="Vratio">Sheet1!$B$1</definedName>
    <definedName name="VU">Sheet1!$B$26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1" l="1"/>
  <c r="B26" i="1"/>
  <c r="B1" i="1"/>
  <c r="B2" i="1"/>
  <c r="F13" i="4" l="1"/>
  <c r="M13" i="4" s="1"/>
  <c r="E13" i="4"/>
  <c r="L13" i="4" s="1"/>
  <c r="F12" i="4"/>
  <c r="M12" i="4" s="1"/>
  <c r="E12" i="4"/>
  <c r="L12" i="4" s="1"/>
  <c r="F11" i="4"/>
  <c r="M11" i="4" s="1"/>
  <c r="E11" i="4"/>
  <c r="L11" i="4" s="1"/>
  <c r="F10" i="4"/>
  <c r="M10" i="4" s="1"/>
  <c r="E10" i="4"/>
  <c r="L10" i="4" s="1"/>
  <c r="F9" i="4"/>
  <c r="M9" i="4" s="1"/>
  <c r="E9" i="4"/>
  <c r="L9" i="4" s="1"/>
  <c r="F8" i="4"/>
  <c r="M8" i="4" s="1"/>
  <c r="E8" i="4"/>
  <c r="L8" i="4" s="1"/>
  <c r="F7" i="4"/>
  <c r="M7" i="4" s="1"/>
  <c r="E7" i="4"/>
  <c r="L7" i="4" s="1"/>
  <c r="F6" i="4"/>
  <c r="M6" i="4" s="1"/>
  <c r="E6" i="4"/>
  <c r="L6" i="4" s="1"/>
  <c r="F5" i="4"/>
  <c r="M5" i="4" s="1"/>
  <c r="E5" i="4"/>
  <c r="L5" i="4" s="1"/>
  <c r="F4" i="4"/>
  <c r="M4" i="4" s="1"/>
  <c r="E4" i="4"/>
  <c r="L4" i="4" s="1"/>
  <c r="F3" i="4"/>
  <c r="M3" i="4" s="1"/>
  <c r="E3" i="4"/>
  <c r="L3" i="4" s="1"/>
  <c r="M7" i="2"/>
  <c r="M8" i="2"/>
  <c r="M9" i="2"/>
  <c r="M10" i="2"/>
  <c r="M11" i="2"/>
  <c r="M12" i="2"/>
  <c r="M13" i="2"/>
  <c r="L7" i="2"/>
  <c r="L8" i="2"/>
  <c r="L9" i="2"/>
  <c r="L10" i="2"/>
  <c r="L11" i="2"/>
  <c r="L12" i="2"/>
  <c r="L13" i="2"/>
  <c r="F4" i="2"/>
  <c r="M4" i="2" s="1"/>
  <c r="F5" i="2"/>
  <c r="M5" i="2" s="1"/>
  <c r="F6" i="2"/>
  <c r="M6" i="2" s="1"/>
  <c r="F7" i="2"/>
  <c r="F8" i="2"/>
  <c r="F9" i="2"/>
  <c r="F10" i="2"/>
  <c r="F11" i="2"/>
  <c r="F12" i="2"/>
  <c r="F13" i="2"/>
  <c r="F3" i="2"/>
  <c r="M3" i="2" s="1"/>
  <c r="E4" i="2"/>
  <c r="L4" i="2" s="1"/>
  <c r="E5" i="2"/>
  <c r="L5" i="2" s="1"/>
  <c r="E6" i="2"/>
  <c r="L6" i="2" s="1"/>
  <c r="E7" i="2"/>
  <c r="E8" i="2"/>
  <c r="E9" i="2"/>
  <c r="E10" i="2"/>
  <c r="E11" i="2"/>
  <c r="E12" i="2"/>
  <c r="E13" i="2"/>
  <c r="E3" i="2"/>
  <c r="L3" i="2" s="1"/>
  <c r="F16" i="2" l="1"/>
  <c r="E16" i="2"/>
  <c r="F16" i="4"/>
  <c r="E16" i="4"/>
  <c r="U6" i="1"/>
  <c r="Q5" i="1"/>
  <c r="U5" i="1" s="1"/>
  <c r="F18" i="2" l="1"/>
  <c r="F18" i="4"/>
  <c r="Q6" i="1"/>
  <c r="K60" i="1"/>
  <c r="K61" i="1" l="1"/>
  <c r="L61" i="1" s="1"/>
  <c r="B75" i="1"/>
  <c r="B66" i="1"/>
  <c r="B52" i="1"/>
  <c r="B53" i="1" s="1"/>
  <c r="B54" i="1" s="1"/>
  <c r="B55" i="1" s="1"/>
  <c r="H53" i="1"/>
  <c r="I53" i="1" s="1"/>
  <c r="G54" i="1" s="1"/>
  <c r="E53" i="1"/>
  <c r="F5" i="1"/>
  <c r="F6" i="1"/>
  <c r="F7" i="1"/>
  <c r="F11" i="1"/>
  <c r="F8" i="1"/>
  <c r="F9" i="1"/>
  <c r="F10" i="1"/>
  <c r="F12" i="1"/>
  <c r="B31" i="1" l="1"/>
  <c r="B32" i="1" s="1"/>
  <c r="B34" i="1" s="1"/>
  <c r="M14" i="1"/>
  <c r="B76" i="1"/>
  <c r="H76" i="1"/>
  <c r="H77" i="1" s="1"/>
  <c r="B67" i="1"/>
  <c r="B88" i="1"/>
  <c r="B94" i="1" s="1"/>
  <c r="B95" i="1" s="1"/>
  <c r="D54" i="1"/>
  <c r="B14" i="1"/>
  <c r="C15" i="1" s="1"/>
  <c r="C16" i="1" s="1"/>
  <c r="B33" i="1" l="1"/>
  <c r="B15" i="1"/>
  <c r="B16" i="1" s="1"/>
  <c r="B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Wendland, Ryan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<sst xmlns="http://schemas.openxmlformats.org/spreadsheetml/2006/main" count="175" uniqueCount="135">
  <si>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</si>
  <si>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</si>
  <si>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</si>
  <si>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</si>
  <si>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</si>
  <si>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</si>
  <si>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</si>
  <si>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</si>
  <si>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</si>
  <si>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</si>
  <si>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</si>
  <si>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</si>
  <si>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</si>
  <si>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</si>
  <si>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</si>
  <si>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</si>
  <si>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</si>
  <si>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</si>
  <si>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</si>
  <si>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</si>
  <si>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</si>
  <si>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</si>
  <si>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</si>
  <si>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</si>
  <si>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</si>
  <si>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</si>
  <si>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</si>
  <si>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</si>
  <si>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</si>
  <si>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</si>
  <si>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</si>
  <si>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</si>
  <si>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</si>
  <si>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</si>
  <si>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</si>
  <si>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</si>
  <si>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</si>
  <si>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</si>
  <si>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</si>
  <si>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</si>
  <si>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</si>
  <si>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</si>
  <si>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</si>
  <si>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</si>
  <si>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</si>
  <si>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</si>
  <si>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</si>
  <si>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</si>
  <si>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</si>
  <si>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</si>
  <si>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</si>
  <si>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</si>
  <si>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</si>
  <si>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</si>
  <si>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</si>
  <si>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</si>
  <si>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</si>
  <si>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</si>
  <si>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</si>
  <si>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</si>
  <si>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</si>
  <si>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</si>
  <si>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</si>
  <si>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</si>
  <si>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</si>
  <si>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</si>
  <si>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Voltage RMS Gain and L Line Current RMS Gain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</si>
  <si>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</si>
  <si>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</si>
  <si>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</si>
  <si>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</si>
  <si>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</si>
  <si>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</si>
  <si>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</si>
  <si>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</si>
  <si>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</si>
  <si>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</si>
  <si>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</si>
  <si>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</si>
  <si>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</si>
  <si>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</si>
  <si>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</si>
  <si>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</si>
  <si>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</si>
  <si>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</si>
  <si>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</si>
  <si>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</si>
  <si>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</si>
  <si>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</si>
  <si>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</si>
  <si>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</si>
  <si>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</si>
  <si>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</si>
  <si>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</si>
  <si>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</si>
  <si>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</si>
  <si>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</si>
  <si>
    <t>Reg</t>
  </si>
  <si>
    <t>Hex Value</t>
  </si>
  <si>
    <t>2A</t>
  </si>
  <si>
    <t>2B</t>
  </si>
  <si>
    <t>Decimal H</t>
  </si>
  <si>
    <t>Decimal L</t>
  </si>
  <si>
    <t>H2x</t>
  </si>
  <si>
    <t>L2x</t>
  </si>
  <si>
    <t>1D39</t>
  </si>
  <si>
    <t>0000</t>
  </si>
  <si>
    <t>08BD</t>
  </si>
  <si>
    <t>0AEC</t>
  </si>
  <si>
    <t>9422</t>
  </si>
  <si>
    <t>L2C</t>
  </si>
  <si>
    <t>H2C</t>
  </si>
  <si>
    <t>Reg 2C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</si>
  <si>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</si>
  <si>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</si>
  <si>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</si>
  <si>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</si>
  <si>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</si>
  <si>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</si>
  <si>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</si>
  <si>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</si>
  <si>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</si>
  <si>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</si>
  <si>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</si>
  <si>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D464</t>
  </si>
  <si>
    <t>6E49</t>
  </si>
  <si>
    <t>H3C</t>
  </si>
  <si>
    <t>L3C</t>
  </si>
  <si>
    <t>Reg 3C</t>
  </si>
  <si>
    <t>7530</t>
  </si>
  <si>
    <t>Password</t>
  </si>
  <si>
    <t>Ps.: unlock just if necessary</t>
  </si>
  <si>
    <t>Ps2.: change just the green numbers based on register values</t>
  </si>
  <si>
    <t>00B9</t>
  </si>
  <si>
    <t>C1F3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</si>
</sst>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/>
      <name val="Cambia Math"/>
    </font>
    <font>
      <sz val="11"/>
      <color rgb="FF3F3F76"/>
      <name val="Cambia Math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2" fillId="3" borderId="4" xfId="2" applyBorder="1"/>
    <xf numFmtId="0" fontId="2" fillId="3" borderId="3" xfId="2" applyBorder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2" fontId="3" fillId="3" borderId="1" xfId="3" applyNumberFormat="1" applyAlignment="1">
      <alignment horizontal="left"/>
    </xf>
    <xf numFmtId="164" fontId="3" fillId="3" borderId="1" xfId="3" applyNumberFormat="1" applyAlignment="1">
      <alignment horizontal="left"/>
    </xf>
    <xf numFmtId="0" fontId="2" fillId="3" borderId="4" xfId="2" applyBorder="1" applyAlignment="1">
      <alignment horizontal="left"/>
    </xf>
    <xf numFmtId="0" fontId="3" fillId="3" borderId="1" xfId="3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/>
    <xf numFmtId="0" fontId="11" fillId="2" borderId="1" xfId="1" applyFont="1" applyAlignment="1">
      <alignment horizontal="left"/>
    </xf>
    <xf numFmtId="0" fontId="1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Alignment="1" applyProtection="1">
      <alignment horizontal="center"/>
    </xf>
    <xf numFmtId="49" fontId="15" fillId="0" borderId="0" xfId="0" applyNumberFormat="1" applyFont="1" applyAlignment="1" applyProtection="1">
      <alignment horizontal="center"/>
      <protection locked="0"/>
    </xf>
    <xf numFmtId="49" fontId="15" fillId="0" borderId="0" xfId="0" quotePrefix="1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Protection="1"/>
    <xf numFmtId="49" fontId="13" fillId="0" borderId="0" xfId="0" applyNumberFormat="1" applyFont="1" applyAlignment="1" applyProtection="1">
      <alignment horizontal="center"/>
    </xf>
    <xf numFmtId="49" fontId="12" fillId="0" borderId="0" xfId="0" applyNumberFormat="1" applyFont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0" fillId="0" borderId="0" xfId="0" applyFont="1" applyProtection="1"/>
    <xf numFmtId="0" fontId="12" fillId="0" borderId="0" xfId="0" applyFont="1" applyProtection="1"/>
    <xf numFmtId="0" fontId="0" fillId="0" borderId="0" xfId="0" applyProtection="1">
      <protection hidden="1"/>
    </xf>
    <xf numFmtId="49" fontId="1" fillId="2" borderId="1" xfId="1" applyNumberFormat="1"/>
    <xf numFmtId="49" fontId="1" fillId="2" borderId="1" xfId="1" applyNumberFormat="1" applyAlignment="1">
      <alignment horizontal="left"/>
    </xf>
  </cellXfs>
  <cellStyles count="4">
    <cellStyle name="Cálculo" xfId="3" builtinId="22"/>
    <cellStyle name="Entrada" xfId="1" builtinId="20"/>
    <cellStyle name="Normal" xfId="0" builtinId="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71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89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tabSelected="1" workbookViewId="0"/>
  </sheetViews>
  <sheetFormatPr defaultRowHeight="15"/>
  <cols>
    <col min="1" max="1" width="15.5703125" bestFit="1" customWidth="1"/>
    <col min="2" max="2" width="11.28515625" customWidth="1"/>
    <col min="3" max="3" width="8.7109375" customWidth="1"/>
    <col min="5" max="5" width="13.7109375" customWidth="1"/>
    <col min="11" max="11" width="13.28515625" bestFit="1" customWidth="1"/>
  </cols>
  <sheetData>
    <row r="1" spans="1:22" ht="18">
      <c r="A1" s="18" t="s">
        <v>0</v>
      </c>
      <c r="B1" s="6">
        <f>(1+1/K2)^-1/(1000+(1+1/K2)^-1)</f>
        <v>9.9651220727453907E-4</v>
      </c>
      <c r="C1" t="s">
        <v>43</v>
      </c>
      <c r="D1" t="s">
        <v>41</v>
      </c>
      <c r="J1" s="2" t="s">
        <v>45</v>
      </c>
      <c r="K1">
        <v>1000</v>
      </c>
      <c r="L1" t="s">
        <v>48</v>
      </c>
    </row>
    <row r="2" spans="1:22" ht="18">
      <c r="A2" s="1" t="s">
        <v>1</v>
      </c>
      <c r="B2" s="6">
        <f>1/2000*(30*K1/(30+K1))</f>
        <v>1.4563106796116505E-2</v>
      </c>
      <c r="C2" t="s">
        <v>44</v>
      </c>
      <c r="D2" t="s">
        <v>42</v>
      </c>
      <c r="J2" s="2" t="s">
        <v>47</v>
      </c>
      <c r="K2">
        <v>400</v>
      </c>
      <c r="L2" t="s">
        <v>46</v>
      </c>
    </row>
    <row r="3" spans="1:22" ht="26.25">
      <c r="Q3" s="7" t="s">
        <v>96</v>
      </c>
    </row>
    <row r="4" spans="1:22" ht="26.25">
      <c r="A4" s="7" t="s">
        <v>40</v>
      </c>
      <c r="Q4">
        <v>973</v>
      </c>
      <c r="R4" t="s">
        <v>93</v>
      </c>
    </row>
    <row r="5" spans="1:22">
      <c r="A5" t="s">
        <v>23</v>
      </c>
      <c r="B5" s="35" t="s">
        <v>38</v>
      </c>
      <c r="C5" s="35"/>
      <c r="D5" s="35"/>
      <c r="E5" s="35"/>
      <c r="F5" s="10" t="str">
        <f>LEFT(B5,FIND(":",B5)-1)</f>
        <v>100</v>
      </c>
      <c r="H5" s="4"/>
      <c r="I5" s="4"/>
      <c r="J5" s="4"/>
      <c r="K5">
        <v>1000000000</v>
      </c>
      <c r="Q5">
        <f>1/(Q4/60/60)</f>
        <v>3.6998972250770819</v>
      </c>
      <c r="R5" t="s">
        <v>94</v>
      </c>
      <c r="U5">
        <f>1/Q5</f>
        <v>0.27027777777777773</v>
      </c>
      <c r="V5" t="s">
        <v>53</v>
      </c>
    </row>
    <row r="6" spans="1:22">
      <c r="A6" t="s">
        <v>24</v>
      </c>
      <c r="B6" s="35" t="s">
        <v>32</v>
      </c>
      <c r="C6" s="35"/>
      <c r="D6" s="35"/>
      <c r="E6" s="35"/>
      <c r="F6" s="10" t="str">
        <f t="shared" ref="F6:F12" si="0">LEFT(B6,FIND(":",B6)-1)</f>
        <v>10</v>
      </c>
      <c r="H6" s="4"/>
      <c r="I6" s="4"/>
      <c r="J6" s="4"/>
      <c r="Q6">
        <f>1/Q5*60*60</f>
        <v>972.99999999999989</v>
      </c>
      <c r="R6" t="s">
        <v>95</v>
      </c>
      <c r="U6">
        <f>1/4.55</f>
        <v>0.21978021978021978</v>
      </c>
      <c r="V6" t="s">
        <v>53</v>
      </c>
    </row>
    <row r="7" spans="1:22">
      <c r="A7" t="s">
        <v>25</v>
      </c>
      <c r="B7" s="35" t="s">
        <v>33</v>
      </c>
      <c r="C7" s="35"/>
      <c r="D7" s="35"/>
      <c r="E7" s="35"/>
      <c r="F7" s="10" t="str">
        <f t="shared" si="0"/>
        <v>1</v>
      </c>
      <c r="H7" s="4"/>
      <c r="I7" s="4"/>
      <c r="J7" s="4"/>
    </row>
    <row r="8" spans="1:22">
      <c r="A8" t="s">
        <v>26</v>
      </c>
      <c r="B8" s="35" t="s">
        <v>34</v>
      </c>
      <c r="C8" s="35"/>
      <c r="D8" s="35"/>
      <c r="E8" s="35"/>
      <c r="F8" s="10" t="str">
        <f t="shared" si="0"/>
        <v>00</v>
      </c>
      <c r="H8" s="4"/>
      <c r="I8" s="4"/>
      <c r="J8" s="4"/>
    </row>
    <row r="9" spans="1:22">
      <c r="A9" t="s">
        <v>27</v>
      </c>
      <c r="B9" s="34" t="s">
        <v>35</v>
      </c>
      <c r="C9" s="34"/>
      <c r="D9" s="34"/>
      <c r="E9" s="34"/>
      <c r="F9" s="10" t="str">
        <f t="shared" si="0"/>
        <v>0</v>
      </c>
      <c r="H9" s="4"/>
      <c r="I9" s="4"/>
      <c r="J9" s="4"/>
    </row>
    <row r="10" spans="1:22">
      <c r="A10" t="s">
        <v>28</v>
      </c>
      <c r="B10" s="34" t="s">
        <v>36</v>
      </c>
      <c r="C10" s="34"/>
      <c r="D10" s="34"/>
      <c r="E10" s="34"/>
      <c r="F10" s="10" t="str">
        <f t="shared" si="0"/>
        <v>0</v>
      </c>
      <c r="H10" s="4"/>
      <c r="I10" s="4"/>
      <c r="J10" s="4"/>
    </row>
    <row r="11" spans="1:22">
      <c r="A11" t="s">
        <v>29</v>
      </c>
      <c r="B11" s="34" t="s">
        <v>31</v>
      </c>
      <c r="C11" s="34"/>
      <c r="D11" s="34"/>
      <c r="E11" s="34"/>
      <c r="F11" s="10" t="str">
        <f t="shared" si="0"/>
        <v>10</v>
      </c>
      <c r="H11" s="4"/>
      <c r="I11" s="4"/>
      <c r="J11" s="4"/>
    </row>
    <row r="12" spans="1:22">
      <c r="A12" t="s">
        <v>30</v>
      </c>
      <c r="B12" s="34" t="s">
        <v>37</v>
      </c>
      <c r="C12" s="34"/>
      <c r="D12" s="34"/>
      <c r="E12" s="34"/>
      <c r="F12" s="10" t="str">
        <f t="shared" si="0"/>
        <v>0010</v>
      </c>
      <c r="H12" s="4"/>
      <c r="I12" s="4"/>
      <c r="J12" s="4"/>
    </row>
    <row r="13" spans="1:22">
      <c r="H13" s="4"/>
      <c r="I13" s="4"/>
      <c r="J13" s="4"/>
    </row>
    <row r="14" spans="1:22">
      <c r="A14" s="2" t="s">
        <v>39</v>
      </c>
      <c r="B14" t="str">
        <f>CONCATENATE(F5,F6,F7,F8,F9,F10,F11,F12)</f>
        <v>1001010000100010</v>
      </c>
      <c r="H14" s="4"/>
      <c r="I14" s="4"/>
      <c r="J14" s="4"/>
      <c r="M14">
        <f>7.73*Iratio</f>
        <v>0.11257281553398059</v>
      </c>
    </row>
    <row r="15" spans="1:22">
      <c r="A15" s="5" t="s">
        <v>20</v>
      </c>
      <c r="B15" t="str">
        <f>LEFT(B14,8)</f>
        <v>10010100</v>
      </c>
      <c r="C15" t="str">
        <f>RIGHT(B14,8)</f>
        <v>00100010</v>
      </c>
      <c r="H15" s="4"/>
      <c r="I15" s="4"/>
      <c r="J15" s="4"/>
    </row>
    <row r="16" spans="1:22">
      <c r="A16" s="5" t="s">
        <v>20</v>
      </c>
      <c r="B16" t="str">
        <f>BIN2HEX(B15,2)</f>
        <v>94</v>
      </c>
      <c r="C16" t="str">
        <f>BIN2HEX(C15,2)</f>
        <v>22</v>
      </c>
      <c r="H16" s="4"/>
      <c r="I16" s="4"/>
      <c r="J16" s="4"/>
    </row>
    <row r="17" spans="1:10">
      <c r="A17" s="9" t="s">
        <v>39</v>
      </c>
      <c r="B17" s="8" t="str">
        <f>"0x"&amp;B16&amp;C16</f>
        <v>0x9422</v>
      </c>
      <c r="H17" s="4"/>
      <c r="I17" s="4"/>
      <c r="J17" s="4"/>
    </row>
    <row r="18" spans="1:10">
      <c r="H18" s="4"/>
      <c r="I18" s="4"/>
      <c r="J18" s="4"/>
    </row>
    <row r="19" spans="1:10">
      <c r="H19" s="4"/>
      <c r="I19" s="4"/>
      <c r="J19" s="4"/>
    </row>
    <row r="20" spans="1:10">
      <c r="A20" s="1"/>
      <c r="H20" s="4"/>
      <c r="I20" s="4"/>
      <c r="J20" s="4"/>
    </row>
    <row r="21" spans="1:10" ht="26.25">
      <c r="A21" s="7" t="s">
        <v>15</v>
      </c>
      <c r="H21" s="4"/>
    </row>
    <row r="22" spans="1:10" ht="18">
      <c r="A22" s="2" t="s">
        <v>6</v>
      </c>
      <c r="B22" s="12">
        <v>300</v>
      </c>
      <c r="C22" t="s">
        <v>3</v>
      </c>
      <c r="D22" t="s">
        <v>9</v>
      </c>
    </row>
    <row r="23" spans="1:10" ht="18">
      <c r="A23" s="2" t="s">
        <v>5</v>
      </c>
      <c r="B23" s="12">
        <v>12</v>
      </c>
      <c r="C23" t="s">
        <v>4</v>
      </c>
      <c r="D23" t="s">
        <v>10</v>
      </c>
    </row>
    <row r="24" spans="1:10" ht="18">
      <c r="A24" s="2" t="s">
        <v>7</v>
      </c>
      <c r="B24" s="12">
        <v>1</v>
      </c>
      <c r="C24" t="s">
        <v>2</v>
      </c>
      <c r="D24" t="s">
        <v>8</v>
      </c>
    </row>
    <row r="25" spans="1:10" ht="18">
      <c r="A25" s="2" t="s">
        <v>13</v>
      </c>
      <c r="B25" s="13">
        <f>UN*Vratio*1000</f>
        <v>298.95366218236177</v>
      </c>
      <c r="C25" t="s">
        <v>90</v>
      </c>
      <c r="D25" t="s">
        <v>11</v>
      </c>
    </row>
    <row r="26" spans="1:10" ht="18">
      <c r="A26" s="2" t="s">
        <v>14</v>
      </c>
      <c r="B26" s="14">
        <f>IB*Iratio*1000</f>
        <v>174.75728155339806</v>
      </c>
      <c r="C26" t="s">
        <v>90</v>
      </c>
      <c r="D26" t="s">
        <v>12</v>
      </c>
    </row>
    <row r="27" spans="1:10">
      <c r="A27" s="2" t="s">
        <v>16</v>
      </c>
      <c r="B27" s="12">
        <v>1000</v>
      </c>
      <c r="C27" t="s">
        <v>17</v>
      </c>
      <c r="D27" t="s">
        <v>18</v>
      </c>
    </row>
    <row r="28" spans="1:10">
      <c r="B28" s="11"/>
      <c r="D28" s="3"/>
    </row>
    <row r="29" spans="1:10">
      <c r="B29" s="11"/>
    </row>
    <row r="30" spans="1:10">
      <c r="B30" s="11"/>
    </row>
    <row r="31" spans="1:10">
      <c r="A31" s="2" t="s">
        <v>19</v>
      </c>
      <c r="B31" s="11">
        <f>INT(838860800*(GL*VL*VU)/(MC*UN*IB))</f>
        <v>12173811</v>
      </c>
    </row>
    <row r="32" spans="1:10">
      <c r="A32" s="5" t="s">
        <v>20</v>
      </c>
      <c r="B32" s="11" t="str">
        <f>DEC2HEX(B31,8)</f>
        <v>00B9C1F3</v>
      </c>
    </row>
    <row r="33" spans="1:2">
      <c r="A33" s="9" t="s">
        <v>21</v>
      </c>
      <c r="B33" s="15" t="str">
        <f>"0x"&amp;LEFT(B32,4)</f>
        <v>0x00B9</v>
      </c>
    </row>
    <row r="34" spans="1:2">
      <c r="A34" s="9" t="s">
        <v>22</v>
      </c>
      <c r="B34" s="15" t="str">
        <f>"0x"&amp;RIGHT(B32,4)</f>
        <v>0xC1F3</v>
      </c>
    </row>
    <row r="38" spans="1:2" ht="26.25">
      <c r="A38" s="7" t="s">
        <v>60</v>
      </c>
    </row>
    <row r="39" spans="1:2">
      <c r="A39" s="21" t="s">
        <v>61</v>
      </c>
    </row>
    <row r="40" spans="1:2">
      <c r="A40" t="s">
        <v>62</v>
      </c>
    </row>
    <row r="41" spans="1:2">
      <c r="A41" t="s">
        <v>63</v>
      </c>
    </row>
    <row r="42" spans="1:2">
      <c r="A42" t="s">
        <v>64</v>
      </c>
    </row>
    <row r="43" spans="1:2">
      <c r="A43" t="s">
        <v>65</v>
      </c>
    </row>
    <row r="47" spans="1:2" ht="26.25">
      <c r="A47" s="7" t="s">
        <v>49</v>
      </c>
    </row>
    <row r="48" spans="1:2">
      <c r="A48" s="11" t="s">
        <v>50</v>
      </c>
    </row>
    <row r="49" spans="1:12">
      <c r="A49" s="11" t="s">
        <v>51</v>
      </c>
      <c r="B49" s="12">
        <v>0.26900000000000002</v>
      </c>
      <c r="C49" t="s">
        <v>53</v>
      </c>
      <c r="D49" t="s">
        <v>54</v>
      </c>
    </row>
    <row r="50" spans="1:12">
      <c r="A50" t="s">
        <v>52</v>
      </c>
      <c r="B50" s="12">
        <v>0.219</v>
      </c>
      <c r="C50" t="s">
        <v>53</v>
      </c>
      <c r="D50" t="s">
        <v>55</v>
      </c>
    </row>
    <row r="51" spans="1:12">
      <c r="B51" s="11"/>
    </row>
    <row r="52" spans="1:12">
      <c r="A52" s="2" t="s">
        <v>56</v>
      </c>
      <c r="B52" s="16">
        <f>(B50/B49-1)*100</f>
        <v>-18.587360594795545</v>
      </c>
      <c r="C52" t="s">
        <v>57</v>
      </c>
    </row>
    <row r="53" spans="1:12" ht="18">
      <c r="A53" s="2" t="s">
        <v>58</v>
      </c>
      <c r="B53" s="16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</row>
    <row r="54" spans="1:12" ht="18">
      <c r="A54" s="2" t="s">
        <v>59</v>
      </c>
      <c r="B54" s="16">
        <f>IF(B53&lt;0,INT(2^16+B53*2^15),INT(B53*2^15))</f>
        <v>7481</v>
      </c>
      <c r="D54">
        <f>65535-B54</f>
        <v>58054</v>
      </c>
      <c r="G54" s="2" t="str">
        <f>DEC2BIN(I53,4)</f>
        <v>0101</v>
      </c>
    </row>
    <row r="55" spans="1:12">
      <c r="A55" s="9" t="s">
        <v>23</v>
      </c>
      <c r="B55" s="15" t="str">
        <f>"0x"&amp;DEC2HEX(B54,4)</f>
        <v>0x1D39</v>
      </c>
    </row>
    <row r="56" spans="1:12">
      <c r="B56" s="11"/>
    </row>
    <row r="59" spans="1:12" ht="26.25">
      <c r="A59" s="7" t="s">
        <v>66</v>
      </c>
    </row>
    <row r="60" spans="1:12">
      <c r="A60" s="2" t="s">
        <v>68</v>
      </c>
      <c r="B60" s="19">
        <v>203.9</v>
      </c>
      <c r="C60" s="18" t="s">
        <v>3</v>
      </c>
      <c r="D60" s="18" t="s">
        <v>67</v>
      </c>
      <c r="E60" s="20"/>
      <c r="F60" s="18"/>
      <c r="G60" s="18"/>
      <c r="K60">
        <f>B60/B62</f>
        <v>7.7234848484848484E-3</v>
      </c>
    </row>
    <row r="61" spans="1:12">
      <c r="A61" s="2" t="s">
        <v>69</v>
      </c>
      <c r="B61" s="19">
        <v>243.1</v>
      </c>
      <c r="C61" s="18" t="s">
        <v>3</v>
      </c>
      <c r="D61" s="21" t="s">
        <v>70</v>
      </c>
      <c r="E61" s="20"/>
      <c r="F61" s="18"/>
      <c r="G61" s="18"/>
      <c r="K61">
        <f>B61*Vratio</f>
        <v>0.24225211758844045</v>
      </c>
      <c r="L61">
        <f>K61/K60</f>
        <v>31.36564935917032</v>
      </c>
    </row>
    <row r="62" spans="1:12" ht="18">
      <c r="A62" s="17" t="s">
        <v>72</v>
      </c>
      <c r="B62" s="22">
        <v>26400</v>
      </c>
      <c r="C62" s="18"/>
      <c r="D62" s="18" t="s">
        <v>73</v>
      </c>
      <c r="E62" s="18"/>
      <c r="F62" s="18"/>
      <c r="G62" s="18"/>
    </row>
    <row r="63" spans="1:12">
      <c r="A63" s="18"/>
      <c r="B63" s="18"/>
      <c r="C63" s="18"/>
      <c r="D63" s="18"/>
      <c r="E63" s="18"/>
      <c r="F63" s="18"/>
      <c r="G63" s="18"/>
    </row>
    <row r="64" spans="1:12">
      <c r="A64" s="18"/>
      <c r="B64" s="18"/>
      <c r="C64" s="18"/>
      <c r="D64" s="18"/>
      <c r="E64" s="18"/>
      <c r="F64" s="18"/>
      <c r="G64" s="18"/>
    </row>
    <row r="66" spans="1:8">
      <c r="A66" s="5" t="s">
        <v>20</v>
      </c>
      <c r="B66" s="11">
        <f>INT(B62*B61/B60)</f>
        <v>31475</v>
      </c>
    </row>
    <row r="67" spans="1:8">
      <c r="A67" s="9" t="s">
        <v>71</v>
      </c>
      <c r="B67" s="8" t="str">
        <f>"0x"&amp;DEC2HEX(B66,4)</f>
        <v>0x7AF3</v>
      </c>
    </row>
    <row r="69" spans="1:8">
      <c r="A69" s="2" t="s">
        <v>74</v>
      </c>
      <c r="B69" s="19">
        <v>19.920000000000002</v>
      </c>
      <c r="C69" s="18" t="s">
        <v>4</v>
      </c>
      <c r="D69" s="18" t="s">
        <v>67</v>
      </c>
      <c r="E69" s="20"/>
      <c r="F69" s="18"/>
      <c r="G69" s="18"/>
    </row>
    <row r="70" spans="1:8">
      <c r="A70" s="2" t="s">
        <v>75</v>
      </c>
      <c r="B70" s="19">
        <v>7.74</v>
      </c>
      <c r="C70" s="18" t="s">
        <v>4</v>
      </c>
      <c r="D70" s="21" t="s">
        <v>70</v>
      </c>
      <c r="E70" s="20"/>
      <c r="F70" s="18"/>
      <c r="G70" s="18"/>
    </row>
    <row r="71" spans="1:8" ht="18">
      <c r="A71" s="17" t="s">
        <v>76</v>
      </c>
      <c r="B71" s="22">
        <v>31251</v>
      </c>
      <c r="C71" s="18"/>
      <c r="D71" s="18" t="s">
        <v>77</v>
      </c>
      <c r="E71" s="18"/>
      <c r="F71" s="18"/>
      <c r="G71" s="18"/>
    </row>
    <row r="72" spans="1:8">
      <c r="A72" s="18"/>
      <c r="B72" s="18"/>
      <c r="C72" s="18"/>
      <c r="D72" s="18"/>
      <c r="E72" s="18"/>
      <c r="F72" s="18"/>
      <c r="G72" s="18"/>
    </row>
    <row r="73" spans="1:8">
      <c r="A73" s="18"/>
      <c r="B73" s="18"/>
      <c r="C73" s="18"/>
      <c r="D73" s="18"/>
      <c r="E73" s="18"/>
      <c r="F73" s="18"/>
      <c r="G73" s="18"/>
    </row>
    <row r="75" spans="1:8">
      <c r="A75" s="5" t="s">
        <v>20</v>
      </c>
      <c r="B75" s="11">
        <f>INT(B71*B70/B69)</f>
        <v>12142</v>
      </c>
    </row>
    <row r="76" spans="1:8">
      <c r="A76" s="9" t="s">
        <v>78</v>
      </c>
      <c r="B76" s="8" t="str">
        <f>"0x"&amp;DEC2HEX(B75,4)</f>
        <v>0x2F6E</v>
      </c>
      <c r="E76" t="s">
        <v>91</v>
      </c>
      <c r="G76" t="s">
        <v>92</v>
      </c>
      <c r="H76">
        <f>INT(3*B75/2^16*2^8)</f>
        <v>142</v>
      </c>
    </row>
    <row r="77" spans="1:8">
      <c r="H77" t="str">
        <f>DEC2HEX(H76)</f>
        <v>8E</v>
      </c>
    </row>
    <row r="78" spans="1:8">
      <c r="A78" t="s">
        <v>79</v>
      </c>
    </row>
    <row r="79" spans="1:8">
      <c r="A79" t="s">
        <v>80</v>
      </c>
    </row>
    <row r="80" spans="1:8">
      <c r="A80" t="s">
        <v>81</v>
      </c>
    </row>
    <row r="82" spans="1:3">
      <c r="A82" t="s">
        <v>82</v>
      </c>
    </row>
    <row r="83" spans="1:3">
      <c r="A83" t="s">
        <v>83</v>
      </c>
    </row>
    <row r="86" spans="1:3" ht="26.25">
      <c r="A86" s="7" t="s">
        <v>84</v>
      </c>
    </row>
    <row r="87" spans="1:3">
      <c r="A87" s="2" t="s">
        <v>69</v>
      </c>
      <c r="B87" s="12">
        <v>230</v>
      </c>
      <c r="C87" t="s">
        <v>85</v>
      </c>
    </row>
    <row r="88" spans="1:3">
      <c r="A88" s="2" t="s">
        <v>71</v>
      </c>
      <c r="B88" s="16">
        <f>B66</f>
        <v>31475</v>
      </c>
      <c r="C88" t="s">
        <v>86</v>
      </c>
    </row>
    <row r="89" spans="1:3">
      <c r="A89" s="2" t="s">
        <v>87</v>
      </c>
      <c r="B89" s="11">
        <v>0.94</v>
      </c>
      <c r="C89" t="s">
        <v>89</v>
      </c>
    </row>
    <row r="94" spans="1:3">
      <c r="A94" s="2" t="s">
        <v>88</v>
      </c>
      <c r="B94" s="11">
        <f>INT(100*B87*SQRT(2)*B89/(4*B88/32768))</f>
        <v>7957</v>
      </c>
    </row>
    <row r="95" spans="1:3">
      <c r="A95" s="9" t="s">
        <v>88</v>
      </c>
      <c r="B95" s="8" t="str">
        <f>"0x"&amp;DEC2HEX(B94,4)</f>
        <v>0x1F15</v>
      </c>
    </row>
  </sheetData>
  <mergeCells count="8">
    <mergeCell ref="B9:E9"/>
    <mergeCell ref="B10:E10"/>
    <mergeCell ref="B11:E11"/>
    <mergeCell ref="B12:E12"/>
    <mergeCell ref="B5:E5"/>
    <mergeCell ref="B6:E6"/>
    <mergeCell ref="B7:E7"/>
    <mergeCell ref="B8:E8"/>
  </mergeCells>
  <dataValidations disablePrompts="1" count="8">
    <dataValidation type="list" allowBlank="1" showInputMessage="1" showErrorMessage="1" sqref="B9:E9" xr:uid="{00000000-0002-0000-0000-000000000000}">
      <formula1>"0: Fwd or rev energy pulse output, 1: Absolute energy pulse output"</formula1>
    </dataValidation>
    <dataValidation type="list" allowBlank="1" showInputMessage="1" showErrorMessage="1" sqref="B10:E10" xr:uid="{00000000-0002-0000-0000-000001000000}">
      <formula1>"0: Fwd or rev reactive energy pulse output, 1: Absolute reactive energy pulse output"</formula1>
    </dataValidation>
    <dataValidation type="list" allowBlank="1" showInputMessage="1" showErrorMessage="1" sqref="B11:E11" xr:uid="{00000000-0002-0000-0000-000002000000}">
      <formula1>"00: Positive zero-crossing, 01: Negative zero-crossing, 10: All zero crossing, 11: No zero-crossing"</formula1>
    </dataValidation>
    <dataValidation type="list" allowBlank="1" showInputMessage="1" showErrorMessage="1" sqref="B5:E5" xr:uid="{00000000-0002-0000-0000-000003000000}">
      <formula1>"100: Gain 1,000: Gain 4,001: Gain 8,010: Gain 16,011: Gain 24"</formula1>
    </dataValidation>
    <dataValidation type="list" allowBlank="1" showInputMessage="1" showErrorMessage="1" sqref="B6:E6" xr:uid="{00000000-0002-0000-0000-000004000000}">
      <formula1>"10: Gain 1, 00: Gain 2, 01: Gain 4"</formula1>
    </dataValidation>
    <dataValidation type="list" allowBlank="1" showInputMessage="1" showErrorMessage="1" sqref="B7:E7" xr:uid="{00000000-0002-0000-0000-000005000000}">
      <formula1>"1: Meter on L line,0: Meter on N line"</formula1>
    </dataValidation>
    <dataValidation type="list" allowBlank="1" showInputMessage="1" showErrorMessage="1" sqref="B8:E8" xr:uid="{00000000-0002-0000-0000-000006000000}">
      <formula1>"00: HPF1 and HPF0,01: HPF1 and !HPF0,10: !HPF1 and HPF0,11: !HPF1 and !HPF0"</formula1>
    </dataValidation>
    <dataValidation type="list" allowBlank="1" showInputMessage="1" showErrorMessage="1" sqref="B12:E12" xr:uid="{00000000-0002-0000-0000-000007000000}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2"/>
  <sheetViews>
    <sheetView workbookViewId="0">
      <selection activeCell="C3" sqref="C3"/>
    </sheetView>
  </sheetViews>
  <sheetFormatPr defaultRowHeight="15"/>
  <cols>
    <col min="1" max="2" width="9.140625" style="27"/>
    <col min="3" max="3" width="10" style="27" bestFit="1" customWidth="1"/>
    <col min="4" max="4" width="3.5703125" style="27" customWidth="1"/>
    <col min="5" max="5" width="9.140625" style="27"/>
    <col min="6" max="6" width="12.42578125" style="27" bestFit="1" customWidth="1"/>
    <col min="7" max="16384" width="9.140625" style="27"/>
  </cols>
  <sheetData>
    <row r="2" spans="2:13">
      <c r="B2" s="26" t="s">
        <v>97</v>
      </c>
      <c r="C2" s="26" t="s">
        <v>98</v>
      </c>
      <c r="D2" s="26"/>
      <c r="E2" s="26" t="s">
        <v>103</v>
      </c>
      <c r="F2" s="26" t="s">
        <v>104</v>
      </c>
      <c r="L2" s="33" t="s">
        <v>101</v>
      </c>
      <c r="M2" s="33" t="s">
        <v>102</v>
      </c>
    </row>
    <row r="3" spans="2:13">
      <c r="B3" s="28">
        <v>21</v>
      </c>
      <c r="C3" s="24" t="s">
        <v>133</v>
      </c>
      <c r="E3" s="23" t="str">
        <f>DEC2HEX(HEX2DEC(LEFT($C3,2)), 2)</f>
        <v>00</v>
      </c>
      <c r="F3" s="23" t="str">
        <f>DEC2HEX(HEX2DEC(RIGHT($C3,2)),2)</f>
        <v>B9</v>
      </c>
      <c r="L3" s="27">
        <f>HEX2DEC(E3)</f>
        <v>0</v>
      </c>
      <c r="M3" s="27">
        <f>HEX2DEC(F3)</f>
        <v>185</v>
      </c>
    </row>
    <row r="4" spans="2:13">
      <c r="B4" s="28">
        <v>22</v>
      </c>
      <c r="C4" s="25" t="s">
        <v>134</v>
      </c>
      <c r="E4" s="23" t="str">
        <f t="shared" ref="E4:E13" si="0">DEC2HEX(HEX2DEC(LEFT($C4,2)), 2)</f>
        <v>C1</v>
      </c>
      <c r="F4" s="23" t="str">
        <f t="shared" ref="F4:F13" si="1">DEC2HEX(HEX2DEC(RIGHT($C4,2)),2)</f>
        <v>F3</v>
      </c>
      <c r="L4" s="27">
        <f>HEX2DEC(E4)</f>
        <v>193</v>
      </c>
      <c r="M4" s="27">
        <f>HEX2DEC(F4)</f>
        <v>243</v>
      </c>
    </row>
    <row r="5" spans="2:13">
      <c r="B5" s="28">
        <v>23</v>
      </c>
      <c r="C5" s="24" t="s">
        <v>105</v>
      </c>
      <c r="E5" s="23" t="str">
        <f t="shared" si="0"/>
        <v>1D</v>
      </c>
      <c r="F5" s="23" t="str">
        <f t="shared" si="1"/>
        <v>39</v>
      </c>
      <c r="L5" s="27">
        <f t="shared" ref="L5:M13" si="2">HEX2DEC(E5)</f>
        <v>29</v>
      </c>
      <c r="M5" s="27">
        <f t="shared" si="2"/>
        <v>57</v>
      </c>
    </row>
    <row r="6" spans="2:13">
      <c r="B6" s="28">
        <v>24</v>
      </c>
      <c r="C6" s="24" t="s">
        <v>106</v>
      </c>
      <c r="E6" s="23" t="str">
        <f t="shared" si="0"/>
        <v>00</v>
      </c>
      <c r="F6" s="23" t="str">
        <f t="shared" si="1"/>
        <v>00</v>
      </c>
      <c r="L6" s="27">
        <f t="shared" si="2"/>
        <v>0</v>
      </c>
      <c r="M6" s="27">
        <f t="shared" si="2"/>
        <v>0</v>
      </c>
    </row>
    <row r="7" spans="2:13">
      <c r="B7" s="28">
        <v>25</v>
      </c>
      <c r="C7" s="24" t="s">
        <v>106</v>
      </c>
      <c r="E7" s="23" t="str">
        <f t="shared" si="0"/>
        <v>00</v>
      </c>
      <c r="F7" s="23" t="str">
        <f t="shared" si="1"/>
        <v>00</v>
      </c>
      <c r="L7" s="27">
        <f t="shared" si="2"/>
        <v>0</v>
      </c>
      <c r="M7" s="27">
        <f t="shared" si="2"/>
        <v>0</v>
      </c>
    </row>
    <row r="8" spans="2:13">
      <c r="B8" s="28">
        <v>26</v>
      </c>
      <c r="C8" s="24" t="s">
        <v>106</v>
      </c>
      <c r="E8" s="23" t="str">
        <f t="shared" si="0"/>
        <v>00</v>
      </c>
      <c r="F8" s="23" t="str">
        <f t="shared" si="1"/>
        <v>00</v>
      </c>
      <c r="L8" s="27">
        <f t="shared" si="2"/>
        <v>0</v>
      </c>
      <c r="M8" s="27">
        <f t="shared" si="2"/>
        <v>0</v>
      </c>
    </row>
    <row r="9" spans="2:13">
      <c r="B9" s="28">
        <v>27</v>
      </c>
      <c r="C9" s="24" t="s">
        <v>107</v>
      </c>
      <c r="E9" s="23" t="str">
        <f t="shared" si="0"/>
        <v>08</v>
      </c>
      <c r="F9" s="23" t="str">
        <f t="shared" si="1"/>
        <v>BD</v>
      </c>
      <c r="L9" s="27">
        <f t="shared" si="2"/>
        <v>8</v>
      </c>
      <c r="M9" s="27">
        <f t="shared" si="2"/>
        <v>189</v>
      </c>
    </row>
    <row r="10" spans="2:13">
      <c r="B10" s="28">
        <v>28</v>
      </c>
      <c r="C10" s="24" t="s">
        <v>106</v>
      </c>
      <c r="E10" s="23" t="str">
        <f t="shared" si="0"/>
        <v>00</v>
      </c>
      <c r="F10" s="23" t="str">
        <f t="shared" si="1"/>
        <v>00</v>
      </c>
      <c r="L10" s="27">
        <f t="shared" si="2"/>
        <v>0</v>
      </c>
      <c r="M10" s="27">
        <f t="shared" si="2"/>
        <v>0</v>
      </c>
    </row>
    <row r="11" spans="2:13">
      <c r="B11" s="28">
        <v>29</v>
      </c>
      <c r="C11" s="24" t="s">
        <v>108</v>
      </c>
      <c r="E11" s="23" t="str">
        <f t="shared" si="0"/>
        <v>0A</v>
      </c>
      <c r="F11" s="23" t="str">
        <f t="shared" si="1"/>
        <v>EC</v>
      </c>
      <c r="L11" s="27">
        <f t="shared" si="2"/>
        <v>10</v>
      </c>
      <c r="M11" s="27">
        <f t="shared" si="2"/>
        <v>236</v>
      </c>
    </row>
    <row r="12" spans="2:13">
      <c r="B12" s="28" t="s">
        <v>99</v>
      </c>
      <c r="C12" s="24" t="s">
        <v>106</v>
      </c>
      <c r="E12" s="23" t="str">
        <f t="shared" si="0"/>
        <v>00</v>
      </c>
      <c r="F12" s="23" t="str">
        <f t="shared" si="1"/>
        <v>00</v>
      </c>
      <c r="L12" s="27">
        <f t="shared" si="2"/>
        <v>0</v>
      </c>
      <c r="M12" s="27">
        <f t="shared" si="2"/>
        <v>0</v>
      </c>
    </row>
    <row r="13" spans="2:13">
      <c r="B13" s="28" t="s">
        <v>100</v>
      </c>
      <c r="C13" s="24" t="s">
        <v>109</v>
      </c>
      <c r="E13" s="23" t="str">
        <f t="shared" si="0"/>
        <v>94</v>
      </c>
      <c r="F13" s="23" t="str">
        <f t="shared" si="1"/>
        <v>22</v>
      </c>
      <c r="L13" s="27">
        <f t="shared" si="2"/>
        <v>148</v>
      </c>
      <c r="M13" s="27">
        <f t="shared" si="2"/>
        <v>34</v>
      </c>
    </row>
    <row r="15" spans="2:13">
      <c r="E15" s="26" t="s">
        <v>111</v>
      </c>
      <c r="F15" s="29" t="s">
        <v>110</v>
      </c>
    </row>
    <row r="16" spans="2:13">
      <c r="E16" s="23" t="str">
        <f>DEC2HEX(_xlfn.BITXOR(_xlfn.BITXOR(_xlfn.BITXOR(_xlfn.BITXOR(_xlfn.BITXOR(_xlfn.BITXOR(_xlfn.BITXOR(_xlfn.BITXOR(_xlfn.BITXOR(_xlfn.BITXOR(_xlfn.BITXOR(_xlfn.BITXOR(_xlfn.BITXOR(_xlfn.BITXOR(_xlfn.BITXOR(_xlfn.BITXOR(_xlfn.BITXOR(_xlfn.BITXOR(_xlfn.BITXOR(_xlfn.BITXOR(_xlfn.BITXOR(L3,L4),L5),L6),L7),L8),L9),L10),L11),L12),L13),M3),M4),M5),M6),M7),M8),M9),M10),M11),M12),M13),2)</f>
        <v>4A</v>
      </c>
      <c r="F16" s="23" t="str">
        <f>DEC2HEX(MOD(SUM(L3:M13), 256))</f>
        <v>34</v>
      </c>
    </row>
    <row r="18" spans="2:6">
      <c r="E18" s="27" t="s">
        <v>112</v>
      </c>
      <c r="F18" s="30" t="str">
        <f>"0x"&amp;E16&amp;F16</f>
        <v>0x4A34</v>
      </c>
    </row>
    <row r="19" spans="2:6">
      <c r="B19" s="31"/>
    </row>
    <row r="20" spans="2:6">
      <c r="B20" s="32" t="s">
        <v>130</v>
      </c>
      <c r="C20" s="32">
        <v>1234</v>
      </c>
    </row>
    <row r="21" spans="2:6">
      <c r="B21" s="32" t="s">
        <v>131</v>
      </c>
      <c r="C21" s="32"/>
    </row>
    <row r="22" spans="2:6">
      <c r="B22" s="32" t="s">
        <v>132</v>
      </c>
      <c r="C22" s="32"/>
    </row>
  </sheetData>
  <sheetProtection algorithmName="SHA-512" hashValue="hXuS+rbd6lffaELnNnjWLSE9Rj8CScJyf+Y75HSHG4mlYyPVdWZINQvHmYJbuN4LQKaTEd4cuDgWbAkKK4ojHA==" saltValue="sbQdwX/EmdsH9NM5J8/AVA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B51A-CCD6-4BD2-87D0-B5DB2E7BA0B7}">
  <dimension ref="B2:M22"/>
  <sheetViews>
    <sheetView workbookViewId="0">
      <selection activeCell="C5" sqref="C5"/>
    </sheetView>
  </sheetViews>
  <sheetFormatPr defaultRowHeight="15"/>
  <cols>
    <col min="1" max="2" width="9.140625" style="27"/>
    <col min="3" max="3" width="10" style="27" bestFit="1" customWidth="1"/>
    <col min="4" max="4" width="3.5703125" style="27" customWidth="1"/>
    <col min="5" max="5" width="9.140625" style="27"/>
    <col min="6" max="6" width="12.42578125" style="27" bestFit="1" customWidth="1"/>
    <col min="7" max="16384" width="9.140625" style="27"/>
  </cols>
  <sheetData>
    <row r="2" spans="2:13">
      <c r="B2" s="26" t="s">
        <v>97</v>
      </c>
      <c r="C2" s="26" t="s">
        <v>98</v>
      </c>
      <c r="D2" s="26"/>
      <c r="E2" s="26" t="s">
        <v>103</v>
      </c>
      <c r="F2" s="26" t="s">
        <v>104</v>
      </c>
      <c r="L2" s="27" t="s">
        <v>101</v>
      </c>
      <c r="M2" s="27" t="s">
        <v>102</v>
      </c>
    </row>
    <row r="3" spans="2:13">
      <c r="B3" s="28" t="s">
        <v>113</v>
      </c>
      <c r="C3" s="24" t="s">
        <v>124</v>
      </c>
      <c r="E3" s="23" t="str">
        <f>DEC2HEX(HEX2DEC(LEFT($C3,2)), 2)</f>
        <v>D4</v>
      </c>
      <c r="F3" s="23" t="str">
        <f>DEC2HEX(HEX2DEC(RIGHT($C3,2)),2)</f>
        <v>64</v>
      </c>
      <c r="L3" s="27">
        <f>HEX2DEC(E3)</f>
        <v>212</v>
      </c>
      <c r="M3" s="27">
        <f>HEX2DEC(F3)</f>
        <v>100</v>
      </c>
    </row>
    <row r="4" spans="2:13">
      <c r="B4" s="28" t="s">
        <v>114</v>
      </c>
      <c r="C4" s="25" t="s">
        <v>125</v>
      </c>
      <c r="E4" s="23" t="str">
        <f t="shared" ref="E4:E13" si="0">DEC2HEX(HEX2DEC(LEFT($C4,2)), 2)</f>
        <v>6E</v>
      </c>
      <c r="F4" s="23" t="str">
        <f t="shared" ref="F4:F13" si="1">DEC2HEX(HEX2DEC(RIGHT($C4,2)),2)</f>
        <v>49</v>
      </c>
      <c r="L4" s="27">
        <f>HEX2DEC(E4)</f>
        <v>110</v>
      </c>
      <c r="M4" s="27">
        <f>HEX2DEC(F4)</f>
        <v>73</v>
      </c>
    </row>
    <row r="5" spans="2:13">
      <c r="B5" s="28" t="s">
        <v>115</v>
      </c>
      <c r="C5" s="24" t="s">
        <v>129</v>
      </c>
      <c r="E5" s="23" t="str">
        <f t="shared" si="0"/>
        <v>75</v>
      </c>
      <c r="F5" s="23" t="str">
        <f t="shared" si="1"/>
        <v>30</v>
      </c>
      <c r="L5" s="27">
        <f t="shared" ref="L5:M13" si="2">HEX2DEC(E5)</f>
        <v>117</v>
      </c>
      <c r="M5" s="27">
        <f t="shared" si="2"/>
        <v>48</v>
      </c>
    </row>
    <row r="6" spans="2:13">
      <c r="B6" s="28" t="s">
        <v>116</v>
      </c>
      <c r="C6" s="24" t="s">
        <v>106</v>
      </c>
      <c r="E6" s="23" t="str">
        <f t="shared" si="0"/>
        <v>00</v>
      </c>
      <c r="F6" s="23" t="str">
        <f t="shared" si="1"/>
        <v>00</v>
      </c>
      <c r="L6" s="27">
        <f t="shared" si="2"/>
        <v>0</v>
      </c>
      <c r="M6" s="27">
        <f t="shared" si="2"/>
        <v>0</v>
      </c>
    </row>
    <row r="7" spans="2:13">
      <c r="B7" s="28" t="s">
        <v>117</v>
      </c>
      <c r="C7" s="24" t="s">
        <v>106</v>
      </c>
      <c r="E7" s="23" t="str">
        <f t="shared" si="0"/>
        <v>00</v>
      </c>
      <c r="F7" s="23" t="str">
        <f t="shared" si="1"/>
        <v>00</v>
      </c>
      <c r="L7" s="27">
        <f t="shared" si="2"/>
        <v>0</v>
      </c>
      <c r="M7" s="27">
        <f t="shared" si="2"/>
        <v>0</v>
      </c>
    </row>
    <row r="8" spans="2:13">
      <c r="B8" s="28" t="s">
        <v>118</v>
      </c>
      <c r="C8" s="24" t="s">
        <v>106</v>
      </c>
      <c r="E8" s="23" t="str">
        <f t="shared" si="0"/>
        <v>00</v>
      </c>
      <c r="F8" s="23" t="str">
        <f t="shared" si="1"/>
        <v>00</v>
      </c>
      <c r="L8" s="27">
        <f t="shared" si="2"/>
        <v>0</v>
      </c>
      <c r="M8" s="27">
        <f t="shared" si="2"/>
        <v>0</v>
      </c>
    </row>
    <row r="9" spans="2:13">
      <c r="B9" s="28" t="s">
        <v>119</v>
      </c>
      <c r="C9" s="24" t="s">
        <v>106</v>
      </c>
      <c r="E9" s="23" t="str">
        <f t="shared" si="0"/>
        <v>00</v>
      </c>
      <c r="F9" s="23" t="str">
        <f t="shared" si="1"/>
        <v>00</v>
      </c>
      <c r="L9" s="27">
        <f t="shared" si="2"/>
        <v>0</v>
      </c>
      <c r="M9" s="27">
        <f t="shared" si="2"/>
        <v>0</v>
      </c>
    </row>
    <row r="10" spans="2:13">
      <c r="B10" s="28" t="s">
        <v>120</v>
      </c>
      <c r="C10" s="24" t="s">
        <v>106</v>
      </c>
      <c r="E10" s="23" t="str">
        <f t="shared" si="0"/>
        <v>00</v>
      </c>
      <c r="F10" s="23" t="str">
        <f t="shared" si="1"/>
        <v>00</v>
      </c>
      <c r="L10" s="27">
        <f t="shared" si="2"/>
        <v>0</v>
      </c>
      <c r="M10" s="27">
        <f t="shared" si="2"/>
        <v>0</v>
      </c>
    </row>
    <row r="11" spans="2:13">
      <c r="B11" s="28" t="s">
        <v>121</v>
      </c>
      <c r="C11" s="24" t="s">
        <v>106</v>
      </c>
      <c r="E11" s="23" t="str">
        <f t="shared" si="0"/>
        <v>00</v>
      </c>
      <c r="F11" s="23" t="str">
        <f t="shared" si="1"/>
        <v>00</v>
      </c>
      <c r="L11" s="27">
        <f t="shared" si="2"/>
        <v>0</v>
      </c>
      <c r="M11" s="27">
        <f t="shared" si="2"/>
        <v>0</v>
      </c>
    </row>
    <row r="12" spans="2:13">
      <c r="B12" s="28" t="s">
        <v>122</v>
      </c>
      <c r="C12" s="24" t="s">
        <v>106</v>
      </c>
      <c r="E12" s="23" t="str">
        <f t="shared" si="0"/>
        <v>00</v>
      </c>
      <c r="F12" s="23" t="str">
        <f t="shared" si="1"/>
        <v>00</v>
      </c>
      <c r="L12" s="27">
        <f t="shared" si="2"/>
        <v>0</v>
      </c>
      <c r="M12" s="27">
        <f t="shared" si="2"/>
        <v>0</v>
      </c>
    </row>
    <row r="13" spans="2:13">
      <c r="B13" s="28" t="s">
        <v>123</v>
      </c>
      <c r="C13" s="24" t="s">
        <v>106</v>
      </c>
      <c r="E13" s="23" t="str">
        <f t="shared" si="0"/>
        <v>00</v>
      </c>
      <c r="F13" s="23" t="str">
        <f t="shared" si="1"/>
        <v>00</v>
      </c>
      <c r="L13" s="27">
        <f t="shared" si="2"/>
        <v>0</v>
      </c>
      <c r="M13" s="27">
        <f t="shared" si="2"/>
        <v>0</v>
      </c>
    </row>
    <row r="15" spans="2:13">
      <c r="E15" s="26" t="s">
        <v>126</v>
      </c>
      <c r="F15" s="29" t="s">
        <v>127</v>
      </c>
    </row>
    <row r="16" spans="2:13">
      <c r="E16" s="23" t="str">
        <f>DEC2HEX(_xlfn.BITXOR(_xlfn.BITXOR(_xlfn.BITXOR(_xlfn.BITXOR(_xlfn.BITXOR(_xlfn.BITXOR(_xlfn.BITXOR(_xlfn.BITXOR(_xlfn.BITXOR(_xlfn.BITXOR(_xlfn.BITXOR(_xlfn.BITXOR(_xlfn.BITXOR(_xlfn.BITXOR(_xlfn.BITXOR(_xlfn.BITXOR(_xlfn.BITXOR(_xlfn.BITXOR(_xlfn.BITXOR(_xlfn.BITXOR(_xlfn.BITXOR(L3,L4),L5),L6),L7),L8),L9),L10),L11),L12),L13),M3),M4),M5),M6),M7),M8),M9),M10),M11),M12),M13),2)</f>
        <v>D2</v>
      </c>
      <c r="F16" s="23" t="str">
        <f>DEC2HEX(MOD(SUM(L3:M13), 256))</f>
        <v>94</v>
      </c>
    </row>
    <row r="18" spans="2:6">
      <c r="E18" s="27" t="s">
        <v>128</v>
      </c>
      <c r="F18" s="30" t="str">
        <f>"0x"&amp;E16&amp;F16</f>
        <v>0xD294</v>
      </c>
    </row>
    <row r="19" spans="2:6">
      <c r="B19" s="31"/>
    </row>
    <row r="20" spans="2:6">
      <c r="B20" s="32" t="s">
        <v>130</v>
      </c>
      <c r="C20" s="32">
        <v>1234</v>
      </c>
    </row>
    <row r="21" spans="2:6">
      <c r="B21" s="32" t="s">
        <v>131</v>
      </c>
    </row>
    <row r="22" spans="2:6">
      <c r="B22" s="32" t="s">
        <v>132</v>
      </c>
    </row>
  </sheetData>
  <sheetProtection algorithmName="SHA-512" hashValue="SYaPsLKEBnA6CUzgiLuX96uHmJNqJmiwaVC/Gp7lCWlcbFB6o72rNe6ti1bJjBNaOcdwqptGkjV0elZBbg1urQ==" saltValue="UvkLaM+Q/FnHDuXv6yin3Q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HeadingPairs>
  <TitlesOfParts>
    <vt:vector size="11" baseType="lpstr">
      <vt:lpstr>Sheet1</vt:lpstr>
      <vt:lpstr>CS1</vt:lpstr>
      <vt:lpstr>CS2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Agaelema</cp:lastModifiedBy>
  <dcterms:created xsi:type="dcterms:W3CDTF">2016-02-17T21:45:21Z</dcterms:created>
  <dcterms:modified xsi:type="dcterms:W3CDTF">2018-07-19T20:23:37Z</dcterms:modified>
</cp:coreProperties>
</file>